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2-1】政策別コスト(001）百万円" sheetId="1" r:id="rId1"/>
  </sheets>
  <definedNames>
    <definedName name="_xlnm.Print_Area" localSheetId="0">'【様式2-1】政策別コスト(001）百万円'!$A$1:$L$86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 r="I23" i="1"/>
  <c r="I22" i="1"/>
  <c r="I21" i="1"/>
  <c r="I20" i="1"/>
  <c r="I19" i="1"/>
  <c r="I18" i="1"/>
  <c r="I17" i="1"/>
  <c r="I16" i="1"/>
  <c r="I15" i="1"/>
  <c r="I14" i="1"/>
  <c r="I13" i="1"/>
  <c r="I12" i="1"/>
  <c r="D24" i="1"/>
  <c r="D17" i="1"/>
  <c r="D12" i="1"/>
  <c r="D6" i="1"/>
  <c r="J42" i="1"/>
  <c r="J40" i="1"/>
  <c r="J38" i="1"/>
  <c r="J37" i="1"/>
  <c r="J36" i="1"/>
  <c r="J33" i="1"/>
  <c r="J31" i="1"/>
  <c r="D76" i="1" l="1"/>
  <c r="D73" i="1"/>
  <c r="D71" i="1"/>
  <c r="D70" i="1"/>
  <c r="J63" i="1"/>
  <c r="I63" i="1"/>
  <c r="H63" i="1"/>
  <c r="G63" i="1"/>
  <c r="F63" i="1"/>
  <c r="E63" i="1"/>
  <c r="J62" i="1"/>
  <c r="I62" i="1"/>
  <c r="H62" i="1"/>
  <c r="I61" i="1"/>
  <c r="E61" i="1"/>
  <c r="G59" i="1"/>
  <c r="F59" i="1"/>
  <c r="L55" i="1"/>
  <c r="J55" i="1"/>
  <c r="I55" i="1"/>
  <c r="H55" i="1"/>
  <c r="G55" i="1"/>
  <c r="F55" i="1"/>
  <c r="L54" i="1"/>
  <c r="I54" i="1"/>
  <c r="H54" i="1"/>
  <c r="G54" i="1"/>
  <c r="F54" i="1"/>
  <c r="L52" i="1"/>
  <c r="K52" i="1"/>
  <c r="J52" i="1"/>
  <c r="I52" i="1"/>
  <c r="E55" i="1"/>
  <c r="E53" i="1"/>
  <c r="D53" i="1"/>
  <c r="D52" i="1"/>
  <c r="D51" i="1"/>
  <c r="J41" i="1"/>
  <c r="J39" i="1"/>
  <c r="J35" i="1"/>
  <c r="J34" i="1"/>
  <c r="J32" i="1"/>
  <c r="I43" i="1"/>
  <c r="H43" i="1"/>
  <c r="G43" i="1"/>
  <c r="F43" i="1"/>
  <c r="H40" i="1"/>
  <c r="G40" i="1"/>
  <c r="E43" i="1"/>
  <c r="E42" i="1"/>
  <c r="E41" i="1"/>
  <c r="E40" i="1"/>
  <c r="E39" i="1"/>
  <c r="E38" i="1"/>
  <c r="E37" i="1"/>
  <c r="E36" i="1"/>
  <c r="E34" i="1"/>
  <c r="E33" i="1"/>
  <c r="E32" i="1"/>
  <c r="H31" i="1"/>
  <c r="G31" i="1"/>
  <c r="E31" i="1"/>
  <c r="F30" i="1"/>
  <c r="F29" i="1"/>
  <c r="E29" i="1"/>
  <c r="L24" i="1" l="1"/>
  <c r="K24" i="1"/>
  <c r="J24" i="1"/>
  <c r="H24" i="1"/>
  <c r="G24" i="1"/>
  <c r="F24" i="1"/>
  <c r="L23" i="1"/>
  <c r="L22" i="1"/>
  <c r="J22" i="1"/>
  <c r="L21" i="1"/>
  <c r="J21" i="1"/>
  <c r="H21" i="1"/>
  <c r="L20" i="1"/>
  <c r="K20" i="1"/>
  <c r="J20" i="1"/>
  <c r="L19" i="1"/>
  <c r="J19" i="1"/>
  <c r="L18" i="1"/>
  <c r="K18" i="1"/>
  <c r="J18" i="1"/>
  <c r="L17" i="1"/>
  <c r="J17" i="1"/>
  <c r="K16" i="1"/>
  <c r="L15" i="1"/>
  <c r="J15" i="1"/>
  <c r="L14" i="1"/>
  <c r="J14" i="1"/>
  <c r="L13" i="1"/>
  <c r="J13" i="1"/>
  <c r="L10" i="1"/>
  <c r="J10" i="1"/>
  <c r="L12" i="1"/>
  <c r="K12" i="1"/>
  <c r="J12" i="1"/>
  <c r="H12" i="1"/>
  <c r="G9" i="1"/>
  <c r="F9" i="1"/>
  <c r="E24" i="1"/>
  <c r="E9" i="1"/>
  <c r="D23" i="1"/>
  <c r="D22" i="1"/>
  <c r="D21" i="1"/>
  <c r="D20" i="1"/>
  <c r="D19" i="1"/>
  <c r="D18" i="1"/>
  <c r="D16" i="1"/>
  <c r="D15" i="1"/>
  <c r="D14" i="1"/>
  <c r="D13" i="1"/>
  <c r="D11" i="1"/>
  <c r="D10" i="1"/>
  <c r="D9" i="1"/>
</calcChain>
</file>

<file path=xl/sharedStrings.xml><?xml version="1.0" encoding="utf-8"?>
<sst xmlns="http://schemas.openxmlformats.org/spreadsheetml/2006/main" count="119" uniqueCount="86">
  <si>
    <t>厚生労働省　政策別コスト情報に関する調書　様式２－１</t>
    <phoneticPr fontId="4"/>
  </si>
  <si>
    <t>政策：1.安心・信頼してかかれる医療の確保と国民の健康づくりを推進することにかかるコストの状況</t>
    <phoneticPr fontId="4"/>
  </si>
  <si>
    <t>区　　　　　分</t>
    <rPh sb="0" eb="1">
      <t>ク</t>
    </rPh>
    <rPh sb="6" eb="7">
      <t>ブン</t>
    </rPh>
    <phoneticPr fontId="4"/>
  </si>
  <si>
    <t>人件費</t>
  </si>
  <si>
    <t>賞与引当金繰入額</t>
  </si>
  <si>
    <t>退職給付引当金繰入額</t>
  </si>
  <si>
    <t>補助金等</t>
  </si>
  <si>
    <t>委託費等</t>
  </si>
  <si>
    <t>独立行政法人運営費交付金</t>
  </si>
  <si>
    <t>庁費等</t>
  </si>
  <si>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</si>
  <si>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</si>
  <si>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4"/>
  </si>
  <si>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</si>
  <si>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（１）地域において必要な医療を提供できる体制を整備すること</t>
  </si>
  <si>
    <t>（２）必要な医療従事者を確保するとともに、資質の向上を図ること</t>
  </si>
  <si>
    <t>（３）利用者の視点に立った、効率的で安心かつ質の高い医療サービスの提供を促進すること</t>
  </si>
  <si>
    <t>（４）国が医療政策として担うべき医療（政策医療）を推進すること</t>
  </si>
  <si>
    <t>（５）感染症など健康を脅かす疾病を予防・防止するとともに、感染者等に必要な医療等を確保すること</t>
  </si>
  <si>
    <t>（６）品質・有効性・安全性の高い医薬品・医療機器・再生医療等製品を国民が適切に利用できるようにすること</t>
  </si>
  <si>
    <t>（７）安全な血液製剤を安定的に供給すること</t>
  </si>
  <si>
    <t>（８）革新的な医療技術の実用化を促進するとともに、医薬品産業等の振興を図ること</t>
  </si>
  <si>
    <t>（９）全国民に必要な医療を保障できる安定的・効率的な医療保険制度を構築すること</t>
  </si>
  <si>
    <t>（１０）妊産婦・児童から高齢者に至るまでの幅広い年齢層において、地域・職場などの様々な場所で、国民的な健康づくりを推進すること</t>
  </si>
  <si>
    <t>（１１）健康危機管理を推進すること</t>
  </si>
  <si>
    <t>コスト計（Ⅰ＋Ⅱ＋Ⅲ）</t>
    <rPh sb="3" eb="4">
      <t>ケイ</t>
    </rPh>
    <phoneticPr fontId="4"/>
  </si>
  <si>
    <t>その他の経費</t>
  </si>
  <si>
    <t>減価償却費</t>
    <phoneticPr fontId="11"/>
  </si>
  <si>
    <t>貸倒引当金繰入額</t>
  </si>
  <si>
    <t>支払利息</t>
  </si>
  <si>
    <t>資産処分損益</t>
  </si>
  <si>
    <t>（参　考）
決算額</t>
    <rPh sb="1" eb="2">
      <t>サン</t>
    </rPh>
    <rPh sb="3" eb="4">
      <t>コウ</t>
    </rPh>
    <rPh sb="6" eb="8">
      <t>ケッサン</t>
    </rPh>
    <rPh sb="8" eb="9">
      <t>ガク</t>
    </rPh>
    <phoneticPr fontId="4"/>
  </si>
  <si>
    <t>(参考）　　　自己収入</t>
    <rPh sb="1" eb="3">
      <t>サンコウ</t>
    </rPh>
    <rPh sb="7" eb="9">
      <t>ジコ</t>
    </rPh>
    <rPh sb="9" eb="11">
      <t>シュウニュウ</t>
    </rPh>
    <phoneticPr fontId="4"/>
  </si>
  <si>
    <t>２．政策にかかるストック情報（主な資産等）</t>
    <rPh sb="2" eb="4">
      <t>セイサク</t>
    </rPh>
    <rPh sb="12" eb="14">
      <t>ジョウホウ</t>
    </rPh>
    <rPh sb="15" eb="16">
      <t>オモ</t>
    </rPh>
    <rPh sb="17" eb="19">
      <t>シサン</t>
    </rPh>
    <rPh sb="19" eb="20">
      <t>トウ</t>
    </rPh>
    <phoneticPr fontId="4"/>
  </si>
  <si>
    <t>区　　　　分</t>
    <rPh sb="0" eb="1">
      <t>ク</t>
    </rPh>
    <rPh sb="5" eb="6">
      <t>ブン</t>
    </rPh>
    <phoneticPr fontId="4"/>
  </si>
  <si>
    <t>ストック内訳</t>
    <rPh sb="4" eb="6">
      <t>ウチワケ</t>
    </rPh>
    <phoneticPr fontId="4"/>
  </si>
  <si>
    <t>たな卸資産</t>
  </si>
  <si>
    <t>未収金</t>
  </si>
  <si>
    <t>未収保険料</t>
  </si>
  <si>
    <t>貸倒引当金</t>
  </si>
  <si>
    <t>土地</t>
  </si>
  <si>
    <t>立木材</t>
  </si>
  <si>
    <t>建物</t>
  </si>
  <si>
    <t>工作物</t>
  </si>
  <si>
    <t>物にかかるコスト</t>
    <rPh sb="0" eb="1">
      <t>モノ</t>
    </rPh>
    <phoneticPr fontId="4"/>
  </si>
  <si>
    <t>庁舎等</t>
    <rPh sb="0" eb="2">
      <t>チョウシャ</t>
    </rPh>
    <rPh sb="2" eb="3">
      <t>トウ</t>
    </rPh>
    <phoneticPr fontId="4"/>
  </si>
  <si>
    <t>合　　　計</t>
    <rPh sb="0" eb="1">
      <t>ア</t>
    </rPh>
    <rPh sb="4" eb="5">
      <t>ケイ</t>
    </rPh>
    <phoneticPr fontId="4"/>
  </si>
  <si>
    <t>ストック内訳</t>
    <phoneticPr fontId="11"/>
  </si>
  <si>
    <t>備　考</t>
    <rPh sb="0" eb="1">
      <t>ソナエ</t>
    </rPh>
    <rPh sb="2" eb="3">
      <t>コウ</t>
    </rPh>
    <phoneticPr fontId="4"/>
  </si>
  <si>
    <t>船舶</t>
  </si>
  <si>
    <t>物品</t>
  </si>
  <si>
    <t>無形固定資産</t>
  </si>
  <si>
    <t>出資金</t>
  </si>
  <si>
    <t>未払金</t>
  </si>
  <si>
    <t>借入金</t>
  </si>
  <si>
    <t/>
  </si>
  <si>
    <t>３．参考情報</t>
    <rPh sb="2" eb="4">
      <t>サンコウ</t>
    </rPh>
    <rPh sb="4" eb="6">
      <t>ジョウホウ</t>
    </rPh>
    <phoneticPr fontId="4"/>
  </si>
  <si>
    <t>（１）当該政策に関連するコストの状況</t>
    <phoneticPr fontId="4"/>
  </si>
  <si>
    <t>①当該政策に配分された官房経費等の額</t>
  </si>
  <si>
    <t>Ⅰ　人にかかるコスト</t>
    <rPh sb="2" eb="3">
      <t>ヒト</t>
    </rPh>
    <phoneticPr fontId="4"/>
  </si>
  <si>
    <t>Ⅱ　物にかかるコスト（庁舎等を含む。）</t>
    <rPh sb="2" eb="3">
      <t>モノ</t>
    </rPh>
    <phoneticPr fontId="4"/>
  </si>
  <si>
    <t>Ⅲ　その他事業コスト</t>
    <rPh sb="4" eb="5">
      <t>タ</t>
    </rPh>
    <rPh sb="5" eb="7">
      <t>ジギョウ</t>
    </rPh>
    <phoneticPr fontId="4"/>
  </si>
  <si>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4"/>
  </si>
  <si>
    <t>利払費</t>
    <rPh sb="0" eb="2">
      <t>リバライ</t>
    </rPh>
    <rPh sb="2" eb="3">
      <t>ヒ</t>
    </rPh>
    <phoneticPr fontId="4"/>
  </si>
  <si>
    <t>（２）政策の概要</t>
    <rPh sb="3" eb="5">
      <t>セイサク</t>
    </rPh>
    <rPh sb="6" eb="8">
      <t>ガイヨウ</t>
    </rPh>
    <phoneticPr fontId="4"/>
  </si>
  <si>
    <t>（３）共通経費配分の方法</t>
    <rPh sb="3" eb="5">
      <t>キョウツウ</t>
    </rPh>
    <rPh sb="5" eb="7">
      <t>ケイヒ</t>
    </rPh>
    <rPh sb="7" eb="9">
      <t>ハイブン</t>
    </rPh>
    <rPh sb="10" eb="12">
      <t>ホウホウ</t>
    </rPh>
    <phoneticPr fontId="4"/>
  </si>
  <si>
    <t>（４）その他</t>
    <rPh sb="5" eb="6">
      <t>タ</t>
    </rPh>
    <phoneticPr fontId="4"/>
  </si>
  <si>
    <t>なし。</t>
  </si>
  <si>
    <t>百万円</t>
    <rPh sb="0" eb="3">
      <t>ヒャクマンエン</t>
    </rPh>
    <phoneticPr fontId="4"/>
  </si>
  <si>
    <t>(単位：百万円）</t>
    <rPh sb="4" eb="6">
      <t>ヒャクマン</t>
    </rPh>
    <rPh sb="6" eb="7">
      <t>エン</t>
    </rPh>
    <phoneticPr fontId="3"/>
  </si>
  <si>
    <t>(単位：百万円）</t>
    <rPh sb="4" eb="6">
      <t>ヒャクマン</t>
    </rPh>
    <phoneticPr fontId="3"/>
  </si>
  <si>
    <t>(単位：百万円）</t>
    <rPh sb="4" eb="6">
      <t>ヒャクマン</t>
    </rPh>
    <phoneticPr fontId="4"/>
  </si>
  <si>
    <t>当該政策にかかる自己収入については、 年金特別会計の保険料収入等である。</t>
  </si>
  <si>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</si>
  <si>
    <t>地域において必要な医療を提供できる体制を整備すること、必要な医療従事者を確保するとともに、資質の向上を図ること、利用者の視点に立った、効率的で安心かつ質の高い医療サービスの提供を促進すること、</t>
  </si>
  <si>
    <t>国が医療政策として担うべき医療（政策医療）を推進すること、感染症など健康を脅かす疾病を予防・防止するとともに、感染者等に必要な医療等を確保すること、</t>
  </si>
  <si>
    <t>品質・有効性・安全性の高い医薬品・医療機器・再生医療等製品を国民が適切に利用できるようにすること、安全な血液製剤を安定的に供給すること、革新的な医療技術の実用化を促進するとともに、</t>
  </si>
  <si>
    <t xml:space="preserve">地域・職場などの様々な場所で、国民的な健康づくりを推進すること、健康危機管理を推進すること。               </t>
  </si>
  <si>
    <t>「人にかかるコスト」、「物にかかるコスト」及び「庁舎等」については、定員数による配分を行っている。また、本省に一括して計上されている一部の人件費については、定員数により地方局・外局へ配分を行っている。</t>
  </si>
  <si>
    <t>※「物にかかるコスト」及び「庁舎等」の区分に当てはめられてる「物品」・「無形固定資産」、「土地」・「立木竹」及び「建物」・「工作物」は、特定の政策に結びつけることが困難なため、</t>
  </si>
  <si>
    <t>定員数により、当該政策に配分を行っている。</t>
  </si>
  <si>
    <t>保険料等交付金</t>
    <phoneticPr fontId="3"/>
  </si>
  <si>
    <t>./</t>
    <phoneticPr fontId="3"/>
  </si>
  <si>
    <t>（所管：厚生労働省、一般会計、組織：厚生労働本省、担当部局：大臣官房、医政局、健康局、医薬・生活衛生局、保険局、組織：検疫所、担当部局：検疫所、組織：国立ハンセン病療養所、担当部局：国立ハンセン病療養所、組織：厚生労働本省試験研究機関、担当部局：厚生労働本省試験研究機関、組織：地方厚生局、担当部局：地方厚生局)</t>
    <rPh sb="30" eb="34">
      <t>ダイジンカンボウ</t>
    </rPh>
    <phoneticPr fontId="4"/>
  </si>
  <si>
    <t>(年金特別会計健康勘定、東日本大震災復興特別会計厚生労働本省)</t>
    <phoneticPr fontId="4"/>
  </si>
  <si>
    <t>１．政策にかかるコスト　・・・・・・・・・・・・・・・・・・・・・・・・・</t>
    <rPh sb="2" eb="4">
      <t>セイサク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</si>
</sst>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_ * #,##0_ ;_ * &quot;△&quot;\ #,##0_ ;_ @_ "/>
    <numFmt numFmtId="177" formatCode="_ * \(#,##0\)_ ;_ * \(&quot;△&quot;\ #,##0\)_ ;_ @_ "/>
    <numFmt numFmtId="178" formatCode="_ * #,##0_ ;_ * &quot;△&quot;\ #,##0_ ;_ * &quot;-&quot;_ ;_ @_ "/>
    <numFmt numFmtId="179" formatCode="#,##0;&quot;△ &quot;#,##0"/>
    <numFmt numFmtId="180" formatCode="_ * \(#,##0\)_ ;_ * \(&quot;△&quot;\ #,##0\)_ ;_ * &quot;( - )&quot;_ ;_ @_ "/>
    <numFmt numFmtId="181" formatCode="_ * #,##0_ ;_ * &quot;△&quot;\ #,##0_ ;_ * &quot;0&quot;_ ;_ @_ "/>
  </numFmts>
  <fonts count="15" x14ac:knownFonts="1">
    <font>
      <sz val="11"/>
      <color theme="1"/>
      <name val="游ゴシック"/>
      <family val="2"/>
      <charset val="128"/>
      <scheme val="minor"/>
    </font>
    <font>
      <sz val="11"/>
      <color theme="1"/>
      <name val="游ゴシック"/>
      <family val="3"/>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8"/>
      <color indexed="8"/>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8"/>
      <color indexed="8"/>
      <name val="ＭＳ ゴシック"/>
      <family val="3"/>
      <charset val="128"/>
    </font>
    <font>
      <sz val="6"/>
      <name val="游ゴシック"/>
      <family val="3"/>
      <charset val="128"/>
      <scheme val="minor"/>
    </font>
    <font>
      <sz val="9"/>
      <color indexed="8"/>
      <name val="ＭＳ Ｐゴシック"/>
      <family val="3"/>
      <charset val="128"/>
    </font>
    <font>
      <sz val="8"/>
      <name val="ＭＳ Ｐゴシック"/>
      <family val="3"/>
      <charset val="128"/>
    </font>
    <font>
      <sz val="8"/>
      <color theme="1"/>
      <name val="游ゴシック"/>
      <family val="3"/>
      <charset val="128"/>
      <scheme val="minor"/>
    </font>
  </fonts>
  <fills count="2">
    <fill>
      <patternFill patternType="none"/>
    </fill>
    <fill>
      <patternFill patternType="gray125"/>
    </fill>
  </fills>
  <borders count="58">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thin">
        <color indexed="64"/>
      </top>
      <bottom/>
      <diagonal/>
    </border>
    <border>
      <left/>
      <right style="thin">
        <color auto="1"/>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style="medium">
        <color indexed="64"/>
      </left>
      <right style="thin">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medium">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24">
    <xf numFmtId="0" fontId="0" fillId="0" borderId="0" xfId="0">
      <alignment vertical="center"/>
    </xf>
    <xf numFmtId="0" fontId="8" fillId="0" borderId="0" xfId="1" applyFont="1" applyFill="1">
      <alignment vertical="center"/>
    </xf>
    <xf numFmtId="0" fontId="5" fillId="0" borderId="0" xfId="1" applyFont="1" applyFill="1">
      <alignment vertical="center"/>
    </xf>
    <xf numFmtId="0" fontId="9" fillId="0" borderId="0" xfId="1" applyFont="1" applyFill="1">
      <alignment vertical="center"/>
    </xf>
    <xf numFmtId="0" fontId="5" fillId="0" borderId="0" xfId="1" applyFont="1" applyFill="1" applyAlignment="1"/>
    <xf numFmtId="176" fontId="5" fillId="0" borderId="0" xfId="1" applyNumberFormat="1" applyFont="1" applyFill="1" applyAlignment="1"/>
    <xf numFmtId="0" fontId="5" fillId="0" borderId="2" xfId="1" applyFont="1" applyFill="1" applyBorder="1">
      <alignment vertical="center"/>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shrinkToFit="1"/>
    </xf>
    <xf numFmtId="0" fontId="5" fillId="0" borderId="7" xfId="1" applyFont="1" applyFill="1" applyBorder="1" applyAlignment="1">
      <alignment horizontal="center" vertical="center" wrapText="1" shrinkToFit="1"/>
    </xf>
    <xf numFmtId="0" fontId="5" fillId="0" borderId="9" xfId="1" applyFont="1" applyFill="1" applyBorder="1" applyAlignment="1">
      <alignment horizontal="center" vertical="center" wrapText="1"/>
    </xf>
    <xf numFmtId="176" fontId="9" fillId="0" borderId="9" xfId="1" applyNumberFormat="1" applyFont="1" applyFill="1" applyBorder="1">
      <alignment vertical="center"/>
    </xf>
    <xf numFmtId="0" fontId="5" fillId="0" borderId="27" xfId="1" applyFont="1" applyFill="1" applyBorder="1" applyAlignment="1">
      <alignment horizontal="left" vertical="top"/>
    </xf>
    <xf numFmtId="176" fontId="9" fillId="0" borderId="6" xfId="1" applyNumberFormat="1" applyFont="1" applyFill="1" applyBorder="1">
      <alignment vertical="center"/>
    </xf>
    <xf numFmtId="178" fontId="9" fillId="0" borderId="40"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49" xfId="1" applyNumberFormat="1" applyFont="1" applyFill="1" applyBorder="1">
      <alignment vertical="center"/>
    </xf>
    <xf numFmtId="180" fontId="9" fillId="0" borderId="9" xfId="1" applyNumberFormat="1" applyFont="1" applyFill="1" applyBorder="1">
      <alignment vertical="center"/>
    </xf>
    <xf numFmtId="180" fontId="9" fillId="0" borderId="30" xfId="1" applyNumberFormat="1" applyFont="1" applyFill="1" applyBorder="1">
      <alignment vertical="center"/>
    </xf>
    <xf numFmtId="178" fontId="9" fillId="0" borderId="13" xfId="1" applyNumberFormat="1" applyFont="1" applyFill="1" applyBorder="1">
      <alignment vertical="center"/>
    </xf>
    <xf numFmtId="178" fontId="9" fillId="0" borderId="14" xfId="1" applyNumberFormat="1" applyFont="1" applyFill="1" applyBorder="1">
      <alignment vertical="center"/>
    </xf>
    <xf numFmtId="178" fontId="9" fillId="0" borderId="15" xfId="1" applyNumberFormat="1" applyFont="1" applyFill="1" applyBorder="1">
      <alignment vertical="center"/>
    </xf>
    <xf numFmtId="178" fontId="9" fillId="0" borderId="19" xfId="1" applyNumberFormat="1" applyFont="1" applyFill="1" applyBorder="1">
      <alignment vertical="center"/>
    </xf>
    <xf numFmtId="178" fontId="9" fillId="0" borderId="24" xfId="1" applyNumberFormat="1" applyFont="1" applyFill="1" applyBorder="1">
      <alignment vertical="center"/>
    </xf>
    <xf numFmtId="178" fontId="9" fillId="0" borderId="9" xfId="1" applyNumberFormat="1" applyFont="1" applyFill="1" applyBorder="1">
      <alignment vertical="center"/>
    </xf>
    <xf numFmtId="178" fontId="9" fillId="0" borderId="30" xfId="1" applyNumberFormat="1" applyFont="1" applyFill="1" applyBorder="1">
      <alignment vertical="center"/>
    </xf>
    <xf numFmtId="178" fontId="9" fillId="0" borderId="6" xfId="1" applyNumberFormat="1" applyFont="1" applyFill="1" applyBorder="1">
      <alignment vertical="center"/>
    </xf>
    <xf numFmtId="178" fontId="9" fillId="0" borderId="8" xfId="1" applyNumberFormat="1" applyFont="1" applyFill="1" applyBorder="1">
      <alignment vertical="center"/>
    </xf>
    <xf numFmtId="178" fontId="9" fillId="0" borderId="20" xfId="1" applyNumberFormat="1" applyFont="1" applyFill="1" applyBorder="1">
      <alignment vertical="center"/>
    </xf>
    <xf numFmtId="178" fontId="9" fillId="0" borderId="40" xfId="1" applyNumberFormat="1" applyFont="1" applyFill="1" applyBorder="1">
      <alignment vertical="center"/>
    </xf>
    <xf numFmtId="178" fontId="9" fillId="0" borderId="46" xfId="1" applyNumberFormat="1" applyFont="1" applyFill="1" applyBorder="1">
      <alignment vertical="center"/>
    </xf>
    <xf numFmtId="178" fontId="9" fillId="0" borderId="26" xfId="1" applyNumberFormat="1" applyFont="1" applyFill="1" applyBorder="1">
      <alignment vertical="center"/>
    </xf>
    <xf numFmtId="178" fontId="9" fillId="0" borderId="56" xfId="1" applyNumberFormat="1" applyFont="1" applyFill="1" applyBorder="1">
      <alignment vertical="center"/>
    </xf>
    <xf numFmtId="178" fontId="9" fillId="0" borderId="43" xfId="1" applyNumberFormat="1" applyFont="1" applyFill="1" applyBorder="1">
      <alignment vertical="center"/>
    </xf>
    <xf numFmtId="0" fontId="2" fillId="0" borderId="0" xfId="1" applyFont="1" applyFill="1" applyAlignment="1">
      <alignment horizontal="left" vertical="center"/>
    </xf>
    <xf numFmtId="0" fontId="5" fillId="0" borderId="0" xfId="1" applyFont="1" applyFill="1" applyAlignment="1">
      <alignment horizontal="right" vertical="center"/>
    </xf>
    <xf numFmtId="0" fontId="0" fillId="0" borderId="0" xfId="0" applyFill="1">
      <alignment vertical="center"/>
    </xf>
    <xf numFmtId="0" fontId="6" fillId="0" borderId="0" xfId="1" applyFont="1" applyFill="1">
      <alignment vertical="center"/>
    </xf>
    <xf numFmtId="0" fontId="7" fillId="0" borderId="0" xfId="1" applyFont="1" applyFill="1">
      <alignment vertical="center"/>
    </xf>
    <xf numFmtId="0" fontId="1" fillId="0" borderId="0" xfId="1" applyFill="1">
      <alignment vertical="center"/>
    </xf>
    <xf numFmtId="176" fontId="9" fillId="0" borderId="0" xfId="1" applyNumberFormat="1" applyFont="1" applyFill="1">
      <alignment vertical="center"/>
    </xf>
    <xf numFmtId="177" fontId="5" fillId="0" borderId="0" xfId="1" applyNumberFormat="1" applyFont="1" applyFill="1" applyAlignment="1">
      <alignment horizontal="right" vertical="center"/>
    </xf>
    <xf numFmtId="176" fontId="5" fillId="0" borderId="0" xfId="1" applyNumberFormat="1" applyFont="1" applyFill="1" applyAlignment="1">
      <alignment horizontal="right" vertical="center"/>
    </xf>
    <xf numFmtId="0" fontId="5" fillId="0" borderId="40" xfId="1" applyFont="1" applyFill="1" applyBorder="1" applyAlignment="1">
      <alignment horizontal="center" vertical="center" wrapText="1"/>
    </xf>
    <xf numFmtId="176" fontId="9" fillId="0" borderId="26" xfId="1" applyNumberFormat="1" applyFont="1" applyFill="1" applyBorder="1">
      <alignment vertical="center"/>
    </xf>
    <xf numFmtId="176" fontId="9" fillId="0" borderId="41" xfId="1" applyNumberFormat="1" applyFont="1" applyFill="1" applyBorder="1">
      <alignment vertical="center"/>
    </xf>
    <xf numFmtId="181" fontId="9" fillId="0" borderId="20" xfId="1" applyNumberFormat="1" applyFont="1" applyFill="1" applyBorder="1">
      <alignment vertical="center"/>
    </xf>
    <xf numFmtId="176" fontId="9" fillId="0" borderId="43" xfId="1" applyNumberFormat="1" applyFont="1" applyFill="1" applyBorder="1">
      <alignment vertical="center"/>
    </xf>
    <xf numFmtId="0" fontId="14" fillId="0" borderId="0" xfId="1" applyFont="1" applyFill="1">
      <alignment vertical="center"/>
    </xf>
    <xf numFmtId="176" fontId="1" fillId="0" borderId="0" xfId="1" applyNumberFormat="1" applyFill="1">
      <alignment vertical="center"/>
    </xf>
    <xf numFmtId="176" fontId="9" fillId="0" borderId="34" xfId="1" applyNumberFormat="1" applyFont="1" applyFill="1" applyBorder="1">
      <alignment vertical="center"/>
    </xf>
    <xf numFmtId="176" fontId="9" fillId="0" borderId="37" xfId="1" applyNumberFormat="1" applyFont="1" applyFill="1" applyBorder="1">
      <alignment vertical="center"/>
    </xf>
    <xf numFmtId="181" fontId="9" fillId="0" borderId="6" xfId="1" applyNumberFormat="1" applyFont="1" applyFill="1" applyBorder="1">
      <alignment vertical="center"/>
    </xf>
    <xf numFmtId="0" fontId="5" fillId="0" borderId="0" xfId="1" applyFont="1" applyFill="1" applyAlignment="1">
      <alignment horizontal="left" vertical="center"/>
    </xf>
    <xf numFmtId="179" fontId="9" fillId="0" borderId="0" xfId="1" applyNumberFormat="1" applyFont="1" applyFill="1">
      <alignment vertical="center"/>
    </xf>
    <xf numFmtId="0" fontId="5" fillId="0" borderId="26" xfId="1" applyFont="1" applyFill="1" applyBorder="1" applyAlignment="1">
      <alignment horizontal="centerContinuous" vertical="center"/>
    </xf>
    <xf numFmtId="0" fontId="5" fillId="0" borderId="9" xfId="1" applyFont="1" applyFill="1" applyBorder="1" applyAlignment="1">
      <alignment horizontal="centerContinuous" vertical="center"/>
    </xf>
    <xf numFmtId="178" fontId="9" fillId="0" borderId="38" xfId="1" applyNumberFormat="1" applyFont="1" applyFill="1" applyBorder="1">
      <alignment vertical="center"/>
    </xf>
    <xf numFmtId="0" fontId="5" fillId="0" borderId="9" xfId="1" applyFont="1" applyFill="1" applyBorder="1" applyAlignment="1">
      <alignment horizontal="centerContinuous" vertical="center" wrapText="1"/>
    </xf>
    <xf numFmtId="0" fontId="5" fillId="0" borderId="52" xfId="1" applyFont="1" applyFill="1" applyBorder="1" applyAlignment="1">
      <alignment horizontal="centerContinuous" vertical="center"/>
    </xf>
    <xf numFmtId="0" fontId="5" fillId="0" borderId="52" xfId="1" applyFont="1" applyFill="1" applyBorder="1" applyAlignment="1">
      <alignment horizontal="center" vertical="center" wrapText="1"/>
    </xf>
    <xf numFmtId="178" fontId="9" fillId="0" borderId="52" xfId="1" applyNumberFormat="1" applyFont="1" applyFill="1" applyBorder="1">
      <alignment vertical="center"/>
    </xf>
    <xf numFmtId="179" fontId="9" fillId="0" borderId="40" xfId="1" applyNumberFormat="1" applyFont="1" applyFill="1" applyBorder="1" applyAlignment="1">
      <alignment vertical="center" wrapText="1"/>
    </xf>
    <xf numFmtId="178" fontId="9" fillId="0" borderId="39" xfId="1" applyNumberFormat="1" applyFont="1" applyFill="1" applyBorder="1">
      <alignment vertical="center"/>
    </xf>
    <xf numFmtId="178" fontId="9" fillId="0" borderId="54" xfId="1" applyNumberFormat="1" applyFont="1" applyFill="1" applyBorder="1">
      <alignment vertical="center"/>
    </xf>
    <xf numFmtId="179" fontId="9" fillId="0" borderId="53" xfId="1" applyNumberFormat="1" applyFont="1" applyFill="1" applyBorder="1" applyAlignment="1">
      <alignment vertical="center" wrapText="1"/>
    </xf>
    <xf numFmtId="0" fontId="9" fillId="0" borderId="38" xfId="1" applyNumberFormat="1" applyFont="1" applyFill="1" applyBorder="1">
      <alignment vertical="center"/>
    </xf>
    <xf numFmtId="178" fontId="9" fillId="0" borderId="37" xfId="1" applyNumberFormat="1" applyFont="1" applyFill="1" applyBorder="1">
      <alignment vertical="center"/>
    </xf>
    <xf numFmtId="178" fontId="9" fillId="0" borderId="55" xfId="1" applyNumberFormat="1" applyFont="1" applyFill="1" applyBorder="1">
      <alignment vertical="center"/>
    </xf>
    <xf numFmtId="179" fontId="9" fillId="0" borderId="49" xfId="1" applyNumberFormat="1" applyFont="1" applyFill="1" applyBorder="1">
      <alignment vertical="center"/>
    </xf>
    <xf numFmtId="0" fontId="5" fillId="0" borderId="14" xfId="1" applyFont="1" applyFill="1" applyBorder="1" applyAlignment="1">
      <alignment horizontal="left" vertical="center"/>
    </xf>
    <xf numFmtId="0" fontId="5" fillId="0" borderId="57" xfId="1" applyFont="1" applyFill="1" applyBorder="1" applyAlignment="1">
      <alignment horizontal="left" vertical="center"/>
    </xf>
    <xf numFmtId="0" fontId="5" fillId="0" borderId="56" xfId="1" applyFont="1" applyFill="1" applyBorder="1" applyAlignment="1">
      <alignment horizontal="left" vertical="center"/>
    </xf>
    <xf numFmtId="0" fontId="10" fillId="0" borderId="10" xfId="1" applyFont="1" applyFill="1" applyBorder="1">
      <alignment vertical="center"/>
    </xf>
    <xf numFmtId="0" fontId="10" fillId="0" borderId="11" xfId="1" applyFont="1" applyFill="1" applyBorder="1">
      <alignment vertical="center"/>
    </xf>
    <xf numFmtId="0" fontId="10" fillId="0" borderId="26" xfId="1" applyFont="1" applyFill="1" applyBorder="1">
      <alignment vertical="center"/>
    </xf>
    <xf numFmtId="0" fontId="12" fillId="0" borderId="0" xfId="1" applyFont="1" applyFill="1">
      <alignment vertical="center"/>
    </xf>
    <xf numFmtId="0" fontId="13" fillId="0" borderId="0" xfId="1" applyFont="1" applyFill="1">
      <alignment vertical="center"/>
    </xf>
    <xf numFmtId="0" fontId="5" fillId="0" borderId="8" xfId="1" applyFont="1" applyFill="1" applyBorder="1" applyAlignment="1">
      <alignment horizontal="center" vertical="center" wrapText="1"/>
    </xf>
    <xf numFmtId="0" fontId="5" fillId="0" borderId="0" xfId="1" applyFont="1" applyFill="1" applyAlignment="1">
      <alignment horizontal="center" vertical="center"/>
    </xf>
    <xf numFmtId="0" fontId="5" fillId="0" borderId="10" xfId="1" applyFont="1" applyFill="1" applyBorder="1" applyAlignment="1">
      <alignment horizontal="left" vertical="center"/>
    </xf>
    <xf numFmtId="0" fontId="5" fillId="0" borderId="26" xfId="1" applyFont="1" applyFill="1" applyBorder="1" applyAlignment="1">
      <alignment horizontal="left" vertical="center"/>
    </xf>
    <xf numFmtId="0" fontId="5" fillId="0" borderId="9" xfId="1" applyFont="1" applyFill="1" applyBorder="1" applyAlignment="1">
      <alignment horizontal="left" vertical="center"/>
    </xf>
    <xf numFmtId="176" fontId="9" fillId="0" borderId="1" xfId="1" applyNumberFormat="1" applyFont="1" applyFill="1" applyBorder="1">
      <alignment vertical="center"/>
    </xf>
    <xf numFmtId="0" fontId="5" fillId="0" borderId="25" xfId="1" applyFont="1" applyFill="1" applyBorder="1" applyAlignment="1">
      <alignment horizontal="left" vertical="center" wrapText="1"/>
    </xf>
    <xf numFmtId="0" fontId="5" fillId="0" borderId="50" xfId="1" applyFont="1" applyFill="1" applyBorder="1" applyAlignment="1">
      <alignment horizontal="left" vertical="center" wrapText="1"/>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5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43" xfId="1" applyFont="1" applyFill="1" applyBorder="1" applyAlignment="1">
      <alignment horizontal="center" vertical="center"/>
    </xf>
    <xf numFmtId="0" fontId="5" fillId="0" borderId="53"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10" xfId="1" applyFont="1" applyFill="1" applyBorder="1" applyAlignment="1">
      <alignment horizontal="left" vertical="center"/>
    </xf>
    <xf numFmtId="0" fontId="5" fillId="0" borderId="11" xfId="1" applyFont="1" applyFill="1" applyBorder="1" applyAlignment="1">
      <alignment horizontal="left" vertical="center"/>
    </xf>
    <xf numFmtId="0" fontId="5" fillId="0" borderId="26" xfId="1" applyFont="1" applyFill="1" applyBorder="1" applyAlignment="1">
      <alignment horizontal="left" vertical="center"/>
    </xf>
    <xf numFmtId="0" fontId="5" fillId="0" borderId="39"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5" fillId="0" borderId="47" xfId="1" applyFont="1" applyFill="1" applyBorder="1" applyAlignment="1">
      <alignment horizontal="left" vertical="center" wrapText="1"/>
    </xf>
    <xf numFmtId="0" fontId="5" fillId="0" borderId="33" xfId="1" applyFont="1" applyFill="1" applyBorder="1" applyAlignment="1">
      <alignment horizontal="left" vertical="center" wrapText="1"/>
    </xf>
    <xf numFmtId="0" fontId="5" fillId="0" borderId="48" xfId="1" applyFont="1" applyFill="1" applyBorder="1" applyAlignment="1">
      <alignment horizontal="left" vertical="center" wrapText="1"/>
    </xf>
    <xf numFmtId="0" fontId="5" fillId="0" borderId="28" xfId="1" applyFont="1" applyFill="1" applyBorder="1" applyAlignment="1">
      <alignment horizontal="left" vertical="center" wrapText="1"/>
    </xf>
    <xf numFmtId="0" fontId="5" fillId="0" borderId="45" xfId="1" applyFont="1" applyFill="1" applyBorder="1" applyAlignment="1">
      <alignment horizontal="left" vertical="center" wrapText="1"/>
    </xf>
    <xf numFmtId="0" fontId="5" fillId="0" borderId="34" xfId="1" applyFont="1" applyFill="1" applyBorder="1" applyAlignment="1">
      <alignment horizontal="left" vertical="center" wrapText="1"/>
    </xf>
    <xf numFmtId="0" fontId="5" fillId="0" borderId="32" xfId="1" applyFont="1" applyFill="1" applyBorder="1" applyAlignment="1">
      <alignment horizontal="left" vertical="center" wrapText="1"/>
    </xf>
    <xf numFmtId="0" fontId="5" fillId="0" borderId="38" xfId="1" applyFont="1" applyFill="1" applyBorder="1" applyAlignment="1">
      <alignment horizontal="center" vertical="center"/>
    </xf>
    <xf numFmtId="0" fontId="5" fillId="0" borderId="16" xfId="1" applyFont="1" applyFill="1" applyBorder="1" applyAlignment="1">
      <alignment horizontal="left" vertical="center"/>
    </xf>
    <xf numFmtId="0" fontId="5" fillId="0" borderId="17" xfId="1" applyFont="1" applyFill="1" applyBorder="1" applyAlignment="1">
      <alignment horizontal="left" vertical="center"/>
    </xf>
    <xf numFmtId="0" fontId="5" fillId="0" borderId="21" xfId="1" applyFont="1" applyFill="1" applyBorder="1" applyAlignment="1">
      <alignment horizontal="left" vertical="center"/>
    </xf>
    <xf numFmtId="0" fontId="5" fillId="0" borderId="22" xfId="1" applyFont="1" applyFill="1" applyBorder="1" applyAlignment="1">
      <alignment horizontal="left" vertical="center"/>
    </xf>
    <xf numFmtId="0" fontId="5" fillId="0" borderId="25" xfId="1" applyFont="1" applyFill="1" applyBorder="1" applyAlignment="1">
      <alignment horizontal="left" vertical="center"/>
    </xf>
    <xf numFmtId="0" fontId="13" fillId="0" borderId="0" xfId="1" applyFont="1" applyFill="1" applyAlignment="1">
      <alignment vertical="center" wrapText="1"/>
    </xf>
    <xf numFmtId="0" fontId="5" fillId="0" borderId="3" xfId="1" applyFont="1" applyFill="1" applyBorder="1" applyAlignment="1">
      <alignment horizontal="center" vertical="center"/>
    </xf>
    <xf numFmtId="0" fontId="5" fillId="0" borderId="0" xfId="1" applyFont="1" applyFill="1" applyAlignment="1">
      <alignment horizontal="center" vertical="center"/>
    </xf>
    <xf numFmtId="0" fontId="5" fillId="0" borderId="4" xfId="1" applyFont="1" applyFill="1" applyBorder="1" applyAlignment="1">
      <alignment horizontal="center" vertical="center"/>
    </xf>
    <xf numFmtId="0" fontId="5" fillId="0" borderId="12" xfId="1" applyFont="1" applyFill="1" applyBorder="1" applyAlignment="1">
      <alignment horizontal="left" vertical="center"/>
    </xf>
    <xf numFmtId="0" fontId="5" fillId="0" borderId="18" xfId="1" applyFont="1" applyFill="1" applyBorder="1" applyAlignment="1">
      <alignment horizontal="left" vertical="center"/>
    </xf>
    <xf numFmtId="0" fontId="5" fillId="0" borderId="23" xfId="1" applyFont="1" applyFill="1" applyBorder="1" applyAlignment="1">
      <alignment horizontal="left" vertical="center"/>
    </xf>
    <xf numFmtId="0" fontId="5" fillId="0" borderId="29" xfId="1"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abSelected="1" view="pageBreakPreview" zoomScaleNormal="100" zoomScaleSheetLayoutView="100" workbookViewId="0">
      <selection activeCell="L1" sqref="L1"/>
    </sheetView>
  </sheetViews>
  <sheetFormatPr defaultColWidth="8.75" defaultRowHeight="18.75" x14ac:dyDescent="0.4"/>
  <cols>
    <col min="1" max="1" width="2.125" style="37" customWidth="1"/>
    <col min="2" max="2" width="27.125" style="37" customWidth="1"/>
    <col min="3" max="3" width="8.75" style="37"/>
    <col min="4" max="4" width="11.625" style="37" customWidth="1"/>
    <col min="5" max="12" width="10.125" style="37" customWidth="1"/>
    <col min="13" max="16384" width="8.75" style="37"/>
  </cols>
  <sheetData>
    <row r="1" spans="1:13" x14ac:dyDescent="0.4">
      <c r="A1" s="35" t="s">
        <v>0</v>
      </c>
      <c r="B1" s="36"/>
      <c r="C1" s="36"/>
      <c r="D1" s="36"/>
      <c r="E1" s="36"/>
      <c r="F1" s="36"/>
      <c r="G1" s="36"/>
      <c r="H1" s="36"/>
      <c r="I1" s="36"/>
      <c r="J1" s="36"/>
      <c r="K1" s="36"/>
      <c r="L1" s="36"/>
      <c r="M1" s="36"/>
    </row>
    <row r="2" spans="1:13" x14ac:dyDescent="0.4">
      <c r="A2" s="38" t="s">
        <v>1</v>
      </c>
      <c r="B2" s="39"/>
      <c r="C2" s="2"/>
      <c r="D2" s="2"/>
      <c r="E2" s="2"/>
      <c r="F2" s="2"/>
      <c r="G2" s="2"/>
      <c r="H2" s="2"/>
      <c r="I2" s="2"/>
      <c r="J2" s="2"/>
      <c r="K2" s="2"/>
      <c r="L2" s="2"/>
      <c r="M2" s="40"/>
    </row>
    <row r="3" spans="1:13" x14ac:dyDescent="0.4">
      <c r="A3" s="39"/>
      <c r="B3" s="39"/>
      <c r="C3" s="2"/>
      <c r="D3" s="2"/>
      <c r="E3" s="2"/>
      <c r="F3" s="2"/>
      <c r="G3" s="2"/>
      <c r="H3" s="2"/>
      <c r="I3" s="2"/>
      <c r="J3" s="2"/>
      <c r="K3" s="2"/>
      <c r="L3" s="2"/>
      <c r="M3" s="40"/>
    </row>
    <row r="4" spans="1:13" ht="37.5" customHeight="1" x14ac:dyDescent="0.4">
      <c r="A4" s="39"/>
      <c r="B4" s="39"/>
      <c r="C4" s="2"/>
      <c r="D4" s="2"/>
      <c r="E4" s="116" t="s">
        <v>83</v>
      </c>
      <c r="F4" s="116"/>
      <c r="G4" s="116"/>
      <c r="H4" s="116"/>
      <c r="I4" s="116"/>
      <c r="J4" s="116"/>
      <c r="K4" s="116"/>
      <c r="L4" s="116"/>
      <c r="M4" s="40"/>
    </row>
    <row r="5" spans="1:13" ht="19.5" thickBot="1" x14ac:dyDescent="0.45">
      <c r="A5" s="39"/>
      <c r="B5" s="39"/>
      <c r="C5" s="2"/>
      <c r="D5" s="2"/>
      <c r="E5" s="78" t="s">
        <v>84</v>
      </c>
      <c r="F5" s="78"/>
      <c r="G5" s="78"/>
      <c r="H5" s="78"/>
      <c r="I5" s="78"/>
      <c r="J5" s="78"/>
      <c r="K5" s="78"/>
      <c r="L5" s="78"/>
      <c r="M5" s="40"/>
    </row>
    <row r="6" spans="1:13" ht="19.5" thickBot="1" x14ac:dyDescent="0.2">
      <c r="A6" s="1" t="s">
        <v>85</v>
      </c>
      <c r="B6" s="2"/>
      <c r="C6" s="2"/>
      <c r="D6" s="84">
        <f>ROUNDDOWN(21304194689107/1000000,0)</f>
        <v>21304194</v>
      </c>
      <c r="E6" s="3" t="s">
        <v>68</v>
      </c>
      <c r="F6" s="4"/>
      <c r="G6" s="5"/>
      <c r="H6" s="4"/>
      <c r="I6" s="4"/>
      <c r="J6" s="4"/>
      <c r="K6" s="4"/>
      <c r="M6" s="2"/>
    </row>
    <row r="7" spans="1:13" ht="19.5" thickBot="1" x14ac:dyDescent="0.45">
      <c r="A7" s="6"/>
      <c r="B7" s="6"/>
      <c r="C7" s="6"/>
      <c r="D7" s="6"/>
      <c r="E7" s="2"/>
      <c r="F7" s="2"/>
      <c r="G7" s="2"/>
      <c r="H7" s="2"/>
      <c r="I7" s="2"/>
      <c r="J7" s="2"/>
      <c r="K7" s="2"/>
      <c r="L7" s="36" t="s">
        <v>69</v>
      </c>
      <c r="M7" s="40"/>
    </row>
    <row r="8" spans="1:13" ht="22.5" thickTop="1" thickBot="1" x14ac:dyDescent="0.45">
      <c r="A8" s="117" t="s">
        <v>2</v>
      </c>
      <c r="B8" s="118"/>
      <c r="C8" s="118"/>
      <c r="D8" s="119"/>
      <c r="E8" s="7" t="s">
        <v>3</v>
      </c>
      <c r="F8" s="8" t="s">
        <v>4</v>
      </c>
      <c r="G8" s="9" t="s">
        <v>5</v>
      </c>
      <c r="H8" s="79" t="s">
        <v>81</v>
      </c>
      <c r="I8" s="10" t="s">
        <v>6</v>
      </c>
      <c r="J8" s="10" t="s">
        <v>7</v>
      </c>
      <c r="K8" s="10" t="s">
        <v>8</v>
      </c>
      <c r="L8" s="10" t="s">
        <v>9</v>
      </c>
      <c r="M8" s="40"/>
    </row>
    <row r="9" spans="1:13" ht="20.25" thickTop="1" thickBot="1" x14ac:dyDescent="0.45">
      <c r="A9" s="98" t="s">
        <v>10</v>
      </c>
      <c r="B9" s="99"/>
      <c r="C9" s="120"/>
      <c r="D9" s="20">
        <f>ROUNDDOWN(36875917585/1000000,0)</f>
        <v>36875</v>
      </c>
      <c r="E9" s="21">
        <f>ROUNDDOWN(31516095585/1000000,0)</f>
        <v>31516</v>
      </c>
      <c r="F9" s="21">
        <f>ROUNDDOWN(2272198041/1000000,0)</f>
        <v>2272</v>
      </c>
      <c r="G9" s="22">
        <f>ROUNDDOWN(3087623959/1000000,0)</f>
        <v>3087</v>
      </c>
      <c r="H9" s="28">
        <v>0</v>
      </c>
      <c r="I9" s="25">
        <v>0</v>
      </c>
      <c r="J9" s="25">
        <v>0</v>
      </c>
      <c r="K9" s="25">
        <v>0</v>
      </c>
      <c r="L9" s="25">
        <v>0</v>
      </c>
      <c r="M9" s="40"/>
    </row>
    <row r="10" spans="1:13" ht="19.5" thickTop="1" x14ac:dyDescent="0.4">
      <c r="A10" s="111" t="s">
        <v>11</v>
      </c>
      <c r="B10" s="112"/>
      <c r="C10" s="121"/>
      <c r="D10" s="23">
        <f>ROUNDDOWN(6728176132/1000000,0)</f>
        <v>6728</v>
      </c>
      <c r="E10" s="23">
        <v>0</v>
      </c>
      <c r="F10" s="23">
        <v>0</v>
      </c>
      <c r="G10" s="23">
        <v>0</v>
      </c>
      <c r="H10" s="29">
        <v>0</v>
      </c>
      <c r="I10" s="29">
        <v>0</v>
      </c>
      <c r="J10" s="29">
        <f>ROUNDDOWN(30031703/1000000,0)</f>
        <v>30</v>
      </c>
      <c r="K10" s="29">
        <v>0</v>
      </c>
      <c r="L10" s="29">
        <f>ROUNDDOWN(4226968070/1000000,0)</f>
        <v>4226</v>
      </c>
      <c r="M10" s="40"/>
    </row>
    <row r="11" spans="1:13" x14ac:dyDescent="0.4">
      <c r="A11" s="113" t="s">
        <v>12</v>
      </c>
      <c r="B11" s="114"/>
      <c r="C11" s="122"/>
      <c r="D11" s="24">
        <f>ROUNDDOWN(2087385020/1000000,0)</f>
        <v>2087</v>
      </c>
      <c r="E11" s="24">
        <v>0</v>
      </c>
      <c r="F11" s="24">
        <v>0</v>
      </c>
      <c r="G11" s="24">
        <v>0</v>
      </c>
      <c r="H11" s="24">
        <v>0</v>
      </c>
      <c r="I11" s="24">
        <v>0</v>
      </c>
      <c r="J11" s="24">
        <v>0</v>
      </c>
      <c r="K11" s="24">
        <v>0</v>
      </c>
      <c r="L11" s="24">
        <v>0</v>
      </c>
      <c r="M11" s="40"/>
    </row>
    <row r="12" spans="1:13" x14ac:dyDescent="0.4">
      <c r="A12" s="115" t="s">
        <v>13</v>
      </c>
      <c r="B12" s="99"/>
      <c r="C12" s="100"/>
      <c r="D12" s="25">
        <f>ROUNDDOWN(21258503210370/1000000,0)</f>
        <v>21258503</v>
      </c>
      <c r="E12" s="18">
        <v>0</v>
      </c>
      <c r="F12" s="18">
        <v>0</v>
      </c>
      <c r="G12" s="18">
        <v>0</v>
      </c>
      <c r="H12" s="25">
        <f>ROUNDDOWN(10564881504934/1000000,0)</f>
        <v>10564881</v>
      </c>
      <c r="I12" s="25">
        <f>ROUNDDOWN(10488741080231/1000000,0)</f>
        <v>10488741</v>
      </c>
      <c r="J12" s="25">
        <f>ROUNDDOWN(81547447409/1000000,0)</f>
        <v>81547</v>
      </c>
      <c r="K12" s="25">
        <f>ROUNDDOWN(44368745000/1000000,0)</f>
        <v>44368</v>
      </c>
      <c r="L12" s="25">
        <f>ROUNDDOWN(56877799823/1000000,0)</f>
        <v>56877</v>
      </c>
      <c r="M12" s="40"/>
    </row>
    <row r="13" spans="1:13" ht="22.5" customHeight="1" x14ac:dyDescent="0.4">
      <c r="A13" s="12"/>
      <c r="B13" s="106" t="s">
        <v>14</v>
      </c>
      <c r="C13" s="123"/>
      <c r="D13" s="26">
        <f>ROUNDDOWN(53135624543/1000000,0)</f>
        <v>53135</v>
      </c>
      <c r="E13" s="19">
        <v>0</v>
      </c>
      <c r="F13" s="19">
        <v>0</v>
      </c>
      <c r="G13" s="19">
        <v>0</v>
      </c>
      <c r="H13" s="26">
        <v>0</v>
      </c>
      <c r="I13" s="26">
        <f>ROUNDDOWN(48641553499/1000000,0)</f>
        <v>48641</v>
      </c>
      <c r="J13" s="26">
        <f>ROUNDDOWN(3972206363/1000000,0)</f>
        <v>3972</v>
      </c>
      <c r="K13" s="26">
        <v>0</v>
      </c>
      <c r="L13" s="26">
        <f>ROUNDDOWN(466227050/1000000,0)</f>
        <v>466</v>
      </c>
      <c r="M13" s="40"/>
    </row>
    <row r="14" spans="1:13" ht="22.5" customHeight="1" x14ac:dyDescent="0.4">
      <c r="A14" s="12"/>
      <c r="B14" s="102" t="s">
        <v>15</v>
      </c>
      <c r="C14" s="109"/>
      <c r="D14" s="26">
        <f>ROUNDDOWN(34064368471/1000000,0)</f>
        <v>34064</v>
      </c>
      <c r="E14" s="19">
        <v>0</v>
      </c>
      <c r="F14" s="19" t="s">
        <v>82</v>
      </c>
      <c r="G14" s="19">
        <v>0</v>
      </c>
      <c r="H14" s="26">
        <v>0</v>
      </c>
      <c r="I14" s="26">
        <f>ROUNDDOWN(32874911002/1000000,0)</f>
        <v>32874</v>
      </c>
      <c r="J14" s="26">
        <f>ROUNDDOWN(32434247/1000000,0)</f>
        <v>32</v>
      </c>
      <c r="K14" s="26">
        <v>0</v>
      </c>
      <c r="L14" s="26">
        <f>ROUNDDOWN(1006488461/1000000,0)</f>
        <v>1006</v>
      </c>
      <c r="M14" s="40"/>
    </row>
    <row r="15" spans="1:13" ht="22.5" customHeight="1" x14ac:dyDescent="0.4">
      <c r="A15" s="12"/>
      <c r="B15" s="102" t="s">
        <v>16</v>
      </c>
      <c r="C15" s="109"/>
      <c r="D15" s="26">
        <f>ROUNDDOWN(34609528235/1000000,0)</f>
        <v>34609</v>
      </c>
      <c r="E15" s="19">
        <v>0</v>
      </c>
      <c r="F15" s="19">
        <v>0</v>
      </c>
      <c r="G15" s="19">
        <v>0</v>
      </c>
      <c r="H15" s="26">
        <v>0</v>
      </c>
      <c r="I15" s="26">
        <f>ROUNDDOWN(33769474500/1000000,0)</f>
        <v>33769</v>
      </c>
      <c r="J15" s="26">
        <f>ROUNDDOWN(717632004/1000000,0)</f>
        <v>717</v>
      </c>
      <c r="K15" s="26">
        <v>0</v>
      </c>
      <c r="L15" s="26">
        <f>ROUNDDOWN(119219141/1000000,0)</f>
        <v>119</v>
      </c>
      <c r="M15" s="40"/>
    </row>
    <row r="16" spans="1:13" ht="22.5" customHeight="1" x14ac:dyDescent="0.4">
      <c r="A16" s="12"/>
      <c r="B16" s="102" t="s">
        <v>17</v>
      </c>
      <c r="C16" s="109"/>
      <c r="D16" s="26">
        <f>ROUNDDOWN(44499280000/1000000,0)</f>
        <v>44499</v>
      </c>
      <c r="E16" s="19">
        <v>0</v>
      </c>
      <c r="F16" s="19">
        <v>0</v>
      </c>
      <c r="G16" s="19">
        <v>0</v>
      </c>
      <c r="H16" s="26">
        <v>0</v>
      </c>
      <c r="I16" s="26">
        <f>ROUNDDOWN(2474446000/1000000,0)</f>
        <v>2474</v>
      </c>
      <c r="J16" s="26">
        <v>0</v>
      </c>
      <c r="K16" s="26">
        <f>ROUNDDOWN(42024834000/1000000,0)</f>
        <v>42024</v>
      </c>
      <c r="L16" s="26">
        <v>0</v>
      </c>
      <c r="M16" s="40"/>
    </row>
    <row r="17" spans="1:13" ht="22.5" customHeight="1" x14ac:dyDescent="0.4">
      <c r="A17" s="12"/>
      <c r="B17" s="102" t="s">
        <v>18</v>
      </c>
      <c r="C17" s="109"/>
      <c r="D17" s="26">
        <f>ROUNDDOWN(364213909898/1000000,0)</f>
        <v>364213</v>
      </c>
      <c r="E17" s="19">
        <v>0</v>
      </c>
      <c r="F17" s="19">
        <v>0</v>
      </c>
      <c r="G17" s="19">
        <v>0</v>
      </c>
      <c r="H17" s="26">
        <v>0</v>
      </c>
      <c r="I17" s="26">
        <f>ROUNDDOWN(237636117803/1000000,0)</f>
        <v>237636</v>
      </c>
      <c r="J17" s="26">
        <f>ROUNDDOWN(73661451134/1000000,0)</f>
        <v>73661</v>
      </c>
      <c r="K17" s="26">
        <v>0</v>
      </c>
      <c r="L17" s="26">
        <f>ROUNDDOWN(50100166253/1000000,0)</f>
        <v>50100</v>
      </c>
      <c r="M17" s="40"/>
    </row>
    <row r="18" spans="1:13" ht="22.5" customHeight="1" x14ac:dyDescent="0.4">
      <c r="A18" s="12"/>
      <c r="B18" s="102" t="s">
        <v>19</v>
      </c>
      <c r="C18" s="109"/>
      <c r="D18" s="26">
        <f>ROUNDDOWN(4726984614/1000000,0)</f>
        <v>4726</v>
      </c>
      <c r="E18" s="19">
        <v>0</v>
      </c>
      <c r="F18" s="19">
        <v>0</v>
      </c>
      <c r="G18" s="19">
        <v>0</v>
      </c>
      <c r="H18" s="26">
        <v>0</v>
      </c>
      <c r="I18" s="26">
        <f>ROUNDDOWN(1900059312/1000000,0)</f>
        <v>1900</v>
      </c>
      <c r="J18" s="26">
        <f>ROUNDDOWN(447372155/1000000,0)</f>
        <v>447</v>
      </c>
      <c r="K18" s="26">
        <f>ROUNDDOWN(1171955500/1000000,0)</f>
        <v>1171</v>
      </c>
      <c r="L18" s="26">
        <f>ROUNDDOWN(1091402968/1000000,0)</f>
        <v>1091</v>
      </c>
      <c r="M18" s="40"/>
    </row>
    <row r="19" spans="1:13" x14ac:dyDescent="0.4">
      <c r="A19" s="12"/>
      <c r="B19" s="104" t="s">
        <v>20</v>
      </c>
      <c r="C19" s="108"/>
      <c r="D19" s="26">
        <f>ROUNDDOWN(619877814/1000000,0)</f>
        <v>619</v>
      </c>
      <c r="E19" s="19">
        <v>0</v>
      </c>
      <c r="F19" s="19">
        <v>0</v>
      </c>
      <c r="G19" s="19">
        <v>0</v>
      </c>
      <c r="H19" s="26">
        <v>0</v>
      </c>
      <c r="I19" s="26">
        <f>ROUNDDOWN(498678000/1000000,0)</f>
        <v>498</v>
      </c>
      <c r="J19" s="26">
        <f>ROUNDDOWN(20531299/1000000,0)</f>
        <v>20</v>
      </c>
      <c r="K19" s="26">
        <v>0</v>
      </c>
      <c r="L19" s="26">
        <f>ROUNDDOWN(95880595/1000000,0)</f>
        <v>95</v>
      </c>
      <c r="M19" s="40"/>
    </row>
    <row r="20" spans="1:13" ht="22.5" customHeight="1" x14ac:dyDescent="0.4">
      <c r="A20" s="12"/>
      <c r="B20" s="102" t="s">
        <v>21</v>
      </c>
      <c r="C20" s="109"/>
      <c r="D20" s="26">
        <f>ROUNDDOWN(35126907182/1000000,0)</f>
        <v>35126</v>
      </c>
      <c r="E20" s="19">
        <v>0</v>
      </c>
      <c r="F20" s="19">
        <v>0</v>
      </c>
      <c r="G20" s="19">
        <v>0</v>
      </c>
      <c r="H20" s="26">
        <v>0</v>
      </c>
      <c r="I20" s="26">
        <f>ROUNDDOWN(32769455500/1000000,0)</f>
        <v>32769</v>
      </c>
      <c r="J20" s="26">
        <f>ROUNDDOWN(940090393/1000000,0)</f>
        <v>940</v>
      </c>
      <c r="K20" s="26">
        <f>ROUNDDOWN(1171955500/1000000,0)</f>
        <v>1171</v>
      </c>
      <c r="L20" s="26">
        <f>ROUNDDOWN(232997623/1000000,0)</f>
        <v>232</v>
      </c>
      <c r="M20" s="40"/>
    </row>
    <row r="21" spans="1:13" ht="22.5" customHeight="1" x14ac:dyDescent="0.4">
      <c r="A21" s="12"/>
      <c r="B21" s="102" t="s">
        <v>22</v>
      </c>
      <c r="C21" s="109"/>
      <c r="D21" s="26">
        <f>ROUNDDOWN(20670008995793/1000000,0)</f>
        <v>20670008</v>
      </c>
      <c r="E21" s="19">
        <v>0</v>
      </c>
      <c r="F21" s="19">
        <v>0</v>
      </c>
      <c r="G21" s="19">
        <v>0</v>
      </c>
      <c r="H21" s="26">
        <f>ROUNDDOWN(10564881504934/1000000,0)</f>
        <v>10564881</v>
      </c>
      <c r="I21" s="26">
        <f>ROUNDDOWN(10081556812384/1000000,0)</f>
        <v>10081556</v>
      </c>
      <c r="J21" s="26">
        <f>ROUNDDOWN(1735439008/1000000,0)</f>
        <v>1735</v>
      </c>
      <c r="K21" s="26">
        <v>0</v>
      </c>
      <c r="L21" s="26">
        <f>ROUNDDOWN(2940589365/1000000,0)</f>
        <v>2940</v>
      </c>
      <c r="M21" s="40"/>
    </row>
    <row r="22" spans="1:13" ht="33.75" customHeight="1" x14ac:dyDescent="0.4">
      <c r="A22" s="12"/>
      <c r="B22" s="102" t="s">
        <v>23</v>
      </c>
      <c r="C22" s="109"/>
      <c r="D22" s="26">
        <f>ROUNDDOWN(17313812653/1000000,0)</f>
        <v>17313</v>
      </c>
      <c r="E22" s="19">
        <v>0</v>
      </c>
      <c r="F22" s="19">
        <v>0</v>
      </c>
      <c r="G22" s="19">
        <v>0</v>
      </c>
      <c r="H22" s="26">
        <v>0</v>
      </c>
      <c r="I22" s="26">
        <f>ROUNDDOWN(16601712231/1000000,0)</f>
        <v>16601</v>
      </c>
      <c r="J22" s="26">
        <f>ROUNDDOWN(20290806/1000000,0)</f>
        <v>20</v>
      </c>
      <c r="K22" s="26">
        <v>0</v>
      </c>
      <c r="L22" s="26">
        <f>ROUNDDOWN(662631317/1000000,0)</f>
        <v>662</v>
      </c>
      <c r="M22" s="40"/>
    </row>
    <row r="23" spans="1:13" ht="19.5" thickBot="1" x14ac:dyDescent="0.45">
      <c r="A23" s="12"/>
      <c r="B23" s="104" t="s">
        <v>24</v>
      </c>
      <c r="C23" s="108"/>
      <c r="D23" s="26">
        <f>ROUNDDOWN(183921167/1000000,0)</f>
        <v>183</v>
      </c>
      <c r="E23" s="19">
        <v>0</v>
      </c>
      <c r="F23" s="19">
        <v>0</v>
      </c>
      <c r="G23" s="19">
        <v>0</v>
      </c>
      <c r="H23" s="26">
        <v>0</v>
      </c>
      <c r="I23" s="26">
        <f>ROUNDDOWN(17860000/1000000,0)</f>
        <v>17</v>
      </c>
      <c r="J23" s="26">
        <v>0</v>
      </c>
      <c r="K23" s="26">
        <v>0</v>
      </c>
      <c r="L23" s="26">
        <f>ROUNDDOWN(162197050/1000000,0)</f>
        <v>162</v>
      </c>
      <c r="M23" s="40"/>
    </row>
    <row r="24" spans="1:13" ht="19.5" thickTop="1" x14ac:dyDescent="0.4">
      <c r="A24" s="87" t="s">
        <v>25</v>
      </c>
      <c r="B24" s="88"/>
      <c r="C24" s="89"/>
      <c r="D24" s="27">
        <f>ROUNDDOWN(21304194689107/1000000,0)</f>
        <v>21304194</v>
      </c>
      <c r="E24" s="13">
        <f>ROUNDDOWN(31516095585/1000000,0)</f>
        <v>31516</v>
      </c>
      <c r="F24" s="13">
        <f>ROUNDDOWN(2272198041/1000000,0)</f>
        <v>2272</v>
      </c>
      <c r="G24" s="13">
        <f>ROUNDDOWN(3087623959/1000000,0)</f>
        <v>3087</v>
      </c>
      <c r="H24" s="27">
        <f>ROUNDDOWN(10564881504934/1000000,0)</f>
        <v>10564881</v>
      </c>
      <c r="I24" s="27">
        <f>ROUNDDOWN(10488741080231/1000000,0)</f>
        <v>10488741</v>
      </c>
      <c r="J24" s="27">
        <f>ROUNDDOWN(81577479112/1000000,0)</f>
        <v>81577</v>
      </c>
      <c r="K24" s="27">
        <f>ROUNDDOWN(44368745000/1000000,0)</f>
        <v>44368</v>
      </c>
      <c r="L24" s="27">
        <f>ROUNDDOWN(61104767893/1000000,0)</f>
        <v>61104</v>
      </c>
      <c r="M24" s="40"/>
    </row>
    <row r="25" spans="1:13" x14ac:dyDescent="0.4">
      <c r="A25" s="80"/>
      <c r="B25" s="80"/>
      <c r="C25" s="80"/>
      <c r="D25" s="41"/>
      <c r="E25" s="41"/>
      <c r="F25" s="41"/>
      <c r="G25" s="41"/>
      <c r="H25" s="41"/>
      <c r="I25" s="41"/>
      <c r="J25" s="41"/>
      <c r="K25" s="41"/>
      <c r="L25" s="41"/>
      <c r="M25" s="40"/>
    </row>
    <row r="26" spans="1:13" x14ac:dyDescent="0.4">
      <c r="A26" s="36"/>
      <c r="B26" s="36"/>
      <c r="C26" s="36"/>
      <c r="D26" s="36"/>
      <c r="E26" s="42"/>
      <c r="F26" s="42"/>
      <c r="G26" s="42"/>
      <c r="H26" s="43"/>
      <c r="I26" s="36"/>
      <c r="J26" s="36" t="s">
        <v>70</v>
      </c>
      <c r="K26" s="36"/>
      <c r="L26" s="36"/>
      <c r="M26" s="36"/>
    </row>
    <row r="27" spans="1:13" ht="21" x14ac:dyDescent="0.4">
      <c r="A27" s="110" t="s">
        <v>2</v>
      </c>
      <c r="B27" s="94"/>
      <c r="C27" s="94"/>
      <c r="D27" s="94"/>
      <c r="E27" s="10" t="s">
        <v>26</v>
      </c>
      <c r="F27" s="10" t="s">
        <v>27</v>
      </c>
      <c r="G27" s="10" t="s">
        <v>28</v>
      </c>
      <c r="H27" s="10" t="s">
        <v>29</v>
      </c>
      <c r="I27" s="10" t="s">
        <v>30</v>
      </c>
      <c r="J27" s="44" t="s">
        <v>31</v>
      </c>
      <c r="K27" s="40"/>
      <c r="L27" s="40"/>
      <c r="M27" s="40"/>
    </row>
    <row r="28" spans="1:13" x14ac:dyDescent="0.4">
      <c r="A28" s="98" t="s">
        <v>10</v>
      </c>
      <c r="B28" s="99"/>
      <c r="C28" s="99"/>
      <c r="D28" s="45"/>
      <c r="E28" s="25">
        <v>0</v>
      </c>
      <c r="F28" s="25">
        <v>0</v>
      </c>
      <c r="G28" s="25">
        <v>0</v>
      </c>
      <c r="H28" s="25">
        <v>0</v>
      </c>
      <c r="I28" s="25">
        <v>0</v>
      </c>
      <c r="J28" s="14">
        <v>0</v>
      </c>
      <c r="K28" s="40"/>
      <c r="L28" s="40"/>
      <c r="M28" s="40"/>
    </row>
    <row r="29" spans="1:13" x14ac:dyDescent="0.4">
      <c r="A29" s="111" t="s">
        <v>11</v>
      </c>
      <c r="B29" s="112"/>
      <c r="C29" s="112"/>
      <c r="D29" s="46"/>
      <c r="E29" s="29">
        <f>ROUNDDOWN(1754715428/1000000,0)</f>
        <v>1754</v>
      </c>
      <c r="F29" s="29">
        <f>ROUNDDOWN(716452135/1000000,0)</f>
        <v>716</v>
      </c>
      <c r="G29" s="29">
        <v>0</v>
      </c>
      <c r="H29" s="29">
        <v>0</v>
      </c>
      <c r="I29" s="47">
        <v>0</v>
      </c>
      <c r="J29" s="15">
        <v>0</v>
      </c>
      <c r="K29" s="40"/>
      <c r="L29" s="40"/>
      <c r="M29" s="40"/>
    </row>
    <row r="30" spans="1:13" x14ac:dyDescent="0.4">
      <c r="A30" s="113" t="s">
        <v>12</v>
      </c>
      <c r="B30" s="114"/>
      <c r="C30" s="114"/>
      <c r="D30" s="48"/>
      <c r="E30" s="24">
        <v>0</v>
      </c>
      <c r="F30" s="24">
        <f>ROUNDDOWN(2087385020/1000000,0)</f>
        <v>2087</v>
      </c>
      <c r="G30" s="24">
        <v>0</v>
      </c>
      <c r="H30" s="24">
        <v>0</v>
      </c>
      <c r="I30" s="24">
        <v>0</v>
      </c>
      <c r="J30" s="16">
        <v>0</v>
      </c>
      <c r="K30" s="40"/>
      <c r="L30" s="40"/>
      <c r="M30" s="40"/>
    </row>
    <row r="31" spans="1:13" x14ac:dyDescent="0.4">
      <c r="A31" s="115" t="s">
        <v>13</v>
      </c>
      <c r="B31" s="99"/>
      <c r="C31" s="99"/>
      <c r="D31" s="45"/>
      <c r="E31" s="25">
        <f>ROUNDDOWN(7184657433/1000000,0)</f>
        <v>7184</v>
      </c>
      <c r="F31" s="25">
        <v>0</v>
      </c>
      <c r="G31" s="25">
        <f>ROUNDDOWN(14867975402/1000000,0)</f>
        <v>14867</v>
      </c>
      <c r="H31" s="25">
        <f>ROUNDDOWN(34000138/1000000,0)</f>
        <v>34</v>
      </c>
      <c r="I31" s="25">
        <v>0</v>
      </c>
      <c r="J31" s="30">
        <f>ROUNDDOWN(22703512842069/1000000,0)</f>
        <v>22703512</v>
      </c>
      <c r="K31" s="40"/>
      <c r="L31" s="49"/>
      <c r="M31" s="50"/>
    </row>
    <row r="32" spans="1:13" ht="22.5" customHeight="1" x14ac:dyDescent="0.4">
      <c r="A32" s="12"/>
      <c r="B32" s="106" t="s">
        <v>14</v>
      </c>
      <c r="C32" s="107"/>
      <c r="D32" s="51"/>
      <c r="E32" s="26">
        <f>ROUNDDOWN(55637631/1000000,0)</f>
        <v>55</v>
      </c>
      <c r="F32" s="26">
        <v>0</v>
      </c>
      <c r="G32" s="26">
        <v>0</v>
      </c>
      <c r="H32" s="26">
        <v>0</v>
      </c>
      <c r="I32" s="26">
        <v>0</v>
      </c>
      <c r="J32" s="31">
        <f>ROUNDDOWN(53135624543/1000000,0)</f>
        <v>53135</v>
      </c>
      <c r="K32" s="40"/>
      <c r="L32" s="49"/>
      <c r="M32" s="50"/>
    </row>
    <row r="33" spans="1:13" ht="22.5" customHeight="1" x14ac:dyDescent="0.4">
      <c r="A33" s="12"/>
      <c r="B33" s="102" t="s">
        <v>15</v>
      </c>
      <c r="C33" s="103"/>
      <c r="D33" s="51"/>
      <c r="E33" s="26">
        <f>ROUNDDOWN(150534761/1000000,0)</f>
        <v>150</v>
      </c>
      <c r="F33" s="26">
        <v>0</v>
      </c>
      <c r="G33" s="26">
        <v>0</v>
      </c>
      <c r="H33" s="26">
        <v>0</v>
      </c>
      <c r="I33" s="26">
        <v>0</v>
      </c>
      <c r="J33" s="31">
        <f>ROUNDDOWN(33538331108/1000000,0)</f>
        <v>33538</v>
      </c>
      <c r="K33" s="40"/>
      <c r="L33" s="49"/>
      <c r="M33" s="50"/>
    </row>
    <row r="34" spans="1:13" ht="22.5" customHeight="1" x14ac:dyDescent="0.4">
      <c r="A34" s="12"/>
      <c r="B34" s="102" t="s">
        <v>16</v>
      </c>
      <c r="C34" s="103"/>
      <c r="D34" s="51"/>
      <c r="E34" s="26">
        <f>ROUNDDOWN(3202590/1000000,0)</f>
        <v>3</v>
      </c>
      <c r="F34" s="26">
        <v>0</v>
      </c>
      <c r="G34" s="26">
        <v>0</v>
      </c>
      <c r="H34" s="26">
        <v>0</v>
      </c>
      <c r="I34" s="26">
        <v>0</v>
      </c>
      <c r="J34" s="31">
        <f>ROUNDDOWN(34609528235/1000000,0)</f>
        <v>34609</v>
      </c>
      <c r="K34" s="40"/>
      <c r="L34" s="49"/>
      <c r="M34" s="40"/>
    </row>
    <row r="35" spans="1:13" ht="22.5" customHeight="1" x14ac:dyDescent="0.4">
      <c r="A35" s="12"/>
      <c r="B35" s="102" t="s">
        <v>17</v>
      </c>
      <c r="C35" s="103"/>
      <c r="D35" s="51"/>
      <c r="E35" s="26">
        <v>0</v>
      </c>
      <c r="F35" s="26">
        <v>0</v>
      </c>
      <c r="G35" s="26">
        <v>0</v>
      </c>
      <c r="H35" s="26">
        <v>0</v>
      </c>
      <c r="I35" s="26">
        <v>0</v>
      </c>
      <c r="J35" s="31">
        <f>ROUNDDOWN(44499280000/1000000,0)</f>
        <v>44499</v>
      </c>
      <c r="K35" s="40"/>
      <c r="L35" s="49"/>
      <c r="M35" s="40"/>
    </row>
    <row r="36" spans="1:13" ht="22.5" customHeight="1" x14ac:dyDescent="0.4">
      <c r="A36" s="12"/>
      <c r="B36" s="102" t="s">
        <v>18</v>
      </c>
      <c r="C36" s="103"/>
      <c r="D36" s="51"/>
      <c r="E36" s="26">
        <f>ROUNDDOWN(2816174708/1000000,0)</f>
        <v>2816</v>
      </c>
      <c r="F36" s="26">
        <v>0</v>
      </c>
      <c r="G36" s="26">
        <v>0</v>
      </c>
      <c r="H36" s="26">
        <v>0</v>
      </c>
      <c r="I36" s="26">
        <v>0</v>
      </c>
      <c r="J36" s="31">
        <f>ROUNDDOWN(367707699109/1000000,0)</f>
        <v>367707</v>
      </c>
      <c r="K36" s="40"/>
      <c r="L36" s="49"/>
      <c r="M36" s="40"/>
    </row>
    <row r="37" spans="1:13" ht="22.5" customHeight="1" x14ac:dyDescent="0.4">
      <c r="A37" s="12"/>
      <c r="B37" s="102" t="s">
        <v>19</v>
      </c>
      <c r="C37" s="103"/>
      <c r="D37" s="51"/>
      <c r="E37" s="26">
        <f>ROUNDDOWN(116194679/1000000,0)</f>
        <v>116</v>
      </c>
      <c r="F37" s="26">
        <v>0</v>
      </c>
      <c r="G37" s="26">
        <v>0</v>
      </c>
      <c r="H37" s="26">
        <v>0</v>
      </c>
      <c r="I37" s="26">
        <v>0</v>
      </c>
      <c r="J37" s="31">
        <f>ROUNDDOWN(4810891586/1000000,0)</f>
        <v>4810</v>
      </c>
      <c r="K37" s="40"/>
      <c r="L37" s="49"/>
      <c r="M37" s="40"/>
    </row>
    <row r="38" spans="1:13" x14ac:dyDescent="0.4">
      <c r="A38" s="12"/>
      <c r="B38" s="104" t="s">
        <v>20</v>
      </c>
      <c r="C38" s="105"/>
      <c r="D38" s="51"/>
      <c r="E38" s="26">
        <f>ROUNDDOWN(4787920/1000000,0)</f>
        <v>4</v>
      </c>
      <c r="F38" s="26">
        <v>0</v>
      </c>
      <c r="G38" s="26">
        <v>0</v>
      </c>
      <c r="H38" s="26">
        <v>0</v>
      </c>
      <c r="I38" s="26">
        <v>0</v>
      </c>
      <c r="J38" s="31">
        <f>ROUNDDOWN(623168214/1000000,0)</f>
        <v>623</v>
      </c>
      <c r="K38" s="40"/>
      <c r="L38" s="49"/>
      <c r="M38" s="40"/>
    </row>
    <row r="39" spans="1:13" ht="22.5" customHeight="1" x14ac:dyDescent="0.4">
      <c r="A39" s="12"/>
      <c r="B39" s="102" t="s">
        <v>21</v>
      </c>
      <c r="C39" s="103"/>
      <c r="D39" s="51"/>
      <c r="E39" s="26">
        <f>ROUNDDOWN(12408166/1000000,0)</f>
        <v>12</v>
      </c>
      <c r="F39" s="26">
        <v>0</v>
      </c>
      <c r="G39" s="26">
        <v>0</v>
      </c>
      <c r="H39" s="26">
        <v>0</v>
      </c>
      <c r="I39" s="26">
        <v>0</v>
      </c>
      <c r="J39" s="31">
        <f>ROUNDDOWN(35126907182/1000000,0)</f>
        <v>35126</v>
      </c>
      <c r="K39" s="40"/>
      <c r="L39" s="49"/>
      <c r="M39" s="40"/>
    </row>
    <row r="40" spans="1:13" ht="22.5" customHeight="1" x14ac:dyDescent="0.4">
      <c r="A40" s="12"/>
      <c r="B40" s="102" t="s">
        <v>22</v>
      </c>
      <c r="C40" s="103"/>
      <c r="D40" s="51"/>
      <c r="E40" s="26">
        <f>ROUNDDOWN(3992674562/1000000,0)</f>
        <v>3992</v>
      </c>
      <c r="F40" s="26">
        <v>0</v>
      </c>
      <c r="G40" s="26">
        <f>ROUNDDOWN(14867975402/1000000,0)</f>
        <v>14867</v>
      </c>
      <c r="H40" s="26">
        <f>ROUNDDOWN(34000138/1000000,0)</f>
        <v>34</v>
      </c>
      <c r="I40" s="26">
        <v>0</v>
      </c>
      <c r="J40" s="31">
        <f>ROUNDDOWN(22111963001024/1000000,0)</f>
        <v>22111963</v>
      </c>
      <c r="K40" s="40"/>
      <c r="L40" s="49"/>
      <c r="M40" s="40"/>
    </row>
    <row r="41" spans="1:13" ht="33.75" customHeight="1" x14ac:dyDescent="0.4">
      <c r="A41" s="12"/>
      <c r="B41" s="102" t="s">
        <v>23</v>
      </c>
      <c r="C41" s="103"/>
      <c r="D41" s="51"/>
      <c r="E41" s="26">
        <f>ROUNDDOWN(29178299/1000000,0)</f>
        <v>29</v>
      </c>
      <c r="F41" s="26">
        <v>0</v>
      </c>
      <c r="G41" s="26">
        <v>0</v>
      </c>
      <c r="H41" s="26">
        <v>0</v>
      </c>
      <c r="I41" s="26">
        <v>0</v>
      </c>
      <c r="J41" s="31">
        <f>ROUNDDOWN(17313812653/1000000,0)</f>
        <v>17313</v>
      </c>
      <c r="K41" s="40"/>
      <c r="L41" s="49"/>
      <c r="M41" s="40"/>
    </row>
    <row r="42" spans="1:13" ht="19.5" thickBot="1" x14ac:dyDescent="0.45">
      <c r="A42" s="12"/>
      <c r="B42" s="104" t="s">
        <v>24</v>
      </c>
      <c r="C42" s="105"/>
      <c r="D42" s="51"/>
      <c r="E42" s="26">
        <f>ROUNDDOWN(3864117/1000000,0)</f>
        <v>3</v>
      </c>
      <c r="F42" s="26">
        <v>0</v>
      </c>
      <c r="G42" s="26">
        <v>0</v>
      </c>
      <c r="H42" s="26">
        <v>0</v>
      </c>
      <c r="I42" s="26">
        <v>0</v>
      </c>
      <c r="J42" s="31">
        <f>ROUNDDOWN(184598415/1000000,0)</f>
        <v>184</v>
      </c>
      <c r="K42" s="40"/>
      <c r="L42" s="49"/>
      <c r="M42" s="40"/>
    </row>
    <row r="43" spans="1:13" ht="19.5" thickTop="1" x14ac:dyDescent="0.4">
      <c r="A43" s="87" t="s">
        <v>25</v>
      </c>
      <c r="B43" s="88"/>
      <c r="C43" s="88"/>
      <c r="D43" s="52"/>
      <c r="E43" s="27">
        <f>ROUNDDOWN(8939372861/1000000,0)</f>
        <v>8939</v>
      </c>
      <c r="F43" s="27">
        <f>ROUNDDOWN(2803837155/1000000,0)</f>
        <v>2803</v>
      </c>
      <c r="G43" s="27">
        <f>ROUNDDOWN(14867975402/1000000,0)</f>
        <v>14867</v>
      </c>
      <c r="H43" s="27">
        <f>ROUNDDOWN(34000138/1000000,0)</f>
        <v>34</v>
      </c>
      <c r="I43" s="53">
        <f>ROUNDDOWN(8796/1000000,0)</f>
        <v>0</v>
      </c>
      <c r="J43" s="17">
        <v>0</v>
      </c>
      <c r="K43" s="40"/>
      <c r="L43" s="40"/>
      <c r="M43" s="40"/>
    </row>
    <row r="44" spans="1:13" x14ac:dyDescent="0.4">
      <c r="A44" s="2"/>
      <c r="B44" s="2"/>
      <c r="C44" s="2"/>
      <c r="D44" s="2"/>
      <c r="E44" s="2"/>
      <c r="F44" s="2"/>
      <c r="G44" s="2"/>
      <c r="H44" s="2"/>
      <c r="I44" s="2"/>
      <c r="J44" s="2"/>
      <c r="K44" s="2"/>
      <c r="L44" s="40"/>
      <c r="M44" s="40"/>
    </row>
    <row r="45" spans="1:13" x14ac:dyDescent="0.4">
      <c r="A45" s="98" t="s">
        <v>32</v>
      </c>
      <c r="B45" s="99"/>
      <c r="C45" s="100"/>
      <c r="D45" s="11">
        <v>10623755</v>
      </c>
      <c r="E45" s="3" t="s">
        <v>68</v>
      </c>
      <c r="F45" s="2"/>
      <c r="G45" s="2"/>
      <c r="H45" s="2"/>
      <c r="I45" s="2"/>
      <c r="J45" s="2"/>
      <c r="K45" s="2"/>
      <c r="L45" s="2"/>
      <c r="M45" s="40"/>
    </row>
    <row r="46" spans="1:13" x14ac:dyDescent="0.4">
      <c r="A46" s="2" t="s">
        <v>72</v>
      </c>
      <c r="B46" s="40"/>
      <c r="C46" s="54"/>
      <c r="D46" s="55"/>
      <c r="E46" s="2"/>
      <c r="F46" s="2"/>
      <c r="G46" s="2"/>
      <c r="H46" s="2"/>
      <c r="I46" s="2"/>
      <c r="J46" s="2"/>
      <c r="K46" s="2"/>
      <c r="L46" s="2"/>
      <c r="M46" s="40"/>
    </row>
    <row r="47" spans="1:13" x14ac:dyDescent="0.4">
      <c r="A47" s="54"/>
      <c r="B47" s="54"/>
      <c r="C47" s="54"/>
      <c r="D47" s="55"/>
      <c r="E47" s="2"/>
      <c r="F47" s="2"/>
      <c r="G47" s="2"/>
      <c r="H47" s="2"/>
      <c r="I47" s="2"/>
      <c r="J47" s="2"/>
      <c r="K47" s="2"/>
      <c r="L47" s="2"/>
      <c r="M47" s="40"/>
    </row>
    <row r="48" spans="1:13" x14ac:dyDescent="0.4">
      <c r="A48" s="1" t="s">
        <v>33</v>
      </c>
      <c r="B48" s="2"/>
      <c r="C48" s="2"/>
      <c r="D48" s="2"/>
      <c r="E48" s="36"/>
      <c r="F48" s="36"/>
      <c r="G48" s="36"/>
      <c r="H48" s="36"/>
      <c r="I48" s="36"/>
      <c r="J48" s="36"/>
      <c r="K48" s="36"/>
      <c r="L48" s="36" t="s">
        <v>70</v>
      </c>
      <c r="M48" s="2"/>
    </row>
    <row r="49" spans="1:13" x14ac:dyDescent="0.4">
      <c r="A49" s="90" t="s">
        <v>34</v>
      </c>
      <c r="B49" s="91"/>
      <c r="C49" s="94"/>
      <c r="D49" s="90"/>
      <c r="E49" s="56" t="s">
        <v>35</v>
      </c>
      <c r="F49" s="57"/>
      <c r="G49" s="57"/>
      <c r="H49" s="57"/>
      <c r="I49" s="57"/>
      <c r="J49" s="57"/>
      <c r="K49" s="57"/>
      <c r="L49" s="57"/>
      <c r="M49" s="40"/>
    </row>
    <row r="50" spans="1:13" x14ac:dyDescent="0.4">
      <c r="A50" s="92"/>
      <c r="B50" s="93"/>
      <c r="C50" s="95"/>
      <c r="D50" s="92"/>
      <c r="E50" s="10" t="s">
        <v>36</v>
      </c>
      <c r="F50" s="10" t="s">
        <v>37</v>
      </c>
      <c r="G50" s="10" t="s">
        <v>38</v>
      </c>
      <c r="H50" s="10" t="s">
        <v>39</v>
      </c>
      <c r="I50" s="10" t="s">
        <v>40</v>
      </c>
      <c r="J50" s="10" t="s">
        <v>41</v>
      </c>
      <c r="K50" s="10" t="s">
        <v>42</v>
      </c>
      <c r="L50" s="10" t="s">
        <v>43</v>
      </c>
      <c r="M50" s="40"/>
    </row>
    <row r="51" spans="1:13" x14ac:dyDescent="0.4">
      <c r="A51" s="98" t="s">
        <v>44</v>
      </c>
      <c r="B51" s="99"/>
      <c r="C51" s="100"/>
      <c r="D51" s="34">
        <f>ROUNDDOWN(2393091024/1000000,0)</f>
        <v>2393</v>
      </c>
      <c r="E51" s="25">
        <v>0</v>
      </c>
      <c r="F51" s="25">
        <v>0</v>
      </c>
      <c r="G51" s="25">
        <v>0</v>
      </c>
      <c r="H51" s="25">
        <v>0</v>
      </c>
      <c r="I51" s="25">
        <v>0</v>
      </c>
      <c r="J51" s="25">
        <v>0</v>
      </c>
      <c r="K51" s="25">
        <v>0</v>
      </c>
      <c r="L51" s="25">
        <v>0</v>
      </c>
      <c r="M51" s="40"/>
    </row>
    <row r="52" spans="1:13" x14ac:dyDescent="0.4">
      <c r="A52" s="98" t="s">
        <v>45</v>
      </c>
      <c r="B52" s="99"/>
      <c r="C52" s="100"/>
      <c r="D52" s="24">
        <f>ROUNDDOWN(74490964516/1000000,0)</f>
        <v>74490</v>
      </c>
      <c r="E52" s="24">
        <v>0</v>
      </c>
      <c r="F52" s="25">
        <v>0</v>
      </c>
      <c r="G52" s="25">
        <v>0</v>
      </c>
      <c r="H52" s="25">
        <v>0</v>
      </c>
      <c r="I52" s="25">
        <f>ROUNDDOWN(53026222852/1000000,0)</f>
        <v>53026</v>
      </c>
      <c r="J52" s="25">
        <f>ROUNDDOWN(70257811/1000000,0)</f>
        <v>70</v>
      </c>
      <c r="K52" s="25">
        <f>ROUNDDOWN(16079922171/1000000,0)</f>
        <v>16079</v>
      </c>
      <c r="L52" s="25">
        <f>ROUNDDOWN(5314561682/1000000,0)</f>
        <v>5314</v>
      </c>
      <c r="M52" s="40"/>
    </row>
    <row r="53" spans="1:13" ht="22.5" customHeight="1" x14ac:dyDescent="0.4">
      <c r="A53" s="85" t="s">
        <v>18</v>
      </c>
      <c r="B53" s="86"/>
      <c r="C53" s="101"/>
      <c r="D53" s="58">
        <f>ROUNDDOWN(3563464661/1000000,0)</f>
        <v>3563</v>
      </c>
      <c r="E53" s="58">
        <f>ROUNDDOWN(5693022292/1000000,0)</f>
        <v>5693</v>
      </c>
      <c r="F53" s="58">
        <v>0</v>
      </c>
      <c r="G53" s="58">
        <v>0</v>
      </c>
      <c r="H53" s="58">
        <v>0</v>
      </c>
      <c r="I53" s="58">
        <v>0</v>
      </c>
      <c r="J53" s="58">
        <v>0</v>
      </c>
      <c r="K53" s="58">
        <v>0</v>
      </c>
      <c r="L53" s="58">
        <v>0</v>
      </c>
      <c r="M53" s="40"/>
    </row>
    <row r="54" spans="1:13" ht="22.5" customHeight="1" thickBot="1" x14ac:dyDescent="0.45">
      <c r="A54" s="85" t="s">
        <v>22</v>
      </c>
      <c r="B54" s="86"/>
      <c r="C54" s="101"/>
      <c r="D54" s="58">
        <v>2457182</v>
      </c>
      <c r="E54" s="58">
        <v>0</v>
      </c>
      <c r="F54" s="58">
        <f>ROUNDDOWN(5033754/1000000,0)</f>
        <v>5</v>
      </c>
      <c r="G54" s="58">
        <f>ROUNDDOWN(987948257639/1000000,0)</f>
        <v>987948</v>
      </c>
      <c r="H54" s="58">
        <f>ROUNDDOWN(-113387417000/1000000,0)</f>
        <v>-113387</v>
      </c>
      <c r="I54" s="58">
        <f>ROUNDDOWN(4984549723/1000000,0)</f>
        <v>4984</v>
      </c>
      <c r="J54" s="58">
        <v>0</v>
      </c>
      <c r="K54" s="58">
        <v>0</v>
      </c>
      <c r="L54" s="58">
        <f>ROUNDDOWN(27714/1000000,0)</f>
        <v>0</v>
      </c>
      <c r="M54" s="40"/>
    </row>
    <row r="55" spans="1:13" ht="19.5" thickTop="1" x14ac:dyDescent="0.4">
      <c r="A55" s="87" t="s">
        <v>46</v>
      </c>
      <c r="B55" s="88"/>
      <c r="C55" s="89"/>
      <c r="D55" s="27">
        <v>2537629</v>
      </c>
      <c r="E55" s="27">
        <f>ROUNDDOWN(5693022292/1000000,0)</f>
        <v>5693</v>
      </c>
      <c r="F55" s="27">
        <f>ROUNDDOWN(5033754/1000000,0)</f>
        <v>5</v>
      </c>
      <c r="G55" s="27">
        <f>ROUNDDOWN(987948257639/1000000,0)</f>
        <v>987948</v>
      </c>
      <c r="H55" s="27">
        <f>ROUNDDOWN(-113387417000/1000000,0)</f>
        <v>-113387</v>
      </c>
      <c r="I55" s="27">
        <f>ROUNDDOWN(58010772575/1000000,0)</f>
        <v>58010</v>
      </c>
      <c r="J55" s="27">
        <f>ROUNDDOWN(70257811/1000000,0)</f>
        <v>70</v>
      </c>
      <c r="K55" s="27">
        <v>16079</v>
      </c>
      <c r="L55" s="27">
        <f>ROUNDDOWN(5314589396/1000000,0)</f>
        <v>5314</v>
      </c>
      <c r="M55" s="40"/>
    </row>
    <row r="56" spans="1:13" x14ac:dyDescent="0.4">
      <c r="A56" s="36"/>
      <c r="B56" s="36"/>
      <c r="C56" s="36"/>
      <c r="D56" s="36"/>
      <c r="E56" s="36"/>
      <c r="F56" s="36"/>
      <c r="G56" s="36"/>
      <c r="H56" s="36"/>
      <c r="I56" s="36"/>
      <c r="J56" s="36"/>
      <c r="K56" s="36" t="s">
        <v>70</v>
      </c>
      <c r="L56" s="36"/>
      <c r="M56" s="36"/>
    </row>
    <row r="57" spans="1:13" x14ac:dyDescent="0.4">
      <c r="A57" s="90" t="s">
        <v>34</v>
      </c>
      <c r="B57" s="91"/>
      <c r="C57" s="91"/>
      <c r="D57" s="94"/>
      <c r="E57" s="59" t="s">
        <v>47</v>
      </c>
      <c r="F57" s="57"/>
      <c r="G57" s="57"/>
      <c r="H57" s="57"/>
      <c r="I57" s="57"/>
      <c r="J57" s="60"/>
      <c r="K57" s="96" t="s">
        <v>48</v>
      </c>
      <c r="L57" s="40"/>
      <c r="M57" s="40"/>
    </row>
    <row r="58" spans="1:13" x14ac:dyDescent="0.4">
      <c r="A58" s="92"/>
      <c r="B58" s="93"/>
      <c r="C58" s="93"/>
      <c r="D58" s="95"/>
      <c r="E58" s="10" t="s">
        <v>49</v>
      </c>
      <c r="F58" s="10" t="s">
        <v>50</v>
      </c>
      <c r="G58" s="10" t="s">
        <v>51</v>
      </c>
      <c r="H58" s="10" t="s">
        <v>52</v>
      </c>
      <c r="I58" s="10" t="s">
        <v>53</v>
      </c>
      <c r="J58" s="61" t="s">
        <v>54</v>
      </c>
      <c r="K58" s="97"/>
      <c r="L58" s="40"/>
      <c r="M58" s="40"/>
    </row>
    <row r="59" spans="1:13" x14ac:dyDescent="0.4">
      <c r="A59" s="98" t="s">
        <v>44</v>
      </c>
      <c r="B59" s="99"/>
      <c r="C59" s="99"/>
      <c r="D59" s="34"/>
      <c r="E59" s="25">
        <v>0</v>
      </c>
      <c r="F59" s="25">
        <f>ROUNDDOWN(2098798381/1000000,0)</f>
        <v>2098</v>
      </c>
      <c r="G59" s="25">
        <f>ROUNDDOWN(294292643/1000000,0)</f>
        <v>294</v>
      </c>
      <c r="H59" s="25">
        <v>0</v>
      </c>
      <c r="I59" s="25">
        <v>0</v>
      </c>
      <c r="J59" s="62">
        <v>0</v>
      </c>
      <c r="K59" s="63" t="s">
        <v>55</v>
      </c>
      <c r="L59" s="40"/>
      <c r="M59" s="40"/>
    </row>
    <row r="60" spans="1:13" x14ac:dyDescent="0.4">
      <c r="A60" s="98" t="s">
        <v>45</v>
      </c>
      <c r="B60" s="99"/>
      <c r="C60" s="99"/>
      <c r="D60" s="34"/>
      <c r="E60" s="25">
        <v>0</v>
      </c>
      <c r="F60" s="25">
        <v>0</v>
      </c>
      <c r="G60" s="25">
        <v>0</v>
      </c>
      <c r="H60" s="25">
        <v>0</v>
      </c>
      <c r="I60" s="25">
        <v>0</v>
      </c>
      <c r="J60" s="62">
        <v>0</v>
      </c>
      <c r="K60" s="63" t="s">
        <v>55</v>
      </c>
      <c r="L60" s="40"/>
      <c r="M60" s="40"/>
    </row>
    <row r="61" spans="1:13" ht="22.5" customHeight="1" x14ac:dyDescent="0.4">
      <c r="A61" s="85" t="s">
        <v>18</v>
      </c>
      <c r="B61" s="86"/>
      <c r="C61" s="86"/>
      <c r="D61" s="64"/>
      <c r="E61" s="58">
        <f>ROUNDDOWN(12908649/1000000,0)</f>
        <v>12</v>
      </c>
      <c r="F61" s="58">
        <v>0</v>
      </c>
      <c r="G61" s="58">
        <v>0</v>
      </c>
      <c r="H61" s="58">
        <v>0</v>
      </c>
      <c r="I61" s="58">
        <f>ROUNDDOWN(-2142466280/1000000,0)</f>
        <v>-2142</v>
      </c>
      <c r="J61" s="65">
        <v>0</v>
      </c>
      <c r="K61" s="66" t="s">
        <v>55</v>
      </c>
      <c r="L61" s="40"/>
      <c r="M61" s="40"/>
    </row>
    <row r="62" spans="1:13" ht="22.5" customHeight="1" thickBot="1" x14ac:dyDescent="0.45">
      <c r="A62" s="85" t="s">
        <v>22</v>
      </c>
      <c r="B62" s="86"/>
      <c r="C62" s="86"/>
      <c r="D62" s="64"/>
      <c r="E62" s="58">
        <v>0</v>
      </c>
      <c r="F62" s="67">
        <v>0</v>
      </c>
      <c r="G62" s="58">
        <v>0</v>
      </c>
      <c r="H62" s="58">
        <f>ROUNDDOWN(3840382250823/1000000,0)</f>
        <v>3840382</v>
      </c>
      <c r="I62" s="58">
        <f>ROUNDDOWN(-810329137473/1000000,0)</f>
        <v>-810329</v>
      </c>
      <c r="J62" s="65">
        <f>ROUNDDOWN(-1452421192726/1000000,0)</f>
        <v>-1452421</v>
      </c>
      <c r="K62" s="66" t="s">
        <v>55</v>
      </c>
      <c r="L62" s="40"/>
      <c r="M62" s="40"/>
    </row>
    <row r="63" spans="1:13" ht="19.5" thickTop="1" x14ac:dyDescent="0.4">
      <c r="A63" s="87" t="s">
        <v>46</v>
      </c>
      <c r="B63" s="88"/>
      <c r="C63" s="88"/>
      <c r="D63" s="68"/>
      <c r="E63" s="27">
        <f>ROUNDDOWN(12908649/1000000,0)</f>
        <v>12</v>
      </c>
      <c r="F63" s="27">
        <f>ROUNDDOWN(2098798397/1000000,0)</f>
        <v>2098</v>
      </c>
      <c r="G63" s="27">
        <f>ROUNDDOWN(294292643/1000000,0)</f>
        <v>294</v>
      </c>
      <c r="H63" s="27">
        <f>ROUNDDOWN(3840382250823/1000000,0)</f>
        <v>3840382</v>
      </c>
      <c r="I63" s="27">
        <f>ROUNDDOWN(-812471603753/1000000,0)</f>
        <v>-812471</v>
      </c>
      <c r="J63" s="69">
        <f>ROUNDDOWN(-1452421192726/1000000,0)</f>
        <v>-1452421</v>
      </c>
      <c r="K63" s="70"/>
      <c r="L63" s="40"/>
      <c r="M63" s="40"/>
    </row>
    <row r="64" spans="1:13" x14ac:dyDescent="0.4">
      <c r="A64" s="2" t="s">
        <v>79</v>
      </c>
      <c r="B64" s="40"/>
      <c r="C64" s="80"/>
      <c r="D64" s="55"/>
      <c r="E64" s="55"/>
      <c r="F64" s="55"/>
      <c r="G64" s="55"/>
      <c r="H64" s="55"/>
      <c r="I64" s="55"/>
      <c r="J64" s="55"/>
      <c r="K64" s="55"/>
      <c r="L64" s="40"/>
      <c r="M64" s="40"/>
    </row>
    <row r="65" spans="1:13" x14ac:dyDescent="0.4">
      <c r="A65" s="54" t="s">
        <v>80</v>
      </c>
      <c r="B65" s="80"/>
      <c r="C65" s="80"/>
      <c r="D65" s="55"/>
      <c r="E65" s="55"/>
      <c r="F65" s="55"/>
      <c r="G65" s="55"/>
      <c r="H65" s="55"/>
      <c r="I65" s="55"/>
      <c r="J65" s="55"/>
      <c r="K65" s="55"/>
      <c r="L65" s="55"/>
      <c r="M65" s="40"/>
    </row>
    <row r="66" spans="1:13" x14ac:dyDescent="0.4">
      <c r="A66" s="80"/>
      <c r="B66" s="80"/>
      <c r="C66" s="80"/>
      <c r="D66" s="55"/>
      <c r="E66" s="55"/>
      <c r="F66" s="55"/>
      <c r="G66" s="55"/>
      <c r="H66" s="55"/>
      <c r="I66" s="55"/>
      <c r="J66" s="55"/>
      <c r="K66" s="55"/>
      <c r="L66" s="55"/>
      <c r="M66" s="40"/>
    </row>
    <row r="67" spans="1:13" x14ac:dyDescent="0.4">
      <c r="A67" s="1" t="s">
        <v>56</v>
      </c>
      <c r="B67" s="2"/>
      <c r="C67" s="2"/>
      <c r="D67" s="2"/>
      <c r="E67" s="2"/>
      <c r="F67" s="2"/>
      <c r="G67" s="2"/>
      <c r="H67" s="2"/>
      <c r="I67" s="2"/>
      <c r="J67" s="2"/>
      <c r="K67" s="2"/>
      <c r="L67" s="2"/>
      <c r="M67" s="40"/>
    </row>
    <row r="68" spans="1:13" x14ac:dyDescent="0.4">
      <c r="A68" s="2" t="s">
        <v>57</v>
      </c>
      <c r="B68" s="2"/>
      <c r="C68" s="2"/>
      <c r="D68" s="40"/>
      <c r="E68" s="2"/>
      <c r="F68" s="2"/>
      <c r="G68" s="2"/>
      <c r="H68" s="2"/>
      <c r="I68" s="2"/>
      <c r="J68" s="2"/>
      <c r="K68" s="2"/>
      <c r="L68" s="2"/>
      <c r="M68" s="40"/>
    </row>
    <row r="69" spans="1:13" x14ac:dyDescent="0.4">
      <c r="A69" s="2" t="s">
        <v>58</v>
      </c>
      <c r="B69" s="2"/>
      <c r="C69" s="2"/>
      <c r="D69" s="36" t="s">
        <v>71</v>
      </c>
      <c r="E69" s="2"/>
      <c r="F69" s="2"/>
      <c r="G69" s="2"/>
      <c r="H69" s="2"/>
      <c r="I69" s="2"/>
      <c r="J69" s="2"/>
      <c r="K69" s="2"/>
      <c r="L69" s="2"/>
      <c r="M69" s="40"/>
    </row>
    <row r="70" spans="1:13" x14ac:dyDescent="0.4">
      <c r="A70" s="83" t="s">
        <v>59</v>
      </c>
      <c r="B70" s="81"/>
      <c r="C70" s="82"/>
      <c r="D70" s="32">
        <f>ROUNDDOWN(17708524769/1000000,0)</f>
        <v>17708</v>
      </c>
      <c r="E70" s="2"/>
      <c r="F70" s="2"/>
      <c r="G70" s="2"/>
      <c r="H70" s="2"/>
      <c r="I70" s="2"/>
      <c r="J70" s="2"/>
      <c r="K70" s="2"/>
      <c r="L70" s="2"/>
      <c r="M70" s="40"/>
    </row>
    <row r="71" spans="1:13" x14ac:dyDescent="0.4">
      <c r="A71" s="83" t="s">
        <v>60</v>
      </c>
      <c r="B71" s="81"/>
      <c r="C71" s="82"/>
      <c r="D71" s="32">
        <f>ROUNDDOWN(4278469813.6/1000000,0)</f>
        <v>4278</v>
      </c>
      <c r="E71" s="2"/>
      <c r="F71" s="2"/>
      <c r="G71" s="2"/>
      <c r="H71" s="2"/>
      <c r="I71" s="2"/>
      <c r="J71" s="2"/>
      <c r="K71" s="2"/>
      <c r="L71" s="2"/>
      <c r="M71" s="40"/>
    </row>
    <row r="72" spans="1:13" ht="19.5" thickBot="1" x14ac:dyDescent="0.45">
      <c r="A72" s="71" t="s">
        <v>61</v>
      </c>
      <c r="B72" s="72"/>
      <c r="C72" s="73"/>
      <c r="D72" s="33">
        <v>0</v>
      </c>
      <c r="E72" s="2"/>
      <c r="F72" s="2"/>
      <c r="G72" s="2"/>
      <c r="H72" s="2"/>
      <c r="I72" s="2"/>
      <c r="J72" s="2"/>
      <c r="K72" s="2"/>
      <c r="L72" s="2"/>
      <c r="M72" s="40"/>
    </row>
    <row r="73" spans="1:13" ht="19.5" thickTop="1" x14ac:dyDescent="0.4">
      <c r="A73" s="87" t="s">
        <v>46</v>
      </c>
      <c r="B73" s="88"/>
      <c r="C73" s="89"/>
      <c r="D73" s="34">
        <f>ROUNDDOWN(21986994582.6/1000000,0)</f>
        <v>21986</v>
      </c>
      <c r="E73" s="2"/>
      <c r="F73" s="2"/>
      <c r="G73" s="2"/>
      <c r="H73" s="2"/>
      <c r="I73" s="2"/>
      <c r="J73" s="2"/>
      <c r="K73" s="2"/>
      <c r="L73" s="2"/>
      <c r="M73" s="40"/>
    </row>
    <row r="74" spans="1:13" x14ac:dyDescent="0.4">
      <c r="A74" s="40"/>
      <c r="B74" s="2"/>
      <c r="C74" s="2"/>
      <c r="D74" s="55"/>
      <c r="E74" s="2"/>
      <c r="F74" s="2"/>
      <c r="G74" s="2"/>
      <c r="H74" s="2"/>
      <c r="I74" s="2"/>
      <c r="J74" s="2"/>
      <c r="K74" s="2"/>
      <c r="L74" s="2"/>
      <c r="M74" s="40"/>
    </row>
    <row r="75" spans="1:13" x14ac:dyDescent="0.4">
      <c r="A75" s="6" t="s">
        <v>62</v>
      </c>
      <c r="B75" s="2"/>
      <c r="C75" s="2"/>
      <c r="D75" s="36" t="s">
        <v>71</v>
      </c>
      <c r="E75" s="2"/>
      <c r="F75" s="2"/>
      <c r="G75" s="2"/>
      <c r="H75" s="2"/>
      <c r="I75" s="2"/>
      <c r="J75" s="2"/>
      <c r="K75" s="2"/>
      <c r="L75" s="2"/>
      <c r="M75" s="40"/>
    </row>
    <row r="76" spans="1:13" x14ac:dyDescent="0.4">
      <c r="A76" s="74" t="s">
        <v>63</v>
      </c>
      <c r="B76" s="75"/>
      <c r="C76" s="76"/>
      <c r="D76" s="11">
        <f>ROUNDDOWN(480339906272/1000000,0)</f>
        <v>480339</v>
      </c>
      <c r="E76" s="2"/>
      <c r="F76" s="2"/>
      <c r="G76" s="2"/>
      <c r="H76" s="2"/>
      <c r="I76" s="2"/>
      <c r="J76" s="2"/>
      <c r="K76" s="2"/>
      <c r="L76" s="2"/>
      <c r="M76" s="40"/>
    </row>
    <row r="77" spans="1:13" x14ac:dyDescent="0.4">
      <c r="A77" s="40"/>
      <c r="B77" s="2" t="s">
        <v>73</v>
      </c>
      <c r="C77" s="2"/>
      <c r="D77" s="55"/>
      <c r="E77" s="2"/>
      <c r="F77" s="2"/>
      <c r="G77" s="2"/>
      <c r="H77" s="2"/>
      <c r="I77" s="2"/>
      <c r="J77" s="2"/>
      <c r="K77" s="2"/>
      <c r="L77" s="2"/>
      <c r="M77" s="40"/>
    </row>
    <row r="78" spans="1:13" x14ac:dyDescent="0.4">
      <c r="A78" s="2" t="s">
        <v>64</v>
      </c>
      <c r="B78" s="2"/>
      <c r="C78" s="2"/>
      <c r="D78" s="77"/>
      <c r="E78" s="2"/>
      <c r="F78" s="2"/>
      <c r="G78" s="2"/>
      <c r="H78" s="2"/>
      <c r="I78" s="2"/>
      <c r="J78" s="2"/>
      <c r="K78" s="2"/>
      <c r="L78" s="2"/>
      <c r="M78" s="40"/>
    </row>
    <row r="79" spans="1:13" x14ac:dyDescent="0.4">
      <c r="A79" s="40"/>
      <c r="B79" s="2" t="s">
        <v>74</v>
      </c>
      <c r="C79" s="40"/>
      <c r="D79" s="77"/>
      <c r="E79" s="2"/>
      <c r="F79" s="2"/>
      <c r="G79" s="2"/>
      <c r="H79" s="2"/>
      <c r="I79" s="2"/>
      <c r="J79" s="2"/>
      <c r="K79" s="2"/>
      <c r="L79" s="2"/>
      <c r="M79" s="40"/>
    </row>
    <row r="80" spans="1:13" x14ac:dyDescent="0.4">
      <c r="A80" s="40"/>
      <c r="B80" s="2" t="s">
        <v>75</v>
      </c>
      <c r="C80" s="40"/>
      <c r="D80" s="77"/>
      <c r="E80" s="40"/>
      <c r="F80" s="40"/>
      <c r="G80" s="40"/>
      <c r="H80" s="40"/>
      <c r="I80" s="40"/>
      <c r="J80" s="40"/>
      <c r="K80" s="40"/>
      <c r="L80" s="40"/>
      <c r="M80" s="40"/>
    </row>
    <row r="81" spans="1:13" x14ac:dyDescent="0.4">
      <c r="A81" s="40"/>
      <c r="B81" s="2" t="s">
        <v>76</v>
      </c>
      <c r="C81" s="40"/>
      <c r="D81" s="77"/>
      <c r="E81" s="40"/>
      <c r="F81" s="40"/>
      <c r="G81" s="40"/>
      <c r="H81" s="40"/>
      <c r="I81" s="40"/>
      <c r="J81" s="40"/>
      <c r="K81" s="40"/>
      <c r="L81" s="40"/>
      <c r="M81" s="40"/>
    </row>
    <row r="82" spans="1:13" x14ac:dyDescent="0.4">
      <c r="A82" s="40"/>
      <c r="B82" s="2" t="s">
        <v>77</v>
      </c>
      <c r="C82" s="40"/>
      <c r="D82" s="77"/>
      <c r="E82" s="40"/>
      <c r="F82" s="40"/>
      <c r="G82" s="40"/>
      <c r="H82" s="40"/>
      <c r="I82" s="40"/>
      <c r="J82" s="40"/>
      <c r="K82" s="40"/>
      <c r="L82" s="40"/>
      <c r="M82" s="40"/>
    </row>
    <row r="83" spans="1:13" x14ac:dyDescent="0.4">
      <c r="A83" s="2" t="s">
        <v>65</v>
      </c>
      <c r="B83" s="2"/>
      <c r="C83" s="2"/>
      <c r="D83" s="77"/>
      <c r="E83" s="40"/>
      <c r="F83" s="40"/>
      <c r="G83" s="40"/>
      <c r="H83" s="40"/>
      <c r="I83" s="40"/>
      <c r="J83" s="40"/>
      <c r="K83" s="40"/>
      <c r="L83" s="40"/>
      <c r="M83" s="40"/>
    </row>
    <row r="84" spans="1:13" x14ac:dyDescent="0.4">
      <c r="A84" s="40"/>
      <c r="B84" s="2" t="s">
        <v>78</v>
      </c>
      <c r="C84" s="40"/>
      <c r="D84" s="40"/>
      <c r="E84" s="40"/>
      <c r="F84" s="40"/>
      <c r="G84" s="40"/>
      <c r="H84" s="40"/>
      <c r="I84" s="40"/>
      <c r="J84" s="40"/>
      <c r="K84" s="40"/>
      <c r="L84" s="40"/>
      <c r="M84" s="40"/>
    </row>
    <row r="85" spans="1:13" x14ac:dyDescent="0.4">
      <c r="A85" s="2" t="s">
        <v>66</v>
      </c>
      <c r="B85" s="2"/>
      <c r="C85" s="2"/>
      <c r="D85" s="40"/>
      <c r="E85" s="40"/>
      <c r="F85" s="40"/>
      <c r="G85" s="40"/>
      <c r="H85" s="40"/>
      <c r="I85" s="40"/>
      <c r="J85" s="40"/>
      <c r="K85" s="40"/>
      <c r="L85" s="40"/>
      <c r="M85" s="40"/>
    </row>
    <row r="86" spans="1:13" x14ac:dyDescent="0.4">
      <c r="A86" s="40"/>
      <c r="B86" s="2" t="s">
        <v>67</v>
      </c>
      <c r="C86" s="40"/>
      <c r="D86" s="40"/>
      <c r="E86" s="40"/>
      <c r="F86" s="40"/>
      <c r="G86" s="40"/>
      <c r="H86" s="40"/>
      <c r="I86" s="40"/>
      <c r="J86" s="40"/>
      <c r="K86" s="40"/>
      <c r="L86" s="40"/>
      <c r="M86" s="40"/>
    </row>
    <row r="87" spans="1:13" x14ac:dyDescent="0.4">
      <c r="A87" s="40"/>
      <c r="B87" s="40"/>
      <c r="C87" s="40"/>
      <c r="D87" s="40"/>
      <c r="E87" s="40"/>
      <c r="F87" s="40"/>
      <c r="G87" s="40"/>
      <c r="H87" s="40"/>
      <c r="I87" s="40"/>
      <c r="J87" s="40"/>
      <c r="K87" s="40"/>
      <c r="L87" s="40"/>
      <c r="M87" s="40"/>
    </row>
    <row r="88" spans="1:13" x14ac:dyDescent="0.4">
      <c r="A88" s="40"/>
      <c r="B88" s="40"/>
      <c r="C88" s="40"/>
      <c r="D88" s="40"/>
      <c r="E88" s="40"/>
      <c r="F88" s="40"/>
      <c r="G88" s="40"/>
      <c r="H88" s="40"/>
      <c r="I88" s="40"/>
      <c r="J88" s="40"/>
      <c r="K88" s="40"/>
      <c r="L88" s="40"/>
      <c r="M88" s="40"/>
    </row>
    <row r="89" spans="1:13" x14ac:dyDescent="0.4">
      <c r="A89" s="40"/>
      <c r="B89" s="40"/>
      <c r="C89" s="40"/>
      <c r="D89" s="40"/>
      <c r="E89" s="40"/>
      <c r="F89" s="40"/>
      <c r="G89" s="40"/>
      <c r="H89" s="40"/>
      <c r="I89" s="40"/>
      <c r="J89" s="40"/>
      <c r="K89" s="40"/>
      <c r="L89" s="40"/>
      <c r="M89" s="40"/>
    </row>
    <row r="90" spans="1:13" x14ac:dyDescent="0.4">
      <c r="A90" s="40"/>
      <c r="B90" s="40"/>
      <c r="C90" s="40"/>
      <c r="D90" s="40"/>
      <c r="E90" s="40"/>
      <c r="F90" s="40"/>
      <c r="G90" s="40"/>
      <c r="H90" s="40"/>
      <c r="I90" s="40"/>
      <c r="J90" s="40"/>
      <c r="K90" s="40"/>
      <c r="L90" s="40"/>
      <c r="M90" s="40"/>
    </row>
  </sheetData>
  <mergeCells count="52">
    <mergeCell ref="B18:C18"/>
    <mergeCell ref="E4:L4"/>
    <mergeCell ref="A8:D8"/>
    <mergeCell ref="A9:C9"/>
    <mergeCell ref="A10:C10"/>
    <mergeCell ref="A11:C11"/>
    <mergeCell ref="A12:C12"/>
    <mergeCell ref="B13:C13"/>
    <mergeCell ref="B14:C14"/>
    <mergeCell ref="B15:C15"/>
    <mergeCell ref="B16:C16"/>
    <mergeCell ref="B17:C17"/>
    <mergeCell ref="B32:C32"/>
    <mergeCell ref="B19:C19"/>
    <mergeCell ref="B20:C20"/>
    <mergeCell ref="B21:C21"/>
    <mergeCell ref="B22:C22"/>
    <mergeCell ref="B23:C23"/>
    <mergeCell ref="A24:C24"/>
    <mergeCell ref="A27:D27"/>
    <mergeCell ref="A28:C28"/>
    <mergeCell ref="A29:C29"/>
    <mergeCell ref="A30:C30"/>
    <mergeCell ref="A31:C31"/>
    <mergeCell ref="A45:C45"/>
    <mergeCell ref="B33:C33"/>
    <mergeCell ref="B34:C34"/>
    <mergeCell ref="B35:C35"/>
    <mergeCell ref="B36:C36"/>
    <mergeCell ref="B37:C37"/>
    <mergeCell ref="B38:C38"/>
    <mergeCell ref="B39:C39"/>
    <mergeCell ref="B40:C40"/>
    <mergeCell ref="B41:C41"/>
    <mergeCell ref="B42:C42"/>
    <mergeCell ref="A43:C43"/>
    <mergeCell ref="D57:D58"/>
    <mergeCell ref="K57:K58"/>
    <mergeCell ref="A59:C59"/>
    <mergeCell ref="A60:C60"/>
    <mergeCell ref="A49:C50"/>
    <mergeCell ref="D49:D50"/>
    <mergeCell ref="A51:C51"/>
    <mergeCell ref="A52:C52"/>
    <mergeCell ref="A53:C53"/>
    <mergeCell ref="A54:C54"/>
    <mergeCell ref="A61:C61"/>
    <mergeCell ref="A62:C62"/>
    <mergeCell ref="A63:C63"/>
    <mergeCell ref="A73:C73"/>
    <mergeCell ref="A55:C55"/>
    <mergeCell ref="A57:C58"/>
  </mergeCells>
  <phoneticPr fontId="3"/>
  <pageMargins left="0.7" right="0.7" top="0.75" bottom="0.75" header="0.3" footer="0.3"/>
  <pageSetup paperSize="9" scale="92" orientation="landscape" r:id="rId1"/>
  <rowBreaks count="3" manualBreakCount="3">
    <brk id="25" max="16383" man="1"/>
    <brk id="46" max="16383" man="1"/>
    <brk id="7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【様式2-1】政策別コスト(001）百万円</vt:lpstr>
      <vt:lpstr>'【様式2-1】政策別コスト(001）百万円'!Print_Area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2021-01-20T10:04:54Z</cp:lastPrinted>
  <dcterms:created xsi:type="dcterms:W3CDTF">2021-01-19T09:33:37Z</dcterms:created>
  <dcterms:modified xsi:type="dcterms:W3CDTF">2021-01-25T11:02:38Z</dcterms:modified>
</cp:coreProperties>
</file>