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90" tabRatio="666" activeTab="0"/>
  </bookViews>
  <sheets>
    <sheet name="必要経費概算（平成29年度分） " sheetId="1" r:id="rId1"/>
    <sheet name="必要経費概算（平成30年度分）" sheetId="2" r:id="rId2"/>
    <sheet name="必要経費概算（平成31年度分）" sheetId="3" r:id="rId3"/>
    <sheet name="年度別契約額と割合確認" sheetId="4" r:id="rId4"/>
  </sheets>
  <definedNames>
    <definedName name="_xlnm.Print_Titles" localSheetId="0">'必要経費概算（平成29年度分） '!$3:$3</definedName>
    <definedName name="_xlnm.Print_Titles" localSheetId="1">'必要経費概算（平成30年度分）'!$3:$3</definedName>
    <definedName name="_xlnm.Print_Titles" localSheetId="2">'必要経費概算（平成31年度分）'!$3:$3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E21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<sst xmlns="http://schemas.openxmlformats.org/spreadsheetml/2006/main" count="1010" uniqueCount="391">
  <si>
    <t>（１）事業推進員</t>
  </si>
  <si>
    <t>（２）その他</t>
  </si>
  <si>
    <t>委託事業対象経費</t>
  </si>
  <si>
    <t>内訳</t>
  </si>
  <si>
    <t>備考</t>
  </si>
  <si>
    <t>１　管理費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</si>
  <si>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</si>
  <si>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</si>
  <si>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</si>
  <si>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</si>
  <si>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</si>
  <si>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</si>
  <si>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</si>
  <si>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</si>
  <si>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</si>
  <si>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</si>
  <si>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２　事業費</t>
  </si>
  <si>
    <t>I　雇用拡大メニュー</t>
  </si>
  <si>
    <t>　・講師謝金</t>
  </si>
  <si>
    <t>　・講師旅費</t>
  </si>
  <si>
    <t>　・会場使用料</t>
  </si>
  <si>
    <t>　・セミナー開設諸費</t>
  </si>
  <si>
    <t>Ⅱ　人材育成メニュー</t>
  </si>
  <si>
    <t>Ⅲ　就職促進メニュー</t>
  </si>
  <si>
    <t>委託費の
額（千円）</t>
  </si>
  <si>
    <t>　・ホームページ作成費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</si>
  <si>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</si>
  <si>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</si>
  <si>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</si>
  <si>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</si>
  <si>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</si>
  <si>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４　消費税</t>
  </si>
  <si>
    <t>＜＝「２事業費」の３０％以内</t>
  </si>
  <si>
    <t>合計額（「３」＋「４」）</t>
  </si>
  <si>
    <t>　・実習材料費</t>
  </si>
  <si>
    <t>　・講師旅費（東京）</t>
  </si>
  <si>
    <t>用紙代等、各種消耗品費</t>
  </si>
  <si>
    <t>　・事業推進員健康診断料</t>
  </si>
  <si>
    <t>定期健康診断相当費用</t>
  </si>
  <si>
    <t>　・事業補助員健康診断料</t>
  </si>
  <si>
    <t>　・事業補助員健康保険</t>
  </si>
  <si>
    <t>　・事業補助員介護保険</t>
  </si>
  <si>
    <t>　・事業補助員雇用保険料</t>
  </si>
  <si>
    <t>　・事業補助員労災保険料</t>
  </si>
  <si>
    <t>　・事業補助員石綿健康被害救済法に基づく一般拠出金</t>
  </si>
  <si>
    <t>②事業補助員人件費</t>
  </si>
  <si>
    <t>①事業推進員人件費(リーダー）</t>
  </si>
  <si>
    <t>講師との打合せ・舞鶴市旅費規程（4等級・大阪－舞鶴）</t>
  </si>
  <si>
    <t>募集チラシ印刷代、テキスト印刷代、ＤＭ発送費</t>
  </si>
  <si>
    <t>　・ドメイン・ＩＰアドレス取得初期費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</si>
  <si>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</si>
  <si>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</si>
  <si>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</si>
  <si>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</si>
  <si>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割合</t>
  </si>
  <si>
    <t>　①人件費</t>
  </si>
  <si>
    <t>　②その他の管理費</t>
  </si>
  <si>
    <t>　①雇用拡大メニュー</t>
  </si>
  <si>
    <t>　②人材育成メニュー</t>
  </si>
  <si>
    <t>　③就職促進メニュー</t>
  </si>
  <si>
    <t>３　管理費＋事業費＝総額</t>
  </si>
  <si>
    <t>合計額　（３＋４）</t>
  </si>
  <si>
    <t>実践事業の年度別契約額と割合確認</t>
  </si>
  <si>
    <t>【地域名：地域雇用対策町　・協議会名：地域雇用対策町雇用創造協議会】</t>
  </si>
  <si>
    <t>町職員主査級（概ね大卒１０年目）相当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</si>
  <si>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</si>
  <si>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</si>
  <si>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</si>
  <si>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</si>
  <si>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</si>
  <si>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</si>
  <si>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</si>
  <si>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実践事業打合せ（町旅費規程日帰り）1名分2回</t>
  </si>
  <si>
    <t>　③リース代等</t>
  </si>
  <si>
    <t>　・自動車リース代</t>
  </si>
  <si>
    <t>月額26,000円×1台（軽自動車）</t>
  </si>
  <si>
    <t>　・複合機リース代</t>
  </si>
  <si>
    <t>月額10,200円×一式</t>
  </si>
  <si>
    <t>　・消耗品費（コピー用紙、事務用品）</t>
  </si>
  <si>
    <t>　・ガソリン代</t>
  </si>
  <si>
    <t>　①旅費・謝金</t>
  </si>
  <si>
    <t>　・東京（推進員旅費）</t>
  </si>
  <si>
    <t>　・大阪（推進員旅費）</t>
  </si>
  <si>
    <t>〃</t>
  </si>
  <si>
    <t>　・会場施設（マイク・プロジェクター一式）使用料</t>
  </si>
  <si>
    <t>実地研修1回×2期分</t>
  </si>
  <si>
    <t>　・企業謝金（研修先企業）</t>
  </si>
  <si>
    <t>15社×2期分</t>
  </si>
  <si>
    <t>座学4回×2期分</t>
  </si>
  <si>
    <t>　・ＰＣモバイル使用料</t>
  </si>
  <si>
    <t>　・ポータブルプリンタ1台</t>
  </si>
  <si>
    <t>プリンタ1台</t>
  </si>
  <si>
    <t>環境関連企業実地研修1回×2期分</t>
  </si>
  <si>
    <t>　・開発製品等資料</t>
  </si>
  <si>
    <t>　・会場施設料（マイク・プロジェクター一式・演台）</t>
  </si>
  <si>
    <t>350円×200部</t>
  </si>
  <si>
    <t>募集チラシ印刷代、ポスター印刷、新聞広告</t>
  </si>
  <si>
    <t>（１）基本人材レベルアップセミナー</t>
  </si>
  <si>
    <t>　・ＰＣ借料20台</t>
  </si>
  <si>
    <t>（２）営業人材レベルアップセミナー</t>
  </si>
  <si>
    <t>プリンタ2台×2期分</t>
  </si>
  <si>
    <t>（３）環境関連技術者等育成セミナー</t>
  </si>
  <si>
    <t>　・太陽光パネル製造現場視察研修</t>
  </si>
  <si>
    <t>　・視察訪問企業謝金</t>
  </si>
  <si>
    <t>　・ＰＣ借料１５台</t>
  </si>
  <si>
    <t>　・ポータブルプリンタ</t>
  </si>
  <si>
    <t>　・太陽光パネル製造基本教材等</t>
  </si>
  <si>
    <t>（１）情報チャンネルＨＰ</t>
  </si>
  <si>
    <t>（２）マッチングフェア（就職面接会）</t>
  </si>
  <si>
    <t>Ⅳ　実践メニュー</t>
  </si>
  <si>
    <t>　・実践支援員超過勤務手当</t>
  </si>
  <si>
    <t>（１）実践支援員経費</t>
  </si>
  <si>
    <t>　・実践支援員健康診断料</t>
  </si>
  <si>
    <t>　・実践支援員健康保険</t>
  </si>
  <si>
    <t>　・実践支援員介護保険</t>
  </si>
  <si>
    <t>　・実践支援員雇用保険料</t>
  </si>
  <si>
    <t>　・実践支援員労災保険料</t>
  </si>
  <si>
    <t>　・実践支援員石綿健康被害救済法に基づく一般拠出金</t>
  </si>
  <si>
    <t>イ　実践支援員(リーダー）</t>
  </si>
  <si>
    <t>ロ　実践支援員</t>
  </si>
  <si>
    <t>イ　運営費等</t>
  </si>
  <si>
    <t>　・事務所借料</t>
  </si>
  <si>
    <t>　・事務所光熱水料</t>
  </si>
  <si>
    <t>30,000円×12月</t>
  </si>
  <si>
    <t>　・デジタルカメラリース代</t>
  </si>
  <si>
    <t>月額2,200円×一式</t>
  </si>
  <si>
    <t>　・事務用品借料（机4・椅子4）</t>
  </si>
  <si>
    <t>一式24，000円×12月</t>
  </si>
  <si>
    <t>ロ　事業費</t>
  </si>
  <si>
    <t>　・CAS+急速冷凍装置（バッチ式）リース料</t>
  </si>
  <si>
    <t>　・貯蔵保管機器リース</t>
  </si>
  <si>
    <t>飲食店空き店舗借料：月額90,000円×12月</t>
  </si>
  <si>
    <t>　・調理器具等一式リース料</t>
  </si>
  <si>
    <t>　・加工施設リース料</t>
  </si>
  <si>
    <t>　・食材購入費</t>
  </si>
  <si>
    <t>　・試験販売用ラベル印刷費</t>
  </si>
  <si>
    <t>　・試験販売用売り場確保費</t>
  </si>
  <si>
    <t>　・その他消耗品（ポリ袋、ラップ、ポリネット等）</t>
  </si>
  <si>
    <t>　・調味料一式</t>
  </si>
  <si>
    <t>食材購入：60,000円×4回</t>
  </si>
  <si>
    <t>　・パッケージ制作費</t>
  </si>
  <si>
    <t>　・製品パッケージ材料費</t>
  </si>
  <si>
    <t>パッケージ加工印刷一式</t>
  </si>
  <si>
    <t>ラベル印刷一式</t>
  </si>
  <si>
    <t>年間分</t>
  </si>
  <si>
    <t>　・アドバイザー謝金（10日以内／月）</t>
  </si>
  <si>
    <t>（２）事業費</t>
  </si>
  <si>
    <t>　・販路拡大調査旅費（東京・大阪2泊3日）</t>
  </si>
  <si>
    <t>東京・大阪各60000円×2名×年間2回</t>
  </si>
  <si>
    <t>＜＝「実践経費」の５０％以上が実践支援員経費</t>
  </si>
  <si>
    <t>＜＝「基本経費＋実践経費」の３０％以内</t>
  </si>
  <si>
    <t>＜＝「基本経費＋実践経費」の２０％以内</t>
  </si>
  <si>
    <t>【基本経費】１管理費＋２事業費</t>
  </si>
  <si>
    <t>【実践経費】（１）実践支援員経費＋（２）事業費</t>
  </si>
  <si>
    <t>３　「基本経費＋実践経費」の合計額</t>
  </si>
  <si>
    <t>　・プログラム資料</t>
  </si>
  <si>
    <t>50円×1,000部</t>
  </si>
  <si>
    <t>　・オンライン企業間取引セミナー</t>
  </si>
  <si>
    <t>飲食店空き店舗借料：月額90,000円×9カ月</t>
  </si>
  <si>
    <t>　④実践メニュー</t>
  </si>
  <si>
    <t>④のうち人件費相当分</t>
  </si>
  <si>
    <t>基本経費</t>
  </si>
  <si>
    <t>実践経費</t>
  </si>
  <si>
    <t>地元講師と東京講師が分担（東京講師6回）</t>
  </si>
  <si>
    <t>誘致予定企業のｴﾝｼﾞﾆｱ</t>
  </si>
  <si>
    <t>誘致予定企業のｴﾝｼﾞﾆｱ</t>
  </si>
  <si>
    <t>地元講師と東京講師が分担（東京講師12回）</t>
  </si>
  <si>
    <t>一式月額150，000円×12月</t>
  </si>
  <si>
    <t>1月あたり80㍑×140円</t>
  </si>
  <si>
    <t>町職員臨時職員級（嘱託職員含む平均額）1名</t>
  </si>
  <si>
    <t>平日（時間給×1.25倍）月15時間</t>
  </si>
  <si>
    <t>　⑤事務所関係</t>
  </si>
  <si>
    <t>プリンタ2台×3期分</t>
  </si>
  <si>
    <t>ﾊﾞｽ借上げ料×3期分</t>
  </si>
  <si>
    <t>20,000円×3期分</t>
  </si>
  <si>
    <t>座学6回×3期分（企業応対→企画プレゼン）</t>
  </si>
  <si>
    <t>地元講師と東京講師が分担（東京講師9回）</t>
  </si>
  <si>
    <t>＜＝「基本経費」が３０％以上</t>
  </si>
  <si>
    <t>(単位：千円)</t>
  </si>
  <si>
    <t>（20,000円×４ｈ）×8回</t>
  </si>
  <si>
    <t>6,800円×ＰＣ20台×2期分</t>
  </si>
  <si>
    <t>２ｈ×6,500円×座学6回×3期分</t>
  </si>
  <si>
    <t>6,800円×ＰＣ20台×3期分</t>
  </si>
  <si>
    <t>65,000円×9カ月</t>
  </si>
  <si>
    <t>一式24,000円×9カ月</t>
  </si>
  <si>
    <t>一式月額150,000円×9カ月</t>
  </si>
  <si>
    <t>840L保冷庫1台：月額26,000円×9カ月</t>
  </si>
  <si>
    <t>調理器具一式：月額70,000円×9カ月</t>
  </si>
  <si>
    <t>調味料一式：20,000円×4回</t>
  </si>
  <si>
    <t>1日20,000円×10日×9カ月</t>
  </si>
  <si>
    <t>1週間30,000円×3回</t>
  </si>
  <si>
    <t>65,000円×12月</t>
  </si>
  <si>
    <t>一式24,000円×12月</t>
  </si>
  <si>
    <t>一式月額150,000円×12月</t>
  </si>
  <si>
    <t>840L保冷庫1台：月額26,000円×12月</t>
  </si>
  <si>
    <t>調理器具一式：月額70,000円×12月</t>
  </si>
  <si>
    <t>1日20,000円×10日×12月</t>
  </si>
  <si>
    <t>東京・大阪各60,000円×2名×年間2回</t>
  </si>
  <si>
    <t>基本経費の事業費（①～③）は各年度「３」の１割以上（必須）</t>
  </si>
  <si>
    <t>300,000円×12カ月×0.05</t>
  </si>
  <si>
    <t>200,000円×12カ月×0.05</t>
  </si>
  <si>
    <t>160,000円×12カ月×0.05</t>
  </si>
  <si>
    <t>250,000円×12カ月×0.05</t>
  </si>
  <si>
    <t>180,000円×12カ月×0.05</t>
  </si>
  <si>
    <t>200,000円×12カ月×0.0015</t>
  </si>
  <si>
    <t>160,000円×12カ月×0.003</t>
  </si>
  <si>
    <t>250,000円×12カ月×0.003</t>
  </si>
  <si>
    <t>180,000円×12カ月×0.003</t>
  </si>
  <si>
    <t>300,000円×12カ月×0.003</t>
  </si>
  <si>
    <t>200,000円×12カ月×0.003</t>
  </si>
  <si>
    <t>（3ｈ×5,000円）×座学4回×2期分</t>
  </si>
  <si>
    <t>座学4回×2期分</t>
  </si>
  <si>
    <t>（２）環境産業分野総合セミナー</t>
  </si>
  <si>
    <t>（座学3回＋実地研修1回）×2期分</t>
  </si>
  <si>
    <t>（３）Ｅネットフロンティアセミナー</t>
  </si>
  <si>
    <t>座学5回×1期分</t>
  </si>
  <si>
    <t>6,800円×ＰＣ10台×1期分</t>
  </si>
  <si>
    <t>3,000円×ＰＣ10台×1期分</t>
  </si>
  <si>
    <t>10社×1期分</t>
  </si>
  <si>
    <t>（４）実践メニュー成果物公開セミナー</t>
  </si>
  <si>
    <t>（20,000円×２ｈ）×2回</t>
  </si>
  <si>
    <t>座学5回×2期分（課題資料作成の応用）</t>
  </si>
  <si>
    <t>２ｈ×6,500円×座学5回×2期分</t>
  </si>
  <si>
    <t>座学8回×3期分（誘致予定企業のｴﾝｼﾞﾆｱ）</t>
  </si>
  <si>
    <t>町職員主査級（概ね大卒７～８年目）相当1名</t>
  </si>
  <si>
    <t>支援員事務用PCリース料　月額6,000円×3台</t>
  </si>
  <si>
    <t>　・会場施設料（マイク・プロジェクター一式・演台）</t>
  </si>
  <si>
    <t>　・消耗品費（コピー用紙、事務用品）</t>
  </si>
  <si>
    <t>用紙代等、各種消耗品費</t>
  </si>
  <si>
    <t>座学8回×3期分（誘致予定企業のｴﾝｼﾞﾆｱ）</t>
  </si>
  <si>
    <t>平日（時間給×1.25倍）1名分×20h×12月</t>
  </si>
  <si>
    <t>　・事務用品借料（机3・椅子3）</t>
  </si>
  <si>
    <t>（３）Ｅネットフロンティアセミナー</t>
  </si>
  <si>
    <t>　・広報掲載費</t>
  </si>
  <si>
    <t>（20,000円×４ｈ）×5回</t>
  </si>
  <si>
    <t>　・販路拡大旅費（東京・大阪2泊3日）</t>
  </si>
  <si>
    <t>　・マーケティング調査旅費（東京・大阪2泊3日）</t>
  </si>
  <si>
    <t>　・試食会ブース賃借料</t>
  </si>
  <si>
    <t>30,000円×3回</t>
  </si>
  <si>
    <t>（座学3回＋実地研修1回）×3期分</t>
  </si>
  <si>
    <t>実地研修1回×3期分</t>
  </si>
  <si>
    <t>環境関連企業実地研修1回×3期分</t>
  </si>
  <si>
    <t>15社×3期分</t>
  </si>
  <si>
    <t>座学5回×2期分</t>
  </si>
  <si>
    <t>（20,000円×2ｈ）×4回</t>
  </si>
  <si>
    <t>町職員主事級（一般職員3年目相当）１名分</t>
  </si>
  <si>
    <t>平日（時間給×1.25倍）１名×月20時間</t>
  </si>
  <si>
    <t>町職員主事級（一般職員3年目相当）1名分</t>
  </si>
  <si>
    <t>平日（時間給×1.25倍）1名×月20時間</t>
  </si>
  <si>
    <t>町職員主事級（一般職員３～４年目）1名分</t>
  </si>
  <si>
    <t>平日（時間給×1.25倍）月20時間×1名分</t>
  </si>
  <si>
    <t>事業構想必要経費概算書（平成29年度分）</t>
  </si>
  <si>
    <t>事業構想必要経費概算書（平成30年度分）</t>
  </si>
  <si>
    <t>　・事業推進員子ども・子育て拠出金</t>
  </si>
  <si>
    <t>　・事業補助員子ども・子育て拠出金</t>
  </si>
  <si>
    <t>　・実践支援員子ども・子育て拠出金</t>
  </si>
  <si>
    <t>180,000円×12カ月×0.0079</t>
  </si>
  <si>
    <t>300,000円×12カ月×0.0079</t>
  </si>
  <si>
    <t>200,000円×12カ月×0.0079</t>
  </si>
  <si>
    <t>160,000円×12カ月×0.0079</t>
  </si>
  <si>
    <t>250,000円×12カ月×0.0079</t>
  </si>
  <si>
    <t>　・実践支援員子ども・子育て拠出金拠出金</t>
  </si>
  <si>
    <t>　・事業推進員子ども・子育て拠出金拠出金</t>
  </si>
  <si>
    <t>　・事業推進員子ども・子育て拠出金拠出金</t>
  </si>
  <si>
    <t>　・事業補助員子ども・子育て拠出金拠出金</t>
  </si>
  <si>
    <t>　・事業推進員厚生年金保険料</t>
  </si>
  <si>
    <t>　・事業推進員厚生年金保険料</t>
  </si>
  <si>
    <t>　・事業補助員厚生年金保険料</t>
  </si>
  <si>
    <t>　・実践支援員厚生年金保険料</t>
  </si>
  <si>
    <t>　・実践支援員厚生年金保険料</t>
  </si>
  <si>
    <t>180,000円×12カ月×91.5/1,000</t>
  </si>
  <si>
    <t>シンポジウム参加(町旅費規程1泊2日）2名分</t>
  </si>
  <si>
    <t>推進員事務用PCリース料　月額6,000円×3台</t>
  </si>
  <si>
    <t>30,000円×9月</t>
  </si>
  <si>
    <t>（１）１次産品加工品開発セミナー</t>
  </si>
  <si>
    <t>（3ｈ×5,000円）×座学3回×2期分</t>
  </si>
  <si>
    <t>座学3回×2期分</t>
  </si>
  <si>
    <t>（3ｈ×5,000円）×座学3回×3期分</t>
  </si>
  <si>
    <t>座学3回×3期分</t>
  </si>
  <si>
    <t>2ｈ×6,500円×座学5回×2期分</t>
  </si>
  <si>
    <t>　・ＰＣ借料10台</t>
  </si>
  <si>
    <t>6,800円×ＰＣ10台×2期分</t>
  </si>
  <si>
    <t>3,000円×ＰＣ10台×2期分</t>
  </si>
  <si>
    <t>3,000円×ＰＣ10台×2期分</t>
  </si>
  <si>
    <t>2ｈ×6,500円×座学5回×1期分</t>
  </si>
  <si>
    <t>10社×2期分</t>
  </si>
  <si>
    <t>350円×400部</t>
  </si>
  <si>
    <t>（２）提案型営業スキル習得セミナー</t>
  </si>
  <si>
    <t>2ｈ×6，500円×座学8回×3期分</t>
  </si>
  <si>
    <t>2ｈ×6,500円×座学8回×3期分</t>
  </si>
  <si>
    <t>3,150円×20人×3期</t>
  </si>
  <si>
    <t>一式18,000円×9カ月</t>
  </si>
  <si>
    <t>支援員事務用PCリース料　月額6,000円×4台</t>
  </si>
  <si>
    <t>1月あたり100㍑×140円</t>
  </si>
  <si>
    <t>事業構想必要経費概算書（平成31年度分）</t>
  </si>
  <si>
    <t>平成29年度</t>
  </si>
  <si>
    <r>
      <t>平成3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年度</t>
    </r>
  </si>
  <si>
    <t>平成31年度</t>
  </si>
  <si>
    <t>「３」の合計額の3割以内（必須）</t>
  </si>
  <si>
    <t>年度毎に2000万円or
「３」の合計額の２割以内の低い方（必須）</t>
  </si>
  <si>
    <t>「２」合計額の１割以内（必須）</t>
  </si>
  <si>
    <t>④の５割以上（必須）</t>
  </si>
  <si>
    <t>基本経費の割合３割以上</t>
  </si>
  <si>
    <t>（　　○○地域雇用創造　　）協議会</t>
  </si>
  <si>
    <t>=</t>
  </si>
  <si>
    <t xml:space="preserve">   /</t>
  </si>
  <si>
    <t>※</t>
  </si>
  <si>
    <t>※　アウトカム１人当たりの雇用に要する経費が150万円を超えると失格。</t>
  </si>
  <si>
    <t>必要経費３年度間合計（円）</t>
  </si>
  <si>
    <t>アウトカム指標３年度間合計（人）</t>
  </si>
  <si>
    <t>300,000円×12カ月×0.002</t>
  </si>
  <si>
    <t>　・事業推進員厚生年金保険料</t>
  </si>
  <si>
    <t>300,000円×12カ月×91.50/1,000</t>
  </si>
  <si>
    <t>300,000円×12カ月×0.007</t>
  </si>
  <si>
    <t>300,000円×12カ月×0.00002</t>
  </si>
  <si>
    <t>200,000円×12カ月×91.50/1,000</t>
  </si>
  <si>
    <t>200,000円×12カ月×0.007</t>
  </si>
  <si>
    <t>200,000円×12カ月×0.00002</t>
  </si>
  <si>
    <t>　・事業推進員厚生年金保険料</t>
  </si>
  <si>
    <t>160,000円×12カ月×0.007</t>
  </si>
  <si>
    <t>160,000円×12カ月×0.00002</t>
  </si>
  <si>
    <t>160,000円×12カ月×91.5/1,000</t>
  </si>
  <si>
    <t>250,000円×12カ月×0.002</t>
  </si>
  <si>
    <t>　・実践支援員厚生年金保険料</t>
  </si>
  <si>
    <t>250,000円×12カ月×91.50/1,000</t>
  </si>
  <si>
    <t>250,000円×12カ月×0.007</t>
  </si>
  <si>
    <t>250,000円×12カ月×0.00002</t>
  </si>
  <si>
    <t>180,000円×12カ月×0.002</t>
  </si>
  <si>
    <t>180,000円×12カ月×91.50/1,000</t>
  </si>
  <si>
    <t>180,000円×12カ月×0.007</t>
  </si>
  <si>
    <t>180,000円×12カ月×0.00002</t>
  </si>
  <si>
    <t>　・事業補助員厚生年金保険料</t>
  </si>
  <si>
    <t>300,000円×12カ月×91.50/1,000</t>
  </si>
  <si>
    <t>200,000円×12カ月×0.002</t>
  </si>
  <si>
    <t>200,000円×12カ月×91.50/1,000</t>
  </si>
  <si>
    <t>160,000円×12カ月×0.002</t>
  </si>
  <si>
    <t>160,000円×12カ月×91.50/1,000</t>
  </si>
  <si>
    <t>座学7回×3期分（企業応対→企画プレゼン）</t>
  </si>
  <si>
    <t>平日（時間給×1.25倍）月15時間（４ヶ月分）</t>
  </si>
  <si>
    <t>　・実践支援員通勤手当</t>
  </si>
  <si>
    <t>　・事業補助員通勤手当</t>
  </si>
  <si>
    <t>　・事業推進員通勤手当</t>
  </si>
  <si>
    <t>　・事業補助員通勤手当</t>
  </si>
  <si>
    <t>　・事業推進員厚生年金保険料</t>
  </si>
  <si>
    <t>　・事業補助員厚生年金保険料</t>
  </si>
  <si>
    <t>10000円×4ヶ月</t>
  </si>
  <si>
    <t>10,000円×4ヶ月</t>
  </si>
  <si>
    <t>10,000円×12ヶ月</t>
  </si>
  <si>
    <t>町職員主事級（一般職員１～２年目相当）4名分</t>
  </si>
  <si>
    <t>町職員主事級（一般職員3年目相当）4名分</t>
  </si>
  <si>
    <t>平日（時間給×1.25倍）4名分×20h×12月</t>
  </si>
  <si>
    <r>
      <t>300,000円×</t>
    </r>
    <r>
      <rPr>
        <sz val="11"/>
        <color indexed="8"/>
        <rFont val="ＭＳ Ｐゴシック"/>
        <family val="3"/>
      </rPr>
      <t>4カ月×0.05</t>
    </r>
  </si>
  <si>
    <r>
      <t>300,000円×</t>
    </r>
    <r>
      <rPr>
        <sz val="11"/>
        <color indexed="8"/>
        <rFont val="ＭＳ Ｐゴシック"/>
        <family val="3"/>
      </rPr>
      <t>4カ月×0.0079</t>
    </r>
  </si>
  <si>
    <r>
      <t>300,000円×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</si>
  <si>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300,000円×</t>
    </r>
    <r>
      <rPr>
        <sz val="11"/>
        <color indexed="8"/>
        <rFont val="ＭＳ Ｐゴシック"/>
        <family val="3"/>
      </rPr>
      <t>4カ月×91.50/1,000</t>
    </r>
  </si>
  <si>
    <r>
      <t>300,000円×</t>
    </r>
    <r>
      <rPr>
        <sz val="11"/>
        <color indexed="8"/>
        <rFont val="ＭＳ Ｐゴシック"/>
        <family val="3"/>
      </rPr>
      <t>4カ月×0.007</t>
    </r>
  </si>
  <si>
    <r>
      <t>300,000円×</t>
    </r>
    <r>
      <rPr>
        <sz val="11"/>
        <color indexed="8"/>
        <rFont val="ＭＳ Ｐゴシック"/>
        <family val="3"/>
      </rPr>
      <t>4カ月×0.003</t>
    </r>
  </si>
  <si>
    <r>
      <t>300,000円×</t>
    </r>
    <r>
      <rPr>
        <sz val="11"/>
        <color indexed="8"/>
        <rFont val="ＭＳ Ｐゴシック"/>
        <family val="3"/>
      </rPr>
      <t>4カ月×0.00002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</si>
  <si>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カ月×0.05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</si>
  <si>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カ月×0.0079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</si>
  <si>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</si>
  <si>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カ月×91.50/1,000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</si>
  <si>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</si>
  <si>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カ月×0.003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</si>
  <si>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カ月×0.00002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</si>
  <si>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カ月×0.05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</si>
  <si>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カ月×0.0079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</si>
  <si>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</si>
  <si>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カ月×91.50/1,000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</si>
  <si>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</si>
  <si>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カ月×0.003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</si>
  <si>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カ月×0.00002</t>
    </r>
  </si>
  <si>
    <r>
      <t>65，000円×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</t>
    </r>
  </si>
  <si>
    <r>
      <t>一式18，000円×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</t>
    </r>
  </si>
  <si>
    <r>
      <t>30,000円×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</t>
    </r>
  </si>
  <si>
    <r>
      <t>平日（時間給×1.25倍）1名分×20h×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</si>
  <si>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カ月×0.05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</si>
  <si>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カ月×0.0079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</si>
  <si>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</si>
  <si>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カ月×91.50/1,000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</si>
  <si>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</si>
  <si>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カ月×0.003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</si>
  <si>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カ月×0.00002</t>
    </r>
  </si>
  <si>
    <r>
      <t>平日（時間給×1.25倍）4名分×20h×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</si>
  <si>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カ月×0.05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</si>
  <si>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カ月×0.0079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</si>
  <si>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</si>
  <si>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カ月×91.50/1,000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</si>
  <si>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</si>
  <si>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カ月×0.003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</si>
  <si>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カ月×0.00002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</si>
</sst>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 diagonalUp="1">
      <left/>
      <right style="thin"/>
      <top style="hair"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 diagonalUp="1">
      <left/>
      <right style="thin"/>
      <top style="thin"/>
      <bottom style="thin"/>
      <diagonal style="thin"/>
    </border>
    <border>
      <left/>
      <right style="thin"/>
      <top style="thin"/>
      <bottom style="hair"/>
    </border>
    <border diagonalUp="1">
      <left style="medium"/>
      <right style="thin"/>
      <top style="thin"/>
      <bottom style="hair"/>
      <diagonal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 diagonalUp="1">
      <left style="medium"/>
      <right style="thin"/>
      <top style="hair"/>
      <bottom style="hair"/>
      <diagonal style="thin"/>
    </border>
    <border>
      <left/>
      <right style="thin"/>
      <top style="hair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medium"/>
      <top/>
      <bottom/>
    </border>
    <border diagonalUp="1">
      <left style="medium"/>
      <right style="thin"/>
      <top/>
      <bottom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medium"/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 style="dashed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 style="thin"/>
    </border>
    <border>
      <left style="dashed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wrapText="1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0" fontId="0" fillId="33" borderId="12" xfId="0" applyFill="1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0" fontId="0" fillId="28" borderId="12" xfId="0" applyFill="1" applyBorder="1" applyAlignment="1">
      <alignment vertical="center" shrinkToFit="1"/>
    </xf>
    <xf numFmtId="38" fontId="0" fillId="28" borderId="12" xfId="49" applyFont="1" applyFill="1" applyBorder="1" applyAlignment="1">
      <alignment vertical="center"/>
    </xf>
    <xf numFmtId="0" fontId="46" fillId="0" borderId="13" xfId="0" applyFont="1" applyBorder="1" applyAlignment="1">
      <alignment horizontal="center" vertical="center" shrinkToFit="1"/>
    </xf>
    <xf numFmtId="38" fontId="46" fillId="0" borderId="13" xfId="49" applyFont="1" applyBorder="1" applyAlignment="1">
      <alignment vertical="center"/>
    </xf>
    <xf numFmtId="0" fontId="47" fillId="33" borderId="14" xfId="0" applyFont="1" applyFill="1" applyBorder="1" applyAlignment="1">
      <alignment vertical="center" shrinkToFit="1"/>
    </xf>
    <xf numFmtId="0" fontId="47" fillId="28" borderId="13" xfId="0" applyFont="1" applyFill="1" applyBorder="1" applyAlignment="1">
      <alignment vertical="center" shrinkToFit="1"/>
    </xf>
    <xf numFmtId="0" fontId="47" fillId="34" borderId="12" xfId="0" applyFont="1" applyFill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0" fillId="33" borderId="12" xfId="49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40" fillId="0" borderId="12" xfId="49" applyFont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0" fontId="48" fillId="0" borderId="0" xfId="0" applyFont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40" fillId="0" borderId="22" xfId="49" applyFont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40" fillId="0" borderId="26" xfId="49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40" fillId="0" borderId="30" xfId="49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40" fillId="0" borderId="37" xfId="49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33" borderId="39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40" xfId="49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40" fillId="0" borderId="43" xfId="49" applyFont="1" applyBorder="1" applyAlignment="1">
      <alignment vertical="center"/>
    </xf>
    <xf numFmtId="0" fontId="0" fillId="0" borderId="44" xfId="0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40" fillId="0" borderId="11" xfId="49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35" borderId="10" xfId="0" applyFill="1" applyBorder="1" applyAlignment="1">
      <alignment vertical="center" shrinkToFit="1"/>
    </xf>
    <xf numFmtId="38" fontId="0" fillId="35" borderId="10" xfId="49" applyFont="1" applyFill="1" applyBorder="1" applyAlignment="1">
      <alignment vertical="center"/>
    </xf>
    <xf numFmtId="0" fontId="47" fillId="35" borderId="14" xfId="0" applyFont="1" applyFill="1" applyBorder="1" applyAlignment="1">
      <alignment vertical="center" shrinkToFit="1"/>
    </xf>
    <xf numFmtId="0" fontId="47" fillId="35" borderId="12" xfId="0" applyFont="1" applyFill="1" applyBorder="1" applyAlignment="1">
      <alignment vertical="center" shrinkToFit="1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176" fontId="0" fillId="36" borderId="39" xfId="0" applyNumberForma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50" fillId="0" borderId="0" xfId="0" applyFont="1" applyAlignment="1">
      <alignment vertical="center"/>
    </xf>
    <xf numFmtId="176" fontId="0" fillId="37" borderId="52" xfId="0" applyNumberFormat="1" applyFill="1" applyBorder="1" applyAlignment="1">
      <alignment vertical="center"/>
    </xf>
    <xf numFmtId="0" fontId="4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47" fillId="33" borderId="54" xfId="0" applyFont="1" applyFill="1" applyBorder="1" applyAlignment="1">
      <alignment vertical="center" shrinkToFit="1"/>
    </xf>
    <xf numFmtId="38" fontId="0" fillId="0" borderId="18" xfId="49" applyFont="1" applyBorder="1" applyAlignment="1">
      <alignment horizontal="center" vertical="center"/>
    </xf>
    <xf numFmtId="38" fontId="0" fillId="0" borderId="55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58" xfId="0" applyFont="1" applyBorder="1" applyAlignment="1">
      <alignment horizontal="right" vertical="center"/>
    </xf>
    <xf numFmtId="0" fontId="51" fillId="0" borderId="59" xfId="0" applyFont="1" applyBorder="1" applyAlignment="1">
      <alignment vertical="center"/>
    </xf>
    <xf numFmtId="38" fontId="51" fillId="0" borderId="59" xfId="49" applyFont="1" applyBorder="1" applyAlignment="1">
      <alignment horizontal="right" vertical="center"/>
    </xf>
    <xf numFmtId="0" fontId="51" fillId="0" borderId="60" xfId="0" applyFont="1" applyBorder="1" applyAlignment="1">
      <alignment horizontal="right" vertical="center"/>
    </xf>
    <xf numFmtId="0" fontId="0" fillId="0" borderId="6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35" borderId="10" xfId="0" applyFont="1" applyFill="1" applyBorder="1" applyAlignment="1">
      <alignment vertical="center" shrinkToFit="1"/>
    </xf>
    <xf numFmtId="38" fontId="0" fillId="35" borderId="10" xfId="49" applyFont="1" applyFill="1" applyBorder="1" applyAlignment="1">
      <alignment vertical="center"/>
    </xf>
    <xf numFmtId="0" fontId="0" fillId="33" borderId="10" xfId="0" applyFont="1" applyFill="1" applyBorder="1" applyAlignment="1">
      <alignment vertical="center" shrinkToFit="1"/>
    </xf>
    <xf numFmtId="38" fontId="0" fillId="33" borderId="10" xfId="49" applyFont="1" applyFill="1" applyBorder="1" applyAlignment="1">
      <alignment vertical="center"/>
    </xf>
    <xf numFmtId="0" fontId="0" fillId="28" borderId="12" xfId="0" applyFont="1" applyFill="1" applyBorder="1" applyAlignment="1">
      <alignment vertical="center" shrinkToFit="1"/>
    </xf>
    <xf numFmtId="38" fontId="0" fillId="28" borderId="12" xfId="49" applyFont="1" applyFill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38" fontId="0" fillId="0" borderId="22" xfId="49" applyNumberFormat="1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1" xfId="49" applyNumberFormat="1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38" fontId="0" fillId="0" borderId="37" xfId="49" applyNumberFormat="1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69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67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71" xfId="0" applyFont="1" applyBorder="1" applyAlignment="1">
      <alignment vertical="center" shrinkToFit="1"/>
    </xf>
    <xf numFmtId="38" fontId="0" fillId="0" borderId="71" xfId="49" applyFont="1" applyBorder="1" applyAlignment="1">
      <alignment vertical="center"/>
    </xf>
    <xf numFmtId="38" fontId="0" fillId="0" borderId="72" xfId="49" applyFont="1" applyBorder="1" applyAlignment="1">
      <alignment vertical="center"/>
    </xf>
    <xf numFmtId="38" fontId="0" fillId="0" borderId="73" xfId="49" applyFont="1" applyBorder="1" applyAlignment="1">
      <alignment vertical="center"/>
    </xf>
    <xf numFmtId="0" fontId="0" fillId="33" borderId="54" xfId="0" applyFont="1" applyFill="1" applyBorder="1" applyAlignment="1">
      <alignment vertical="center" shrinkToFit="1"/>
    </xf>
    <xf numFmtId="38" fontId="0" fillId="33" borderId="54" xfId="49" applyFont="1" applyFill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38" fontId="0" fillId="0" borderId="26" xfId="49" applyFont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0" fontId="0" fillId="0" borderId="43" xfId="0" applyFont="1" applyBorder="1" applyAlignment="1">
      <alignment vertical="center" shrinkToFit="1"/>
    </xf>
    <xf numFmtId="38" fontId="0" fillId="0" borderId="43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0" fontId="0" fillId="35" borderId="12" xfId="0" applyFont="1" applyFill="1" applyBorder="1" applyAlignment="1">
      <alignment vertical="center" shrinkToFit="1"/>
    </xf>
    <xf numFmtId="38" fontId="0" fillId="35" borderId="12" xfId="49" applyFont="1" applyFill="1" applyBorder="1" applyAlignment="1">
      <alignment vertical="center"/>
    </xf>
    <xf numFmtId="38" fontId="0" fillId="0" borderId="71" xfId="49" applyNumberFormat="1" applyFont="1" applyBorder="1" applyAlignment="1">
      <alignment vertical="center"/>
    </xf>
    <xf numFmtId="38" fontId="0" fillId="0" borderId="26" xfId="49" applyNumberFormat="1" applyFont="1" applyBorder="1" applyAlignment="1">
      <alignment vertical="center"/>
    </xf>
    <xf numFmtId="38" fontId="0" fillId="0" borderId="77" xfId="49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33" borderId="16" xfId="0" applyFont="1" applyFill="1" applyBorder="1" applyAlignment="1">
      <alignment vertical="center" shrinkToFit="1"/>
    </xf>
    <xf numFmtId="38" fontId="0" fillId="33" borderId="16" xfId="49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0" fillId="33" borderId="12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shrinkToFit="1"/>
    </xf>
    <xf numFmtId="0" fontId="0" fillId="0" borderId="5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38" fontId="0" fillId="0" borderId="78" xfId="49" applyFont="1" applyBorder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176" fontId="0" fillId="35" borderId="80" xfId="42" applyNumberFormat="1" applyFont="1" applyFill="1" applyBorder="1" applyAlignment="1">
      <alignment horizontal="right" vertical="center"/>
    </xf>
    <xf numFmtId="176" fontId="0" fillId="35" borderId="81" xfId="42" applyNumberFormat="1" applyFont="1" applyFill="1" applyBorder="1" applyAlignment="1">
      <alignment horizontal="right" vertical="center"/>
    </xf>
    <xf numFmtId="176" fontId="0" fillId="33" borderId="80" xfId="42" applyNumberFormat="1" applyFont="1" applyFill="1" applyBorder="1" applyAlignment="1">
      <alignment horizontal="right" vertical="center"/>
    </xf>
    <xf numFmtId="176" fontId="0" fillId="33" borderId="81" xfId="42" applyNumberFormat="1" applyFont="1" applyFill="1" applyBorder="1" applyAlignment="1">
      <alignment horizontal="right" vertical="center"/>
    </xf>
    <xf numFmtId="176" fontId="0" fillId="28" borderId="82" xfId="42" applyNumberFormat="1" applyFont="1" applyFill="1" applyBorder="1" applyAlignment="1">
      <alignment horizontal="right" vertical="center"/>
    </xf>
    <xf numFmtId="176" fontId="0" fillId="28" borderId="83" xfId="42" applyNumberFormat="1" applyFont="1" applyFill="1" applyBorder="1" applyAlignment="1">
      <alignment horizontal="right" vertical="center"/>
    </xf>
    <xf numFmtId="38" fontId="0" fillId="28" borderId="82" xfId="49" applyFont="1" applyFill="1" applyBorder="1" applyAlignment="1">
      <alignment horizontal="center" vertical="center"/>
    </xf>
    <xf numFmtId="38" fontId="0" fillId="28" borderId="83" xfId="49" applyFont="1" applyFill="1" applyBorder="1" applyAlignment="1">
      <alignment horizontal="center" vertical="center"/>
    </xf>
    <xf numFmtId="176" fontId="0" fillId="33" borderId="84" xfId="42" applyNumberFormat="1" applyFont="1" applyFill="1" applyBorder="1" applyAlignment="1">
      <alignment horizontal="right" vertical="center"/>
    </xf>
    <xf numFmtId="176" fontId="0" fillId="33" borderId="85" xfId="42" applyNumberFormat="1" applyFont="1" applyFill="1" applyBorder="1" applyAlignment="1">
      <alignment horizontal="right" vertical="center"/>
    </xf>
    <xf numFmtId="38" fontId="0" fillId="34" borderId="82" xfId="49" applyFont="1" applyFill="1" applyBorder="1" applyAlignment="1">
      <alignment horizontal="center" vertical="center"/>
    </xf>
    <xf numFmtId="38" fontId="0" fillId="34" borderId="83" xfId="49" applyFont="1" applyFill="1" applyBorder="1" applyAlignment="1">
      <alignment horizontal="center" vertical="center"/>
    </xf>
    <xf numFmtId="176" fontId="0" fillId="34" borderId="82" xfId="42" applyNumberFormat="1" applyFont="1" applyFill="1" applyBorder="1" applyAlignment="1">
      <alignment horizontal="right" vertical="center"/>
    </xf>
    <xf numFmtId="176" fontId="0" fillId="34" borderId="83" xfId="42" applyNumberFormat="1" applyFont="1" applyFill="1" applyBorder="1" applyAlignment="1">
      <alignment horizontal="right" vertical="center"/>
    </xf>
    <xf numFmtId="38" fontId="0" fillId="33" borderId="86" xfId="49" applyFont="1" applyFill="1" applyBorder="1" applyAlignment="1">
      <alignment horizontal="center" vertical="center"/>
    </xf>
    <xf numFmtId="38" fontId="0" fillId="33" borderId="87" xfId="49" applyFont="1" applyFill="1" applyBorder="1" applyAlignment="1">
      <alignment horizontal="center" vertical="center"/>
    </xf>
    <xf numFmtId="38" fontId="0" fillId="33" borderId="82" xfId="49" applyFont="1" applyFill="1" applyBorder="1" applyAlignment="1">
      <alignment horizontal="center" vertical="center"/>
    </xf>
    <xf numFmtId="38" fontId="0" fillId="33" borderId="83" xfId="49" applyFont="1" applyFill="1" applyBorder="1" applyAlignment="1">
      <alignment horizontal="center" vertical="center"/>
    </xf>
    <xf numFmtId="38" fontId="46" fillId="0" borderId="88" xfId="49" applyFont="1" applyBorder="1" applyAlignment="1">
      <alignment horizontal="center" vertical="center"/>
    </xf>
    <xf numFmtId="38" fontId="46" fillId="0" borderId="89" xfId="49" applyFont="1" applyBorder="1" applyAlignment="1">
      <alignment horizontal="center" vertical="center"/>
    </xf>
    <xf numFmtId="176" fontId="0" fillId="35" borderId="82" xfId="42" applyNumberFormat="1" applyFont="1" applyFill="1" applyBorder="1" applyAlignment="1">
      <alignment horizontal="right" vertical="center"/>
    </xf>
    <xf numFmtId="176" fontId="0" fillId="35" borderId="83" xfId="42" applyNumberFormat="1" applyFont="1" applyFill="1" applyBorder="1" applyAlignment="1">
      <alignment horizontal="right" vertical="center"/>
    </xf>
    <xf numFmtId="0" fontId="48" fillId="0" borderId="9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38" borderId="28" xfId="0" applyFill="1" applyBorder="1" applyAlignment="1">
      <alignment horizontal="center" vertical="center" textRotation="255" wrapText="1"/>
    </xf>
    <xf numFmtId="0" fontId="0" fillId="38" borderId="42" xfId="0" applyFill="1" applyBorder="1" applyAlignment="1">
      <alignment horizontal="center" vertical="center" textRotation="255" wrapText="1"/>
    </xf>
    <xf numFmtId="0" fontId="0" fillId="38" borderId="53" xfId="0" applyFill="1" applyBorder="1" applyAlignment="1">
      <alignment horizontal="center" vertical="center" textRotation="255" wrapText="1"/>
    </xf>
    <xf numFmtId="0" fontId="0" fillId="39" borderId="28" xfId="0" applyFill="1" applyBorder="1" applyAlignment="1">
      <alignment horizontal="center" vertical="center" textRotation="255" shrinkToFit="1"/>
    </xf>
    <xf numFmtId="0" fontId="0" fillId="39" borderId="53" xfId="0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3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15</xdr:row>
      <xdr:rowOff>200025</xdr:rowOff>
    </xdr:from>
    <xdr:to>
      <xdr:col>6</xdr:col>
      <xdr:colOff>247650</xdr:colOff>
      <xdr:row>18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828800" y="5753100"/>
          <a:ext cx="3171825" cy="847725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SheetLayoutView="100" workbookViewId="0" topLeftCell="A1">
      <selection activeCell="A15" sqref="A15"/>
    </sheetView>
  </sheetViews>
  <sheetFormatPr defaultColWidth="9.140625" defaultRowHeight="15"/>
  <cols>
    <col min="1" max="1" width="41.421875" style="0" customWidth="1"/>
    <col min="2" max="2" width="10.57421875" style="5" customWidth="1"/>
    <col min="3" max="3" width="10.28125" style="5" bestFit="1" customWidth="1"/>
    <col min="4" max="4" width="6.140625" style="5" customWidth="1"/>
    <col min="5" max="5" width="42.57421875" style="16" customWidth="1"/>
  </cols>
  <sheetData>
    <row r="1" spans="1:5" ht="17.25">
      <c r="A1" s="154" t="s">
        <v>251</v>
      </c>
      <c r="B1" s="154"/>
      <c r="C1" s="154"/>
      <c r="D1" s="154"/>
      <c r="E1" s="154"/>
    </row>
    <row r="2" spans="1:5" ht="18" thickBot="1">
      <c r="A2" s="19" t="s">
        <v>63</v>
      </c>
      <c r="B2" s="61"/>
      <c r="C2" s="61"/>
      <c r="D2" s="61"/>
      <c r="E2" s="61"/>
    </row>
    <row r="3" spans="1:5" ht="27.75" thickBot="1">
      <c r="A3" s="2" t="s">
        <v>2</v>
      </c>
      <c r="B3" s="3" t="s">
        <v>24</v>
      </c>
      <c r="C3" s="155" t="s">
        <v>3</v>
      </c>
      <c r="D3" s="156"/>
      <c r="E3" s="2" t="s">
        <v>4</v>
      </c>
    </row>
    <row r="4" spans="1:5" s="99" customFormat="1" ht="15" customHeight="1" thickBot="1">
      <c r="A4" s="100" t="s">
        <v>152</v>
      </c>
      <c r="B4" s="101">
        <f>B5+B59</f>
        <v>18904</v>
      </c>
      <c r="C4" s="157">
        <f>B4/B180</f>
        <v>0.5759727004052284</v>
      </c>
      <c r="D4" s="158"/>
      <c r="E4" s="64" t="s">
        <v>177</v>
      </c>
    </row>
    <row r="5" spans="1:5" s="99" customFormat="1" ht="15" customHeight="1">
      <c r="A5" s="102" t="s">
        <v>5</v>
      </c>
      <c r="B5" s="103">
        <f>B6+B39</f>
        <v>5220</v>
      </c>
      <c r="C5" s="159">
        <f>B5/$B$180</f>
        <v>0.1590445141829926</v>
      </c>
      <c r="D5" s="160"/>
      <c r="E5" s="12" t="s">
        <v>150</v>
      </c>
    </row>
    <row r="6" spans="1:5" s="99" customFormat="1" ht="15" customHeight="1" thickBot="1">
      <c r="A6" s="104" t="s">
        <v>0</v>
      </c>
      <c r="B6" s="105">
        <f>SUM(B7:B38)</f>
        <v>4272</v>
      </c>
      <c r="C6" s="161">
        <f>B6/$B$180</f>
        <v>0.1301605679290698</v>
      </c>
      <c r="D6" s="162"/>
      <c r="E6" s="13" t="s">
        <v>151</v>
      </c>
    </row>
    <row r="7" spans="1:5" s="99" customFormat="1" ht="13.5">
      <c r="A7" s="106" t="s">
        <v>46</v>
      </c>
      <c r="B7" s="107">
        <f>ROUNDUP(C7*D7/1000,0)</f>
        <v>1200</v>
      </c>
      <c r="C7" s="108">
        <v>300000</v>
      </c>
      <c r="D7" s="109">
        <v>4</v>
      </c>
      <c r="E7" s="98" t="s">
        <v>64</v>
      </c>
    </row>
    <row r="8" spans="1:5" s="99" customFormat="1" ht="13.5">
      <c r="A8" s="98" t="s">
        <v>51</v>
      </c>
      <c r="B8" s="110">
        <f>ROUNDUP(C8*D8/1000,0)</f>
        <v>128</v>
      </c>
      <c r="C8" s="111">
        <f>C7/22/8*1.25</f>
        <v>2130.681818181818</v>
      </c>
      <c r="D8" s="112">
        <v>60</v>
      </c>
      <c r="E8" s="98" t="s">
        <v>338</v>
      </c>
    </row>
    <row r="9" spans="1:5" s="99" customFormat="1" ht="13.5">
      <c r="A9" s="98" t="s">
        <v>37</v>
      </c>
      <c r="B9" s="110">
        <f>ROUNDUP(C9*D9/1000,0)</f>
        <v>10</v>
      </c>
      <c r="C9" s="111">
        <v>9200</v>
      </c>
      <c r="D9" s="112">
        <v>1</v>
      </c>
      <c r="E9" s="98" t="s">
        <v>38</v>
      </c>
    </row>
    <row r="10" spans="1:5" s="99" customFormat="1" ht="13.5">
      <c r="A10" s="98" t="s">
        <v>6</v>
      </c>
      <c r="B10" s="113">
        <f aca="true" t="shared" si="0" ref="B10:B37">ROUNDUP(C10*D10/1000,0)</f>
        <v>60</v>
      </c>
      <c r="C10" s="111">
        <f>300000*4*0.05</f>
        <v>60000</v>
      </c>
      <c r="D10" s="112">
        <v>1</v>
      </c>
      <c r="E10" s="98" t="s">
        <v>351</v>
      </c>
    </row>
    <row r="11" spans="1:5" s="99" customFormat="1" ht="13.5">
      <c r="A11" s="98" t="s">
        <v>7</v>
      </c>
      <c r="B11" s="113">
        <f t="shared" si="0"/>
        <v>10</v>
      </c>
      <c r="C11" s="111">
        <f>300000*4*0.0079</f>
        <v>9480.000000000002</v>
      </c>
      <c r="D11" s="112">
        <v>1</v>
      </c>
      <c r="E11" s="98" t="s">
        <v>352</v>
      </c>
    </row>
    <row r="12" spans="1:5" s="99" customFormat="1" ht="13.5">
      <c r="A12" s="98" t="s">
        <v>253</v>
      </c>
      <c r="B12" s="113">
        <f t="shared" si="0"/>
        <v>6</v>
      </c>
      <c r="C12" s="111">
        <f>300000*9*0.002</f>
        <v>5400</v>
      </c>
      <c r="D12" s="112">
        <v>1</v>
      </c>
      <c r="E12" s="98" t="s">
        <v>353</v>
      </c>
    </row>
    <row r="13" spans="1:5" s="99" customFormat="1" ht="13.5">
      <c r="A13" s="98" t="s">
        <v>343</v>
      </c>
      <c r="B13" s="113">
        <f>ROUNDUP(C13*D13/1000,0)</f>
        <v>110</v>
      </c>
      <c r="C13" s="111">
        <f>300000*4*91.5/1000</f>
        <v>109800</v>
      </c>
      <c r="D13" s="112">
        <v>1</v>
      </c>
      <c r="E13" s="98" t="s">
        <v>354</v>
      </c>
    </row>
    <row r="14" spans="1:5" s="99" customFormat="1" ht="13.5">
      <c r="A14" s="98" t="s">
        <v>8</v>
      </c>
      <c r="B14" s="113">
        <f t="shared" si="0"/>
        <v>9</v>
      </c>
      <c r="C14" s="111">
        <f>300000*4*0.007</f>
        <v>8400</v>
      </c>
      <c r="D14" s="112">
        <v>1</v>
      </c>
      <c r="E14" s="98" t="s">
        <v>355</v>
      </c>
    </row>
    <row r="15" spans="1:5" s="99" customFormat="1" ht="13.5">
      <c r="A15" s="98" t="s">
        <v>9</v>
      </c>
      <c r="B15" s="113">
        <f t="shared" si="0"/>
        <v>4</v>
      </c>
      <c r="C15" s="111">
        <f>300000*4*0.003</f>
        <v>3600</v>
      </c>
      <c r="D15" s="112">
        <v>1</v>
      </c>
      <c r="E15" s="98" t="s">
        <v>356</v>
      </c>
    </row>
    <row r="16" spans="1:5" s="99" customFormat="1" ht="13.5">
      <c r="A16" s="98" t="s">
        <v>10</v>
      </c>
      <c r="B16" s="113">
        <f>ROUNDUP(C16*D16/1000,0)</f>
        <v>1</v>
      </c>
      <c r="C16" s="111">
        <f>300000*4*0.00002</f>
        <v>24.000000000000004</v>
      </c>
      <c r="D16" s="112">
        <v>1</v>
      </c>
      <c r="E16" s="98" t="s">
        <v>357</v>
      </c>
    </row>
    <row r="17" spans="1:5" s="99" customFormat="1" ht="13.5">
      <c r="A17" s="98" t="s">
        <v>341</v>
      </c>
      <c r="B17" s="113">
        <f>ROUNDUP(C17*D17/1000,0)</f>
        <v>40</v>
      </c>
      <c r="C17" s="114">
        <v>40000</v>
      </c>
      <c r="D17" s="112">
        <v>1</v>
      </c>
      <c r="E17" s="98" t="s">
        <v>346</v>
      </c>
    </row>
    <row r="18" spans="1:5" s="99" customFormat="1" ht="13.5">
      <c r="A18" s="115" t="s">
        <v>65</v>
      </c>
      <c r="B18" s="116">
        <f t="shared" si="0"/>
        <v>800</v>
      </c>
      <c r="C18" s="117">
        <v>200000</v>
      </c>
      <c r="D18" s="118">
        <v>4</v>
      </c>
      <c r="E18" s="115" t="s">
        <v>249</v>
      </c>
    </row>
    <row r="19" spans="1:5" s="99" customFormat="1" ht="13.5">
      <c r="A19" s="98" t="s">
        <v>51</v>
      </c>
      <c r="B19" s="110">
        <f>ROUNDUP(C19*D19/1000,0)</f>
        <v>114</v>
      </c>
      <c r="C19" s="111">
        <f>C18/22/8*1.25</f>
        <v>1420.4545454545453</v>
      </c>
      <c r="D19" s="112">
        <v>80</v>
      </c>
      <c r="E19" s="98" t="s">
        <v>250</v>
      </c>
    </row>
    <row r="20" spans="1:5" s="99" customFormat="1" ht="13.5">
      <c r="A20" s="115" t="s">
        <v>66</v>
      </c>
      <c r="B20" s="119">
        <f t="shared" si="0"/>
        <v>10</v>
      </c>
      <c r="C20" s="120">
        <v>9200</v>
      </c>
      <c r="D20" s="118">
        <v>1</v>
      </c>
      <c r="E20" s="115" t="s">
        <v>38</v>
      </c>
    </row>
    <row r="21" spans="1:5" s="99" customFormat="1" ht="13.5">
      <c r="A21" s="98" t="s">
        <v>67</v>
      </c>
      <c r="B21" s="113">
        <f t="shared" si="0"/>
        <v>40</v>
      </c>
      <c r="C21" s="111">
        <f>C18*4*0.05</f>
        <v>40000</v>
      </c>
      <c r="D21" s="112">
        <v>1</v>
      </c>
      <c r="E21" s="98" t="s">
        <v>358</v>
      </c>
    </row>
    <row r="22" spans="1:5" s="99" customFormat="1" ht="13.5">
      <c r="A22" s="98" t="s">
        <v>7</v>
      </c>
      <c r="B22" s="113">
        <f t="shared" si="0"/>
        <v>7</v>
      </c>
      <c r="C22" s="111">
        <f>C18*4*0.0079</f>
        <v>6320.000000000001</v>
      </c>
      <c r="D22" s="112">
        <v>1</v>
      </c>
      <c r="E22" s="98" t="s">
        <v>359</v>
      </c>
    </row>
    <row r="23" spans="1:5" s="99" customFormat="1" ht="13.5">
      <c r="A23" s="98" t="s">
        <v>253</v>
      </c>
      <c r="B23" s="113">
        <f t="shared" si="0"/>
        <v>2</v>
      </c>
      <c r="C23" s="111">
        <f>C18*4*0.002</f>
        <v>1600</v>
      </c>
      <c r="D23" s="112">
        <v>1</v>
      </c>
      <c r="E23" s="98" t="s">
        <v>360</v>
      </c>
    </row>
    <row r="24" spans="1:5" s="99" customFormat="1" ht="13.5">
      <c r="A24" s="98" t="s">
        <v>343</v>
      </c>
      <c r="B24" s="113">
        <f t="shared" si="0"/>
        <v>74</v>
      </c>
      <c r="C24" s="111">
        <f>C18*4*91.5/1000</f>
        <v>73200</v>
      </c>
      <c r="D24" s="112">
        <v>1</v>
      </c>
      <c r="E24" s="98" t="s">
        <v>361</v>
      </c>
    </row>
    <row r="25" spans="1:5" s="99" customFormat="1" ht="13.5">
      <c r="A25" s="98" t="s">
        <v>69</v>
      </c>
      <c r="B25" s="113">
        <f t="shared" si="0"/>
        <v>6</v>
      </c>
      <c r="C25" s="111">
        <f>C18*4*0.007</f>
        <v>5600</v>
      </c>
      <c r="D25" s="112">
        <v>1</v>
      </c>
      <c r="E25" s="98" t="s">
        <v>362</v>
      </c>
    </row>
    <row r="26" spans="1:5" s="99" customFormat="1" ht="13.5">
      <c r="A26" s="98" t="s">
        <v>70</v>
      </c>
      <c r="B26" s="113">
        <f t="shared" si="0"/>
        <v>3</v>
      </c>
      <c r="C26" s="111">
        <f>C18*4*0.003</f>
        <v>2400</v>
      </c>
      <c r="D26" s="112">
        <v>1</v>
      </c>
      <c r="E26" s="98" t="s">
        <v>363</v>
      </c>
    </row>
    <row r="27" spans="1:5" s="99" customFormat="1" ht="13.5">
      <c r="A27" s="98" t="s">
        <v>71</v>
      </c>
      <c r="B27" s="113">
        <f t="shared" si="0"/>
        <v>1</v>
      </c>
      <c r="C27" s="111">
        <f>C18*4*0.00002</f>
        <v>16</v>
      </c>
      <c r="D27" s="112">
        <v>1</v>
      </c>
      <c r="E27" s="98" t="s">
        <v>364</v>
      </c>
    </row>
    <row r="28" spans="1:5" s="99" customFormat="1" ht="13.5">
      <c r="A28" s="98" t="s">
        <v>341</v>
      </c>
      <c r="B28" s="113">
        <f>ROUNDUP(C28*D28/1000,0)</f>
        <v>40</v>
      </c>
      <c r="C28" s="114">
        <v>40000</v>
      </c>
      <c r="D28" s="112">
        <v>1</v>
      </c>
      <c r="E28" s="98" t="s">
        <v>346</v>
      </c>
    </row>
    <row r="29" spans="1:5" s="99" customFormat="1" ht="13.5">
      <c r="A29" s="115" t="s">
        <v>45</v>
      </c>
      <c r="B29" s="116">
        <f>ROUNDUP(C29*D29/1000,0)</f>
        <v>1440</v>
      </c>
      <c r="C29" s="117">
        <v>160000</v>
      </c>
      <c r="D29" s="118">
        <v>9</v>
      </c>
      <c r="E29" s="115" t="s">
        <v>169</v>
      </c>
    </row>
    <row r="30" spans="1:5" s="99" customFormat="1" ht="13.5">
      <c r="A30" s="115" t="s">
        <v>39</v>
      </c>
      <c r="B30" s="119">
        <f t="shared" si="0"/>
        <v>10</v>
      </c>
      <c r="C30" s="120">
        <v>9200</v>
      </c>
      <c r="D30" s="118">
        <v>1</v>
      </c>
      <c r="E30" s="115" t="s">
        <v>38</v>
      </c>
    </row>
    <row r="31" spans="1:5" s="99" customFormat="1" ht="13.5">
      <c r="A31" s="98" t="s">
        <v>40</v>
      </c>
      <c r="B31" s="113">
        <f t="shared" si="0"/>
        <v>32</v>
      </c>
      <c r="C31" s="111">
        <f>160000*4*0.05</f>
        <v>32000</v>
      </c>
      <c r="D31" s="112">
        <v>1</v>
      </c>
      <c r="E31" s="98" t="s">
        <v>365</v>
      </c>
    </row>
    <row r="32" spans="1:5" s="99" customFormat="1" ht="13.5">
      <c r="A32" s="98" t="s">
        <v>41</v>
      </c>
      <c r="B32" s="113">
        <f t="shared" si="0"/>
        <v>6</v>
      </c>
      <c r="C32" s="111">
        <f>160000*4*0.0079</f>
        <v>5056.000000000001</v>
      </c>
      <c r="D32" s="112">
        <v>1</v>
      </c>
      <c r="E32" s="98" t="s">
        <v>366</v>
      </c>
    </row>
    <row r="33" spans="1:5" s="99" customFormat="1" ht="13.5">
      <c r="A33" s="98" t="s">
        <v>254</v>
      </c>
      <c r="B33" s="113">
        <f t="shared" si="0"/>
        <v>2</v>
      </c>
      <c r="C33" s="111">
        <f>160000*4*0.002</f>
        <v>1280</v>
      </c>
      <c r="D33" s="112">
        <v>1</v>
      </c>
      <c r="E33" s="98" t="s">
        <v>367</v>
      </c>
    </row>
    <row r="34" spans="1:5" s="99" customFormat="1" ht="13.5">
      <c r="A34" s="98" t="s">
        <v>344</v>
      </c>
      <c r="B34" s="113">
        <f t="shared" si="0"/>
        <v>59</v>
      </c>
      <c r="C34" s="111">
        <f>160000*4*91.5/1000</f>
        <v>58560</v>
      </c>
      <c r="D34" s="112">
        <v>1</v>
      </c>
      <c r="E34" s="98" t="s">
        <v>368</v>
      </c>
    </row>
    <row r="35" spans="1:5" s="99" customFormat="1" ht="13.5">
      <c r="A35" s="98" t="s">
        <v>42</v>
      </c>
      <c r="B35" s="113">
        <f t="shared" si="0"/>
        <v>5</v>
      </c>
      <c r="C35" s="111">
        <f>160000*4*0.007</f>
        <v>4480</v>
      </c>
      <c r="D35" s="112">
        <v>1</v>
      </c>
      <c r="E35" s="98" t="s">
        <v>369</v>
      </c>
    </row>
    <row r="36" spans="1:5" s="99" customFormat="1" ht="13.5">
      <c r="A36" s="98" t="s">
        <v>43</v>
      </c>
      <c r="B36" s="113">
        <f t="shared" si="0"/>
        <v>2</v>
      </c>
      <c r="C36" s="111">
        <f>160000*4*0.003</f>
        <v>1920</v>
      </c>
      <c r="D36" s="112">
        <v>1</v>
      </c>
      <c r="E36" s="98" t="s">
        <v>370</v>
      </c>
    </row>
    <row r="37" spans="1:5" s="99" customFormat="1" ht="13.5">
      <c r="A37" s="98" t="s">
        <v>44</v>
      </c>
      <c r="B37" s="113">
        <f t="shared" si="0"/>
        <v>1</v>
      </c>
      <c r="C37" s="111">
        <f>160000*4*0.00002</f>
        <v>12.8</v>
      </c>
      <c r="D37" s="112">
        <v>1</v>
      </c>
      <c r="E37" s="98" t="s">
        <v>371</v>
      </c>
    </row>
    <row r="38" spans="1:5" s="99" customFormat="1" ht="13.5">
      <c r="A38" s="98" t="s">
        <v>340</v>
      </c>
      <c r="B38" s="113">
        <f>ROUNDUP(C38*D38/1000,0)</f>
        <v>40</v>
      </c>
      <c r="C38" s="114">
        <v>40000</v>
      </c>
      <c r="D38" s="112">
        <v>1</v>
      </c>
      <c r="E38" s="98" t="s">
        <v>346</v>
      </c>
    </row>
    <row r="39" spans="1:5" s="99" customFormat="1" ht="15" customHeight="1">
      <c r="A39" s="104" t="s">
        <v>1</v>
      </c>
      <c r="B39" s="105">
        <f>B40+B43+B47+B52+B55</f>
        <v>948</v>
      </c>
      <c r="C39" s="163"/>
      <c r="D39" s="164"/>
      <c r="E39" s="104"/>
    </row>
    <row r="40" spans="1:5" s="99" customFormat="1" ht="13.5">
      <c r="A40" s="106" t="s">
        <v>80</v>
      </c>
      <c r="B40" s="121">
        <f>SUM(B41:B42)</f>
        <v>69</v>
      </c>
      <c r="C40" s="108"/>
      <c r="D40" s="109"/>
      <c r="E40" s="106"/>
    </row>
    <row r="41" spans="1:5" s="99" customFormat="1" ht="13.5">
      <c r="A41" s="115" t="s">
        <v>81</v>
      </c>
      <c r="B41" s="119">
        <f>ROUNDUP(C41*D41/1000,0)</f>
        <v>59</v>
      </c>
      <c r="C41" s="120">
        <v>29260</v>
      </c>
      <c r="D41" s="118">
        <v>2</v>
      </c>
      <c r="E41" s="115" t="s">
        <v>72</v>
      </c>
    </row>
    <row r="42" spans="1:5" s="99" customFormat="1" ht="13.5">
      <c r="A42" s="115" t="s">
        <v>82</v>
      </c>
      <c r="B42" s="119">
        <f>ROUNDUP(C42*D42/1000,0)</f>
        <v>10</v>
      </c>
      <c r="C42" s="120">
        <v>9860</v>
      </c>
      <c r="D42" s="118">
        <v>1</v>
      </c>
      <c r="E42" s="115" t="s">
        <v>47</v>
      </c>
    </row>
    <row r="43" spans="1:5" s="99" customFormat="1" ht="13.5">
      <c r="A43" s="115" t="s">
        <v>11</v>
      </c>
      <c r="B43" s="119">
        <f>B44+B45+B46</f>
        <v>108</v>
      </c>
      <c r="C43" s="122"/>
      <c r="D43" s="123"/>
      <c r="E43" s="115"/>
    </row>
    <row r="44" spans="1:5" s="99" customFormat="1" ht="13.5">
      <c r="A44" s="115" t="s">
        <v>12</v>
      </c>
      <c r="B44" s="119">
        <f>ROUNDUP(C44*D44/1000,0)</f>
        <v>48</v>
      </c>
      <c r="C44" s="120">
        <v>12000</v>
      </c>
      <c r="D44" s="118">
        <v>4</v>
      </c>
      <c r="E44" s="115"/>
    </row>
    <row r="45" spans="1:5" s="99" customFormat="1" ht="13.5">
      <c r="A45" s="115" t="s">
        <v>13</v>
      </c>
      <c r="B45" s="119">
        <f>ROUNDUP(C45*D45/1000,0)</f>
        <v>40</v>
      </c>
      <c r="C45" s="120">
        <v>10000</v>
      </c>
      <c r="D45" s="118">
        <v>4</v>
      </c>
      <c r="E45" s="115"/>
    </row>
    <row r="46" spans="1:5" s="99" customFormat="1" ht="13.5">
      <c r="A46" s="115" t="s">
        <v>14</v>
      </c>
      <c r="B46" s="119">
        <f>ROUNDUP(C46*D46/1000,0)</f>
        <v>20</v>
      </c>
      <c r="C46" s="120">
        <v>5000</v>
      </c>
      <c r="D46" s="118">
        <v>4</v>
      </c>
      <c r="E46" s="115"/>
    </row>
    <row r="47" spans="1:5" s="99" customFormat="1" ht="13.5">
      <c r="A47" s="115" t="s">
        <v>73</v>
      </c>
      <c r="B47" s="119">
        <f>SUM(B48:B51)</f>
        <v>226</v>
      </c>
      <c r="C47" s="120"/>
      <c r="D47" s="118"/>
      <c r="E47" s="115"/>
    </row>
    <row r="48" spans="1:5" s="99" customFormat="1" ht="13.5">
      <c r="A48" s="115" t="s">
        <v>124</v>
      </c>
      <c r="B48" s="119">
        <f>ROUNDUP(C48*D48/1000,0)</f>
        <v>9</v>
      </c>
      <c r="C48" s="120">
        <v>2200</v>
      </c>
      <c r="D48" s="118">
        <v>4</v>
      </c>
      <c r="E48" s="115" t="s">
        <v>125</v>
      </c>
    </row>
    <row r="49" spans="1:5" s="99" customFormat="1" ht="13.5">
      <c r="A49" s="115" t="s">
        <v>30</v>
      </c>
      <c r="B49" s="119">
        <f>ROUNDUP(C49*D49/1000,0)</f>
        <v>72</v>
      </c>
      <c r="C49" s="120">
        <v>18000</v>
      </c>
      <c r="D49" s="118">
        <v>4</v>
      </c>
      <c r="E49" s="115" t="s">
        <v>272</v>
      </c>
    </row>
    <row r="50" spans="1:5" s="99" customFormat="1" ht="13.5">
      <c r="A50" s="115" t="s">
        <v>74</v>
      </c>
      <c r="B50" s="119">
        <f>ROUNDUP(C50*D50/1000,0)</f>
        <v>104</v>
      </c>
      <c r="C50" s="120">
        <f>26000*1</f>
        <v>26000</v>
      </c>
      <c r="D50" s="118">
        <v>4</v>
      </c>
      <c r="E50" s="115" t="s">
        <v>75</v>
      </c>
    </row>
    <row r="51" spans="1:5" s="99" customFormat="1" ht="13.5">
      <c r="A51" s="115" t="s">
        <v>76</v>
      </c>
      <c r="B51" s="119">
        <f>ROUNDUP(C51*D51/1000,0)</f>
        <v>41</v>
      </c>
      <c r="C51" s="120">
        <f>10200*1</f>
        <v>10200</v>
      </c>
      <c r="D51" s="118">
        <v>4</v>
      </c>
      <c r="E51" s="115" t="s">
        <v>77</v>
      </c>
    </row>
    <row r="52" spans="1:5" s="99" customFormat="1" ht="13.5">
      <c r="A52" s="115" t="s">
        <v>15</v>
      </c>
      <c r="B52" s="119">
        <f>SUM(B53:B54)</f>
        <v>93</v>
      </c>
      <c r="C52" s="120"/>
      <c r="D52" s="118"/>
      <c r="E52" s="115"/>
    </row>
    <row r="53" spans="1:5" s="99" customFormat="1" ht="13.5">
      <c r="A53" s="115" t="s">
        <v>78</v>
      </c>
      <c r="B53" s="119">
        <f>ROUNDUP(C53*D53/1000,0)</f>
        <v>48</v>
      </c>
      <c r="C53" s="120">
        <v>12000</v>
      </c>
      <c r="D53" s="118">
        <v>4</v>
      </c>
      <c r="E53" s="115" t="s">
        <v>36</v>
      </c>
    </row>
    <row r="54" spans="1:5" s="99" customFormat="1" ht="13.5">
      <c r="A54" s="115" t="s">
        <v>79</v>
      </c>
      <c r="B54" s="119">
        <f>ROUNDUP(C54*D54/1000,0)</f>
        <v>45</v>
      </c>
      <c r="C54" s="120">
        <v>11200</v>
      </c>
      <c r="D54" s="118">
        <v>4</v>
      </c>
      <c r="E54" s="124" t="s">
        <v>168</v>
      </c>
    </row>
    <row r="55" spans="1:5" s="99" customFormat="1" ht="13.5">
      <c r="A55" s="115" t="s">
        <v>171</v>
      </c>
      <c r="B55" s="119">
        <f>SUM(B56:B58)</f>
        <v>452</v>
      </c>
      <c r="C55" s="120"/>
      <c r="D55" s="118"/>
      <c r="E55" s="125"/>
    </row>
    <row r="56" spans="1:5" s="99" customFormat="1" ht="13.5">
      <c r="A56" s="115" t="s">
        <v>121</v>
      </c>
      <c r="B56" s="119">
        <f>ROUNDUP(C56*D56/1000,0)</f>
        <v>260</v>
      </c>
      <c r="C56" s="120">
        <v>65000</v>
      </c>
      <c r="D56" s="118">
        <v>4</v>
      </c>
      <c r="E56" s="115" t="s">
        <v>372</v>
      </c>
    </row>
    <row r="57" spans="1:5" s="99" customFormat="1" ht="13.5">
      <c r="A57" s="115" t="s">
        <v>231</v>
      </c>
      <c r="B57" s="119">
        <f>ROUNDUP(C57*D57/1000,0)</f>
        <v>72</v>
      </c>
      <c r="C57" s="120">
        <v>18000</v>
      </c>
      <c r="D57" s="118">
        <v>4</v>
      </c>
      <c r="E57" s="115" t="s">
        <v>373</v>
      </c>
    </row>
    <row r="58" spans="1:5" s="99" customFormat="1" ht="14.25" thickBot="1">
      <c r="A58" s="126" t="s">
        <v>122</v>
      </c>
      <c r="B58" s="127">
        <f>ROUNDUP(C58*D58/1000,0)</f>
        <v>120</v>
      </c>
      <c r="C58" s="128">
        <v>30000</v>
      </c>
      <c r="D58" s="129">
        <v>4</v>
      </c>
      <c r="E58" s="126" t="s">
        <v>374</v>
      </c>
    </row>
    <row r="59" spans="1:5" s="99" customFormat="1" ht="15" customHeight="1" thickTop="1">
      <c r="A59" s="130" t="s">
        <v>16</v>
      </c>
      <c r="B59" s="131">
        <f>B60+B91+B116</f>
        <v>13684</v>
      </c>
      <c r="C59" s="165"/>
      <c r="D59" s="166"/>
      <c r="E59" s="87"/>
    </row>
    <row r="60" spans="1:5" s="99" customFormat="1" ht="15" customHeight="1">
      <c r="A60" s="132" t="s">
        <v>17</v>
      </c>
      <c r="B60" s="133">
        <f>B61+B67+B76+B86</f>
        <v>4787</v>
      </c>
      <c r="C60" s="167"/>
      <c r="D60" s="168"/>
      <c r="E60" s="132"/>
    </row>
    <row r="61" spans="1:5" s="99" customFormat="1" ht="15" customHeight="1">
      <c r="A61" s="104" t="s">
        <v>274</v>
      </c>
      <c r="B61" s="105">
        <f>SUM(B62:B66)</f>
        <v>1275</v>
      </c>
      <c r="C61" s="163"/>
      <c r="D61" s="164"/>
      <c r="E61" s="104"/>
    </row>
    <row r="62" spans="1:5" s="99" customFormat="1" ht="13.5">
      <c r="A62" s="106" t="s">
        <v>18</v>
      </c>
      <c r="B62" s="121">
        <f>ROUNDUP(C62*D62/1000,0)</f>
        <v>800</v>
      </c>
      <c r="C62" s="108">
        <v>100000</v>
      </c>
      <c r="D62" s="109">
        <v>8</v>
      </c>
      <c r="E62" s="106" t="s">
        <v>88</v>
      </c>
    </row>
    <row r="63" spans="1:5" s="99" customFormat="1" ht="13.5">
      <c r="A63" s="115" t="s">
        <v>35</v>
      </c>
      <c r="B63" s="119">
        <f>ROUNDUP(C63*D63/1000,0)</f>
        <v>235</v>
      </c>
      <c r="C63" s="120">
        <f>29260</f>
        <v>29260</v>
      </c>
      <c r="D63" s="118">
        <v>8</v>
      </c>
      <c r="E63" s="134" t="s">
        <v>83</v>
      </c>
    </row>
    <row r="64" spans="1:5" s="99" customFormat="1" ht="13.5">
      <c r="A64" s="115" t="s">
        <v>20</v>
      </c>
      <c r="B64" s="119">
        <f>ROUNDUP(C64*D64/1000,0)</f>
        <v>120</v>
      </c>
      <c r="C64" s="111">
        <v>15000</v>
      </c>
      <c r="D64" s="112">
        <v>8</v>
      </c>
      <c r="E64" s="98" t="s">
        <v>210</v>
      </c>
    </row>
    <row r="65" spans="1:5" s="99" customFormat="1" ht="13.5">
      <c r="A65" s="115" t="s">
        <v>84</v>
      </c>
      <c r="B65" s="119">
        <f>ROUNDUP(C65*D65/1000,0)</f>
        <v>40</v>
      </c>
      <c r="C65" s="120">
        <v>5000</v>
      </c>
      <c r="D65" s="118">
        <v>8</v>
      </c>
      <c r="E65" s="115" t="s">
        <v>211</v>
      </c>
    </row>
    <row r="66" spans="1:5" s="99" customFormat="1" ht="13.5">
      <c r="A66" s="135" t="s">
        <v>21</v>
      </c>
      <c r="B66" s="136">
        <f>ROUNDUP(C66*D66/1000,0)</f>
        <v>80</v>
      </c>
      <c r="C66" s="137">
        <v>80000</v>
      </c>
      <c r="D66" s="138">
        <v>1</v>
      </c>
      <c r="E66" s="135" t="s">
        <v>48</v>
      </c>
    </row>
    <row r="67" spans="1:5" s="99" customFormat="1" ht="15" customHeight="1">
      <c r="A67" s="104" t="s">
        <v>212</v>
      </c>
      <c r="B67" s="105">
        <f>SUM(B68:B75)</f>
        <v>1342</v>
      </c>
      <c r="C67" s="163"/>
      <c r="D67" s="164"/>
      <c r="E67" s="104"/>
    </row>
    <row r="68" spans="1:5" s="99" customFormat="1" ht="13.5">
      <c r="A68" s="106" t="s">
        <v>18</v>
      </c>
      <c r="B68" s="121">
        <f aca="true" t="shared" si="1" ref="B68:B75">ROUNDUP(C68*D68/1000,0)</f>
        <v>800</v>
      </c>
      <c r="C68" s="108">
        <v>100000</v>
      </c>
      <c r="D68" s="109">
        <v>8</v>
      </c>
      <c r="E68" s="106" t="s">
        <v>213</v>
      </c>
    </row>
    <row r="69" spans="1:5" s="99" customFormat="1" ht="13.5">
      <c r="A69" s="115" t="s">
        <v>35</v>
      </c>
      <c r="B69" s="119">
        <f t="shared" si="1"/>
        <v>235</v>
      </c>
      <c r="C69" s="120">
        <f>29260</f>
        <v>29260</v>
      </c>
      <c r="D69" s="118">
        <v>8</v>
      </c>
      <c r="E69" s="134" t="s">
        <v>83</v>
      </c>
    </row>
    <row r="70" spans="1:5" s="99" customFormat="1" ht="13.5">
      <c r="A70" s="115" t="s">
        <v>86</v>
      </c>
      <c r="B70" s="119">
        <f t="shared" si="1"/>
        <v>20</v>
      </c>
      <c r="C70" s="120">
        <v>10000</v>
      </c>
      <c r="D70" s="112">
        <v>2</v>
      </c>
      <c r="E70" s="98" t="s">
        <v>85</v>
      </c>
    </row>
    <row r="71" spans="1:5" s="99" customFormat="1" ht="13.5">
      <c r="A71" s="115" t="s">
        <v>20</v>
      </c>
      <c r="B71" s="119">
        <f t="shared" si="1"/>
        <v>90</v>
      </c>
      <c r="C71" s="111">
        <v>15000</v>
      </c>
      <c r="D71" s="112">
        <v>6</v>
      </c>
      <c r="E71" s="98" t="s">
        <v>275</v>
      </c>
    </row>
    <row r="72" spans="1:5" s="99" customFormat="1" ht="13.5">
      <c r="A72" s="115" t="s">
        <v>84</v>
      </c>
      <c r="B72" s="119">
        <f t="shared" si="1"/>
        <v>30</v>
      </c>
      <c r="C72" s="120">
        <v>5000</v>
      </c>
      <c r="D72" s="118">
        <v>6</v>
      </c>
      <c r="E72" s="115" t="s">
        <v>276</v>
      </c>
    </row>
    <row r="73" spans="1:5" s="99" customFormat="1" ht="13.5">
      <c r="A73" s="115" t="s">
        <v>28</v>
      </c>
      <c r="B73" s="119">
        <f t="shared" si="1"/>
        <v>57</v>
      </c>
      <c r="C73" s="120">
        <v>28500</v>
      </c>
      <c r="D73" s="118">
        <v>2</v>
      </c>
      <c r="E73" s="115" t="s">
        <v>92</v>
      </c>
    </row>
    <row r="74" spans="1:5" s="99" customFormat="1" ht="13.5">
      <c r="A74" s="126" t="s">
        <v>34</v>
      </c>
      <c r="B74" s="127">
        <f t="shared" si="1"/>
        <v>30</v>
      </c>
      <c r="C74" s="128">
        <v>1000</v>
      </c>
      <c r="D74" s="129">
        <v>30</v>
      </c>
      <c r="E74" s="126" t="s">
        <v>87</v>
      </c>
    </row>
    <row r="75" spans="1:5" s="99" customFormat="1" ht="13.5">
      <c r="A75" s="135" t="s">
        <v>21</v>
      </c>
      <c r="B75" s="136">
        <f t="shared" si="1"/>
        <v>80</v>
      </c>
      <c r="C75" s="137">
        <v>80000</v>
      </c>
      <c r="D75" s="138">
        <v>1</v>
      </c>
      <c r="E75" s="135" t="s">
        <v>48</v>
      </c>
    </row>
    <row r="76" spans="1:5" s="99" customFormat="1" ht="15" customHeight="1">
      <c r="A76" s="104" t="s">
        <v>214</v>
      </c>
      <c r="B76" s="105">
        <f>SUM(B77:B85)</f>
        <v>1810</v>
      </c>
      <c r="C76" s="163"/>
      <c r="D76" s="164"/>
      <c r="E76" s="104"/>
    </row>
    <row r="77" spans="1:5" s="99" customFormat="1" ht="13.5">
      <c r="A77" s="106" t="s">
        <v>157</v>
      </c>
      <c r="B77" s="121">
        <f>SUM(B78:B85)</f>
        <v>905</v>
      </c>
      <c r="C77" s="108"/>
      <c r="D77" s="109"/>
      <c r="E77" s="106"/>
    </row>
    <row r="78" spans="1:5" s="99" customFormat="1" ht="13.5">
      <c r="A78" s="98" t="s">
        <v>18</v>
      </c>
      <c r="B78" s="119">
        <f>ROUNDUP(C78*D78/1000,0)</f>
        <v>500</v>
      </c>
      <c r="C78" s="111">
        <v>100000</v>
      </c>
      <c r="D78" s="112">
        <v>5</v>
      </c>
      <c r="E78" s="98" t="s">
        <v>215</v>
      </c>
    </row>
    <row r="79" spans="1:5" s="99" customFormat="1" ht="13.5">
      <c r="A79" s="115" t="s">
        <v>35</v>
      </c>
      <c r="B79" s="119">
        <f>ROUNDUP(C79*D79/1000,0)</f>
        <v>147</v>
      </c>
      <c r="C79" s="120">
        <f>29260</f>
        <v>29260</v>
      </c>
      <c r="D79" s="118">
        <v>5</v>
      </c>
      <c r="E79" s="115"/>
    </row>
    <row r="80" spans="1:5" s="99" customFormat="1" ht="13.5">
      <c r="A80" s="115" t="s">
        <v>20</v>
      </c>
      <c r="B80" s="127">
        <f>ROUNDUP(C80*D80/1000,0)</f>
        <v>65</v>
      </c>
      <c r="C80" s="111">
        <v>13000</v>
      </c>
      <c r="D80" s="112">
        <v>5</v>
      </c>
      <c r="E80" s="98" t="s">
        <v>284</v>
      </c>
    </row>
    <row r="81" spans="1:5" s="99" customFormat="1" ht="13.5">
      <c r="A81" s="115" t="s">
        <v>280</v>
      </c>
      <c r="B81" s="119">
        <f>ROUNDUP(C81*D81/1000,0)</f>
        <v>68</v>
      </c>
      <c r="C81" s="120">
        <v>6800</v>
      </c>
      <c r="D81" s="118">
        <v>10</v>
      </c>
      <c r="E81" s="115" t="s">
        <v>216</v>
      </c>
    </row>
    <row r="82" spans="1:5" s="99" customFormat="1" ht="13.5">
      <c r="A82" s="115" t="s">
        <v>89</v>
      </c>
      <c r="B82" s="110">
        <f aca="true" t="shared" si="2" ref="B82:B90">ROUNDUP(C82*D82/1000,0)</f>
        <v>30</v>
      </c>
      <c r="C82" s="120">
        <v>3000</v>
      </c>
      <c r="D82" s="118">
        <v>10</v>
      </c>
      <c r="E82" s="115" t="s">
        <v>217</v>
      </c>
    </row>
    <row r="83" spans="1:5" s="99" customFormat="1" ht="13.5">
      <c r="A83" s="126" t="s">
        <v>90</v>
      </c>
      <c r="B83" s="119">
        <f t="shared" si="2"/>
        <v>5</v>
      </c>
      <c r="C83" s="128">
        <v>5000</v>
      </c>
      <c r="D83" s="129">
        <v>1</v>
      </c>
      <c r="E83" s="126" t="s">
        <v>91</v>
      </c>
    </row>
    <row r="84" spans="1:5" s="99" customFormat="1" ht="13.5">
      <c r="A84" s="126" t="s">
        <v>34</v>
      </c>
      <c r="B84" s="127">
        <f t="shared" si="2"/>
        <v>10</v>
      </c>
      <c r="C84" s="128">
        <v>1000</v>
      </c>
      <c r="D84" s="129">
        <v>10</v>
      </c>
      <c r="E84" s="126" t="s">
        <v>218</v>
      </c>
    </row>
    <row r="85" spans="1:5" s="99" customFormat="1" ht="13.5">
      <c r="A85" s="135" t="s">
        <v>21</v>
      </c>
      <c r="B85" s="136">
        <f t="shared" si="2"/>
        <v>80</v>
      </c>
      <c r="C85" s="137">
        <v>80000</v>
      </c>
      <c r="D85" s="138">
        <v>1</v>
      </c>
      <c r="E85" s="135" t="s">
        <v>48</v>
      </c>
    </row>
    <row r="86" spans="1:5" s="99" customFormat="1" ht="15" customHeight="1">
      <c r="A86" s="104" t="s">
        <v>219</v>
      </c>
      <c r="B86" s="105">
        <f>SUM(B87:B90)</f>
        <v>360</v>
      </c>
      <c r="C86" s="163"/>
      <c r="D86" s="164"/>
      <c r="E86" s="104"/>
    </row>
    <row r="87" spans="1:5" s="99" customFormat="1" ht="13.5" customHeight="1">
      <c r="A87" s="115" t="s">
        <v>20</v>
      </c>
      <c r="B87" s="119">
        <f>ROUNDUP(C87*D87/1000,0)</f>
        <v>80</v>
      </c>
      <c r="C87" s="120">
        <v>40000</v>
      </c>
      <c r="D87" s="118">
        <v>2</v>
      </c>
      <c r="E87" s="115" t="s">
        <v>220</v>
      </c>
    </row>
    <row r="88" spans="1:5" s="99" customFormat="1" ht="13.5" customHeight="1">
      <c r="A88" s="115" t="s">
        <v>94</v>
      </c>
      <c r="B88" s="119">
        <f>ROUNDUP(C88*D88/1000,0)</f>
        <v>30</v>
      </c>
      <c r="C88" s="120">
        <v>15000</v>
      </c>
      <c r="D88" s="118">
        <v>2</v>
      </c>
      <c r="E88" s="115"/>
    </row>
    <row r="89" spans="1:5" s="99" customFormat="1" ht="13.5" customHeight="1">
      <c r="A89" s="98" t="s">
        <v>93</v>
      </c>
      <c r="B89" s="110">
        <f>ROUNDUP(C89*D89/1000,0)</f>
        <v>70</v>
      </c>
      <c r="C89" s="111">
        <v>350</v>
      </c>
      <c r="D89" s="112">
        <v>200</v>
      </c>
      <c r="E89" s="98" t="s">
        <v>95</v>
      </c>
    </row>
    <row r="90" spans="1:5" s="99" customFormat="1" ht="13.5">
      <c r="A90" s="135" t="s">
        <v>27</v>
      </c>
      <c r="B90" s="136">
        <f t="shared" si="2"/>
        <v>180</v>
      </c>
      <c r="C90" s="137">
        <v>180000</v>
      </c>
      <c r="D90" s="138">
        <v>1</v>
      </c>
      <c r="E90" s="135" t="s">
        <v>96</v>
      </c>
    </row>
    <row r="91" spans="1:5" s="99" customFormat="1" ht="15" customHeight="1">
      <c r="A91" s="132" t="s">
        <v>22</v>
      </c>
      <c r="B91" s="133">
        <f>B92+B99+B106</f>
        <v>7854</v>
      </c>
      <c r="C91" s="167"/>
      <c r="D91" s="168"/>
      <c r="E91" s="132"/>
    </row>
    <row r="92" spans="1:5" s="99" customFormat="1" ht="15" customHeight="1">
      <c r="A92" s="104" t="s">
        <v>97</v>
      </c>
      <c r="B92" s="105">
        <f>SUM(B93:B98)</f>
        <v>1778</v>
      </c>
      <c r="C92" s="163"/>
      <c r="D92" s="164"/>
      <c r="E92" s="104"/>
    </row>
    <row r="93" spans="1:5" s="99" customFormat="1" ht="13.5">
      <c r="A93" s="98" t="s">
        <v>18</v>
      </c>
      <c r="B93" s="110">
        <f aca="true" t="shared" si="3" ref="B93:B98">ROUNDUP(C93*D93/1000,0)</f>
        <v>1000</v>
      </c>
      <c r="C93" s="111">
        <v>100000</v>
      </c>
      <c r="D93" s="112">
        <v>10</v>
      </c>
      <c r="E93" s="98" t="s">
        <v>221</v>
      </c>
    </row>
    <row r="94" spans="1:5" s="99" customFormat="1" ht="13.5">
      <c r="A94" s="115" t="s">
        <v>35</v>
      </c>
      <c r="B94" s="119">
        <f t="shared" si="3"/>
        <v>176</v>
      </c>
      <c r="C94" s="120">
        <f>29260</f>
        <v>29260</v>
      </c>
      <c r="D94" s="118">
        <v>6</v>
      </c>
      <c r="E94" s="115" t="s">
        <v>163</v>
      </c>
    </row>
    <row r="95" spans="1:5" s="99" customFormat="1" ht="13.5">
      <c r="A95" s="115" t="s">
        <v>20</v>
      </c>
      <c r="B95" s="119">
        <f t="shared" si="3"/>
        <v>130</v>
      </c>
      <c r="C95" s="111">
        <v>13000</v>
      </c>
      <c r="D95" s="112">
        <v>10</v>
      </c>
      <c r="E95" s="98" t="s">
        <v>222</v>
      </c>
    </row>
    <row r="96" spans="1:5" s="99" customFormat="1" ht="13.5">
      <c r="A96" s="115" t="s">
        <v>98</v>
      </c>
      <c r="B96" s="119">
        <f t="shared" si="3"/>
        <v>272</v>
      </c>
      <c r="C96" s="120">
        <v>6800</v>
      </c>
      <c r="D96" s="118">
        <v>40</v>
      </c>
      <c r="E96" s="115" t="s">
        <v>180</v>
      </c>
    </row>
    <row r="97" spans="1:5" s="99" customFormat="1" ht="13.5">
      <c r="A97" s="126" t="s">
        <v>90</v>
      </c>
      <c r="B97" s="119">
        <f t="shared" si="3"/>
        <v>20</v>
      </c>
      <c r="C97" s="128">
        <v>5000</v>
      </c>
      <c r="D97" s="129">
        <v>4</v>
      </c>
      <c r="E97" s="126" t="s">
        <v>100</v>
      </c>
    </row>
    <row r="98" spans="1:5" s="99" customFormat="1" ht="13.5">
      <c r="A98" s="135" t="s">
        <v>27</v>
      </c>
      <c r="B98" s="136">
        <f t="shared" si="3"/>
        <v>180</v>
      </c>
      <c r="C98" s="137">
        <v>180000</v>
      </c>
      <c r="D98" s="138">
        <v>1</v>
      </c>
      <c r="E98" s="135" t="s">
        <v>96</v>
      </c>
    </row>
    <row r="99" spans="1:5" s="99" customFormat="1" ht="15" customHeight="1">
      <c r="A99" s="104" t="s">
        <v>287</v>
      </c>
      <c r="B99" s="105">
        <f>SUM(B100:B105)</f>
        <v>2916</v>
      </c>
      <c r="C99" s="163"/>
      <c r="D99" s="164"/>
      <c r="E99" s="104"/>
    </row>
    <row r="100" spans="1:5" s="99" customFormat="1" ht="13.5">
      <c r="A100" s="98" t="s">
        <v>18</v>
      </c>
      <c r="B100" s="110">
        <f aca="true" t="shared" si="4" ref="B100:B105">ROUNDUP(C100*D100/1000,0)</f>
        <v>1800</v>
      </c>
      <c r="C100" s="111">
        <v>100000</v>
      </c>
      <c r="D100" s="112">
        <v>18</v>
      </c>
      <c r="E100" s="98" t="s">
        <v>175</v>
      </c>
    </row>
    <row r="101" spans="1:5" s="99" customFormat="1" ht="13.5">
      <c r="A101" s="115" t="s">
        <v>35</v>
      </c>
      <c r="B101" s="119">
        <f t="shared" si="4"/>
        <v>264</v>
      </c>
      <c r="C101" s="120">
        <f>29260</f>
        <v>29260</v>
      </c>
      <c r="D101" s="118">
        <v>9</v>
      </c>
      <c r="E101" s="115" t="s">
        <v>176</v>
      </c>
    </row>
    <row r="102" spans="1:5" s="99" customFormat="1" ht="13.5">
      <c r="A102" s="115" t="s">
        <v>20</v>
      </c>
      <c r="B102" s="119">
        <f t="shared" si="4"/>
        <v>234</v>
      </c>
      <c r="C102" s="111">
        <v>13000</v>
      </c>
      <c r="D102" s="112">
        <v>18</v>
      </c>
      <c r="E102" s="98" t="s">
        <v>181</v>
      </c>
    </row>
    <row r="103" spans="1:5" s="99" customFormat="1" ht="13.5">
      <c r="A103" s="115" t="s">
        <v>98</v>
      </c>
      <c r="B103" s="119">
        <f t="shared" si="4"/>
        <v>408</v>
      </c>
      <c r="C103" s="120">
        <v>6800</v>
      </c>
      <c r="D103" s="118">
        <v>60</v>
      </c>
      <c r="E103" s="115" t="s">
        <v>182</v>
      </c>
    </row>
    <row r="104" spans="1:5" s="99" customFormat="1" ht="13.5">
      <c r="A104" s="126" t="s">
        <v>90</v>
      </c>
      <c r="B104" s="119">
        <f t="shared" si="4"/>
        <v>30</v>
      </c>
      <c r="C104" s="128">
        <v>5000</v>
      </c>
      <c r="D104" s="129">
        <v>6</v>
      </c>
      <c r="E104" s="126" t="s">
        <v>172</v>
      </c>
    </row>
    <row r="105" spans="1:5" s="99" customFormat="1" ht="13.5">
      <c r="A105" s="135" t="s">
        <v>27</v>
      </c>
      <c r="B105" s="136">
        <f t="shared" si="4"/>
        <v>180</v>
      </c>
      <c r="C105" s="137">
        <v>180000</v>
      </c>
      <c r="D105" s="138">
        <v>1</v>
      </c>
      <c r="E105" s="135" t="s">
        <v>96</v>
      </c>
    </row>
    <row r="106" spans="1:5" s="99" customFormat="1" ht="15" customHeight="1">
      <c r="A106" s="104" t="s">
        <v>101</v>
      </c>
      <c r="B106" s="105">
        <f>SUM(B107:B115)</f>
        <v>3160</v>
      </c>
      <c r="C106" s="163"/>
      <c r="D106" s="164"/>
      <c r="E106" s="104"/>
    </row>
    <row r="107" spans="1:5" s="99" customFormat="1" ht="13.5">
      <c r="A107" s="98" t="s">
        <v>18</v>
      </c>
      <c r="B107" s="110">
        <f aca="true" t="shared" si="5" ref="B107:B112">ROUNDUP(C107*D107/1000,0)</f>
        <v>1200</v>
      </c>
      <c r="C107" s="111">
        <v>50000</v>
      </c>
      <c r="D107" s="112">
        <v>24</v>
      </c>
      <c r="E107" s="98" t="s">
        <v>223</v>
      </c>
    </row>
    <row r="108" spans="1:5" s="99" customFormat="1" ht="13.5">
      <c r="A108" s="115" t="s">
        <v>35</v>
      </c>
      <c r="B108" s="119">
        <f t="shared" si="5"/>
        <v>703</v>
      </c>
      <c r="C108" s="120">
        <f>29260</f>
        <v>29260</v>
      </c>
      <c r="D108" s="118">
        <v>24</v>
      </c>
      <c r="E108" s="115" t="s">
        <v>164</v>
      </c>
    </row>
    <row r="109" spans="1:5" s="99" customFormat="1" ht="13.5">
      <c r="A109" s="115" t="s">
        <v>20</v>
      </c>
      <c r="B109" s="119">
        <f t="shared" si="5"/>
        <v>312</v>
      </c>
      <c r="C109" s="111">
        <v>13000</v>
      </c>
      <c r="D109" s="112">
        <v>24</v>
      </c>
      <c r="E109" s="98" t="s">
        <v>289</v>
      </c>
    </row>
    <row r="110" spans="1:5" s="99" customFormat="1" ht="13.5">
      <c r="A110" s="115" t="s">
        <v>104</v>
      </c>
      <c r="B110" s="119">
        <f t="shared" si="5"/>
        <v>408</v>
      </c>
      <c r="C110" s="120">
        <v>6800</v>
      </c>
      <c r="D110" s="118">
        <v>60</v>
      </c>
      <c r="E110" s="115" t="s">
        <v>182</v>
      </c>
    </row>
    <row r="111" spans="1:5" s="99" customFormat="1" ht="13.5">
      <c r="A111" s="126" t="s">
        <v>105</v>
      </c>
      <c r="B111" s="119">
        <f t="shared" si="5"/>
        <v>30</v>
      </c>
      <c r="C111" s="128">
        <v>5000</v>
      </c>
      <c r="D111" s="129">
        <v>6</v>
      </c>
      <c r="E111" s="126" t="s">
        <v>172</v>
      </c>
    </row>
    <row r="112" spans="1:5" s="99" customFormat="1" ht="13.5">
      <c r="A112" s="115" t="s">
        <v>106</v>
      </c>
      <c r="B112" s="119">
        <f t="shared" si="5"/>
        <v>189</v>
      </c>
      <c r="C112" s="120">
        <v>3150</v>
      </c>
      <c r="D112" s="118">
        <v>60</v>
      </c>
      <c r="E112" s="115" t="s">
        <v>290</v>
      </c>
    </row>
    <row r="113" spans="1:5" s="99" customFormat="1" ht="13.5">
      <c r="A113" s="115" t="s">
        <v>102</v>
      </c>
      <c r="B113" s="119">
        <f>ROUNDUP(C113*D113/1000,0)</f>
        <v>78</v>
      </c>
      <c r="C113" s="120">
        <v>26000</v>
      </c>
      <c r="D113" s="118">
        <v>3</v>
      </c>
      <c r="E113" s="115" t="s">
        <v>173</v>
      </c>
    </row>
    <row r="114" spans="1:5" s="99" customFormat="1" ht="13.5">
      <c r="A114" s="126" t="s">
        <v>103</v>
      </c>
      <c r="B114" s="127">
        <f>ROUNDUP(C114*D114/1000,0)</f>
        <v>60</v>
      </c>
      <c r="C114" s="128">
        <v>20000</v>
      </c>
      <c r="D114" s="129">
        <v>3</v>
      </c>
      <c r="E114" s="126" t="s">
        <v>174</v>
      </c>
    </row>
    <row r="115" spans="1:5" s="99" customFormat="1" ht="13.5">
      <c r="A115" s="135" t="s">
        <v>27</v>
      </c>
      <c r="B115" s="136">
        <f>ROUNDUP(C115*D115/1000,0)</f>
        <v>180</v>
      </c>
      <c r="C115" s="137">
        <v>180000</v>
      </c>
      <c r="D115" s="138">
        <v>1</v>
      </c>
      <c r="E115" s="135" t="s">
        <v>29</v>
      </c>
    </row>
    <row r="116" spans="1:5" s="99" customFormat="1" ht="15" customHeight="1">
      <c r="A116" s="132" t="s">
        <v>23</v>
      </c>
      <c r="B116" s="133">
        <f>B117+B121</f>
        <v>1043</v>
      </c>
      <c r="C116" s="169">
        <f>B116/$B$91</f>
        <v>0.13279857397504458</v>
      </c>
      <c r="D116" s="170"/>
      <c r="E116" s="14" t="s">
        <v>32</v>
      </c>
    </row>
    <row r="117" spans="1:5" s="99" customFormat="1" ht="15" customHeight="1">
      <c r="A117" s="104" t="s">
        <v>107</v>
      </c>
      <c r="B117" s="105">
        <f>SUM(B118:B120)</f>
        <v>398</v>
      </c>
      <c r="C117" s="163"/>
      <c r="D117" s="164"/>
      <c r="E117" s="104"/>
    </row>
    <row r="118" spans="1:5" s="99" customFormat="1" ht="13.5">
      <c r="A118" s="106" t="s">
        <v>25</v>
      </c>
      <c r="B118" s="121">
        <f>ROUNDUP(C118*D118/1000,0)</f>
        <v>320</v>
      </c>
      <c r="C118" s="108">
        <v>320000</v>
      </c>
      <c r="D118" s="109">
        <v>1</v>
      </c>
      <c r="E118" s="106"/>
    </row>
    <row r="119" spans="1:5" s="99" customFormat="1" ht="13.5">
      <c r="A119" s="126" t="s">
        <v>49</v>
      </c>
      <c r="B119" s="127">
        <f>ROUNDUP(C119*D119/1000,0)</f>
        <v>7</v>
      </c>
      <c r="C119" s="128">
        <v>7000</v>
      </c>
      <c r="D119" s="129">
        <v>1</v>
      </c>
      <c r="E119" s="126"/>
    </row>
    <row r="120" spans="1:5" s="99" customFormat="1" ht="13.5">
      <c r="A120" s="126" t="s">
        <v>50</v>
      </c>
      <c r="B120" s="127">
        <f>ROUNDUP(C120*D120/1000,0)</f>
        <v>71</v>
      </c>
      <c r="C120" s="128">
        <v>7800</v>
      </c>
      <c r="D120" s="129">
        <v>9</v>
      </c>
      <c r="E120" s="126"/>
    </row>
    <row r="121" spans="1:5" s="99" customFormat="1" ht="15" customHeight="1">
      <c r="A121" s="104" t="s">
        <v>108</v>
      </c>
      <c r="B121" s="105">
        <f>SUM(B122:B125)</f>
        <v>645</v>
      </c>
      <c r="C121" s="163"/>
      <c r="D121" s="164"/>
      <c r="E121" s="104"/>
    </row>
    <row r="122" spans="1:5" s="99" customFormat="1" ht="13.5">
      <c r="A122" s="115" t="s">
        <v>20</v>
      </c>
      <c r="B122" s="119">
        <f>ROUNDUP(C122*D122/1000,0)</f>
        <v>400</v>
      </c>
      <c r="C122" s="120">
        <v>80000</v>
      </c>
      <c r="D122" s="118">
        <v>5</v>
      </c>
      <c r="E122" s="115" t="s">
        <v>234</v>
      </c>
    </row>
    <row r="123" spans="1:5" s="99" customFormat="1" ht="13.5">
      <c r="A123" s="98" t="s">
        <v>226</v>
      </c>
      <c r="B123" s="110">
        <f>ROUNDUP(C123*D123/1000,0)</f>
        <v>15</v>
      </c>
      <c r="C123" s="111">
        <v>15000</v>
      </c>
      <c r="D123" s="112">
        <v>1</v>
      </c>
      <c r="E123" s="98"/>
    </row>
    <row r="124" spans="1:5" s="99" customFormat="1" ht="13.5">
      <c r="A124" s="98" t="s">
        <v>155</v>
      </c>
      <c r="B124" s="110">
        <f>ROUNDUP(C124*D124/1000,0)</f>
        <v>50</v>
      </c>
      <c r="C124" s="111">
        <v>50</v>
      </c>
      <c r="D124" s="112">
        <v>1000</v>
      </c>
      <c r="E124" s="98" t="s">
        <v>156</v>
      </c>
    </row>
    <row r="125" spans="1:5" s="99" customFormat="1" ht="13.5">
      <c r="A125" s="139" t="s">
        <v>27</v>
      </c>
      <c r="B125" s="140">
        <f>ROUNDUP(C125*D125/1000,0)</f>
        <v>180</v>
      </c>
      <c r="C125" s="141">
        <v>180000</v>
      </c>
      <c r="D125" s="138">
        <v>1</v>
      </c>
      <c r="E125" s="139" t="s">
        <v>96</v>
      </c>
    </row>
    <row r="126" spans="1:5" s="99" customFormat="1" ht="15" customHeight="1">
      <c r="A126" s="142" t="s">
        <v>153</v>
      </c>
      <c r="B126" s="143">
        <f>B127</f>
        <v>13917</v>
      </c>
      <c r="C126" s="177">
        <f>B128/B127</f>
        <v>0.3806854925630524</v>
      </c>
      <c r="D126" s="178"/>
      <c r="E126" s="65" t="s">
        <v>149</v>
      </c>
    </row>
    <row r="127" spans="1:5" s="99" customFormat="1" ht="15" customHeight="1">
      <c r="A127" s="132" t="s">
        <v>109</v>
      </c>
      <c r="B127" s="133">
        <f>B128+B151</f>
        <v>13917</v>
      </c>
      <c r="C127" s="169"/>
      <c r="D127" s="170"/>
      <c r="E127" s="14"/>
    </row>
    <row r="128" spans="1:5" s="99" customFormat="1" ht="15" customHeight="1">
      <c r="A128" s="104" t="s">
        <v>111</v>
      </c>
      <c r="B128" s="105">
        <f>SUM(B129:B150)</f>
        <v>5298</v>
      </c>
      <c r="C128" s="163"/>
      <c r="D128" s="164"/>
      <c r="E128" s="104"/>
    </row>
    <row r="129" spans="1:5" s="99" customFormat="1" ht="13.5">
      <c r="A129" s="106" t="s">
        <v>118</v>
      </c>
      <c r="B129" s="107">
        <f>ROUNDUP(C129*D129/1000,0)</f>
        <v>1000</v>
      </c>
      <c r="C129" s="108">
        <v>250000</v>
      </c>
      <c r="D129" s="109">
        <v>4</v>
      </c>
      <c r="E129" s="98" t="s">
        <v>224</v>
      </c>
    </row>
    <row r="130" spans="1:5" s="99" customFormat="1" ht="13.5">
      <c r="A130" s="98" t="s">
        <v>110</v>
      </c>
      <c r="B130" s="110">
        <f>ROUNDUP(C130*D130/1000,0)</f>
        <v>143</v>
      </c>
      <c r="C130" s="111">
        <f>C129/22/8*1.25</f>
        <v>1775.568181818182</v>
      </c>
      <c r="D130" s="112">
        <v>80</v>
      </c>
      <c r="E130" s="98" t="s">
        <v>375</v>
      </c>
    </row>
    <row r="131" spans="1:5" s="99" customFormat="1" ht="13.5">
      <c r="A131" s="98" t="s">
        <v>112</v>
      </c>
      <c r="B131" s="110">
        <f>ROUNDUP(C131*D131/1000,0)</f>
        <v>7</v>
      </c>
      <c r="C131" s="111">
        <v>6300</v>
      </c>
      <c r="D131" s="112">
        <v>1</v>
      </c>
      <c r="E131" s="98" t="s">
        <v>38</v>
      </c>
    </row>
    <row r="132" spans="1:5" s="99" customFormat="1" ht="13.5">
      <c r="A132" s="98" t="s">
        <v>113</v>
      </c>
      <c r="B132" s="113">
        <f aca="true" t="shared" si="6" ref="B132:B138">ROUNDUP(C132*D132/1000,0)</f>
        <v>50</v>
      </c>
      <c r="C132" s="111">
        <f>250000*4*0.05</f>
        <v>50000</v>
      </c>
      <c r="D132" s="112">
        <v>1</v>
      </c>
      <c r="E132" s="98" t="s">
        <v>376</v>
      </c>
    </row>
    <row r="133" spans="1:5" s="99" customFormat="1" ht="13.5">
      <c r="A133" s="98" t="s">
        <v>114</v>
      </c>
      <c r="B133" s="113">
        <f t="shared" si="6"/>
        <v>8</v>
      </c>
      <c r="C133" s="111">
        <f>250000*4*0.0079</f>
        <v>7900.000000000001</v>
      </c>
      <c r="D133" s="112">
        <v>1</v>
      </c>
      <c r="E133" s="98" t="s">
        <v>377</v>
      </c>
    </row>
    <row r="134" spans="1:5" s="99" customFormat="1" ht="13.5">
      <c r="A134" s="98" t="s">
        <v>255</v>
      </c>
      <c r="B134" s="113">
        <f t="shared" si="6"/>
        <v>2</v>
      </c>
      <c r="C134" s="111">
        <f>250000*4*0.002</f>
        <v>2000</v>
      </c>
      <c r="D134" s="112">
        <v>1</v>
      </c>
      <c r="E134" s="98" t="s">
        <v>378</v>
      </c>
    </row>
    <row r="135" spans="1:5" s="99" customFormat="1" ht="13.5">
      <c r="A135" s="98" t="s">
        <v>323</v>
      </c>
      <c r="B135" s="113">
        <f t="shared" si="6"/>
        <v>92</v>
      </c>
      <c r="C135" s="111">
        <f>250000*4*91.5/1000</f>
        <v>91500</v>
      </c>
      <c r="D135" s="112">
        <v>1</v>
      </c>
      <c r="E135" s="98" t="s">
        <v>379</v>
      </c>
    </row>
    <row r="136" spans="1:5" s="99" customFormat="1" ht="13.5">
      <c r="A136" s="98" t="s">
        <v>115</v>
      </c>
      <c r="B136" s="113">
        <f t="shared" si="6"/>
        <v>7</v>
      </c>
      <c r="C136" s="111">
        <f>250000*4*0.007</f>
        <v>7000</v>
      </c>
      <c r="D136" s="112">
        <v>1</v>
      </c>
      <c r="E136" s="98" t="s">
        <v>380</v>
      </c>
    </row>
    <row r="137" spans="1:5" s="99" customFormat="1" ht="13.5">
      <c r="A137" s="98" t="s">
        <v>116</v>
      </c>
      <c r="B137" s="113">
        <f t="shared" si="6"/>
        <v>4</v>
      </c>
      <c r="C137" s="111">
        <f>300000*4*0.003</f>
        <v>3600</v>
      </c>
      <c r="D137" s="112">
        <v>1</v>
      </c>
      <c r="E137" s="98" t="s">
        <v>381</v>
      </c>
    </row>
    <row r="138" spans="1:5" s="99" customFormat="1" ht="13.5">
      <c r="A138" s="126" t="s">
        <v>117</v>
      </c>
      <c r="B138" s="144">
        <f t="shared" si="6"/>
        <v>1</v>
      </c>
      <c r="C138" s="128">
        <f>250000*4*0.00002</f>
        <v>20</v>
      </c>
      <c r="D138" s="129">
        <v>1</v>
      </c>
      <c r="E138" s="126" t="s">
        <v>382</v>
      </c>
    </row>
    <row r="139" spans="1:5" s="99" customFormat="1" ht="13.5">
      <c r="A139" s="135" t="s">
        <v>339</v>
      </c>
      <c r="B139" s="145">
        <f>ROUNDUP(C139*D139/1000,0)</f>
        <v>40</v>
      </c>
      <c r="C139" s="146">
        <v>40000</v>
      </c>
      <c r="D139" s="138">
        <v>1</v>
      </c>
      <c r="E139" s="135" t="s">
        <v>345</v>
      </c>
    </row>
    <row r="140" spans="1:5" s="99" customFormat="1" ht="13.5">
      <c r="A140" s="98" t="s">
        <v>119</v>
      </c>
      <c r="B140" s="113">
        <f>ROUNDUP(C140*D140/1000,0)</f>
        <v>2880</v>
      </c>
      <c r="C140" s="114">
        <v>180000</v>
      </c>
      <c r="D140" s="112">
        <v>16</v>
      </c>
      <c r="E140" s="98" t="s">
        <v>348</v>
      </c>
    </row>
    <row r="141" spans="1:5" s="99" customFormat="1" ht="13.5">
      <c r="A141" s="98" t="s">
        <v>110</v>
      </c>
      <c r="B141" s="110">
        <f>ROUNDUP(C141*D141/1000,0)</f>
        <v>410</v>
      </c>
      <c r="C141" s="111">
        <f>C140/22/8*1.25</f>
        <v>1278.409090909091</v>
      </c>
      <c r="D141" s="112">
        <v>320</v>
      </c>
      <c r="E141" s="98" t="s">
        <v>383</v>
      </c>
    </row>
    <row r="142" spans="1:5" s="99" customFormat="1" ht="13.5">
      <c r="A142" s="98" t="s">
        <v>112</v>
      </c>
      <c r="B142" s="119">
        <f aca="true" t="shared" si="7" ref="B142:B149">ROUNDUP(C142*D142/1000,0)</f>
        <v>26</v>
      </c>
      <c r="C142" s="120">
        <v>6300</v>
      </c>
      <c r="D142" s="118">
        <v>4</v>
      </c>
      <c r="E142" s="115" t="s">
        <v>38</v>
      </c>
    </row>
    <row r="143" spans="1:5" s="99" customFormat="1" ht="13.5">
      <c r="A143" s="98" t="s">
        <v>113</v>
      </c>
      <c r="B143" s="113">
        <f t="shared" si="7"/>
        <v>144</v>
      </c>
      <c r="C143" s="111">
        <f>180000*4*0.05</f>
        <v>36000</v>
      </c>
      <c r="D143" s="112">
        <v>4</v>
      </c>
      <c r="E143" s="98" t="s">
        <v>384</v>
      </c>
    </row>
    <row r="144" spans="1:5" s="99" customFormat="1" ht="13.5">
      <c r="A144" s="98" t="s">
        <v>114</v>
      </c>
      <c r="B144" s="113">
        <f t="shared" si="7"/>
        <v>23</v>
      </c>
      <c r="C144" s="111">
        <f>180000*4*0.0079</f>
        <v>5688.000000000001</v>
      </c>
      <c r="D144" s="112">
        <v>4</v>
      </c>
      <c r="E144" s="98" t="s">
        <v>385</v>
      </c>
    </row>
    <row r="145" spans="1:5" s="99" customFormat="1" ht="13.5">
      <c r="A145" s="98" t="s">
        <v>255</v>
      </c>
      <c r="B145" s="113">
        <f t="shared" si="7"/>
        <v>6</v>
      </c>
      <c r="C145" s="111">
        <f>180000*4*0.002</f>
        <v>1440</v>
      </c>
      <c r="D145" s="112">
        <v>4</v>
      </c>
      <c r="E145" s="98" t="s">
        <v>386</v>
      </c>
    </row>
    <row r="146" spans="1:5" s="99" customFormat="1" ht="13.5">
      <c r="A146" s="98" t="s">
        <v>323</v>
      </c>
      <c r="B146" s="113">
        <f>ROUNDUP(C146*D146/1000,0)</f>
        <v>264</v>
      </c>
      <c r="C146" s="111">
        <f>180000*4*91.5/1000</f>
        <v>65880</v>
      </c>
      <c r="D146" s="112">
        <v>4</v>
      </c>
      <c r="E146" s="98" t="s">
        <v>387</v>
      </c>
    </row>
    <row r="147" spans="1:5" s="99" customFormat="1" ht="13.5">
      <c r="A147" s="98" t="s">
        <v>115</v>
      </c>
      <c r="B147" s="113">
        <f t="shared" si="7"/>
        <v>21</v>
      </c>
      <c r="C147" s="111">
        <f>180000*4*0.007</f>
        <v>5040</v>
      </c>
      <c r="D147" s="112">
        <v>4</v>
      </c>
      <c r="E147" s="98" t="s">
        <v>388</v>
      </c>
    </row>
    <row r="148" spans="1:5" s="99" customFormat="1" ht="13.5">
      <c r="A148" s="98" t="s">
        <v>116</v>
      </c>
      <c r="B148" s="113">
        <f t="shared" si="7"/>
        <v>9</v>
      </c>
      <c r="C148" s="111">
        <f>180000*4*0.003</f>
        <v>2160</v>
      </c>
      <c r="D148" s="112">
        <v>4</v>
      </c>
      <c r="E148" s="98" t="s">
        <v>389</v>
      </c>
    </row>
    <row r="149" spans="1:5" s="99" customFormat="1" ht="13.5">
      <c r="A149" s="98" t="s">
        <v>117</v>
      </c>
      <c r="B149" s="116">
        <f t="shared" si="7"/>
        <v>1</v>
      </c>
      <c r="C149" s="120">
        <f>180000*4*0.00002</f>
        <v>14.4</v>
      </c>
      <c r="D149" s="118">
        <v>4</v>
      </c>
      <c r="E149" s="115" t="s">
        <v>390</v>
      </c>
    </row>
    <row r="150" spans="1:5" s="99" customFormat="1" ht="13.5">
      <c r="A150" s="135" t="s">
        <v>339</v>
      </c>
      <c r="B150" s="145">
        <f>ROUNDUP(C150*D150/1000,0)</f>
        <v>160</v>
      </c>
      <c r="C150" s="146">
        <v>40000</v>
      </c>
      <c r="D150" s="138">
        <v>4</v>
      </c>
      <c r="E150" s="135" t="s">
        <v>346</v>
      </c>
    </row>
    <row r="151" spans="1:5" s="99" customFormat="1" ht="15" customHeight="1">
      <c r="A151" s="104" t="s">
        <v>146</v>
      </c>
      <c r="B151" s="105">
        <f>B152+B164</f>
        <v>8619</v>
      </c>
      <c r="C151" s="163"/>
      <c r="D151" s="164"/>
      <c r="E151" s="104"/>
    </row>
    <row r="152" spans="1:5" s="99" customFormat="1" ht="13.5">
      <c r="A152" s="115" t="s">
        <v>120</v>
      </c>
      <c r="B152" s="119">
        <f>SUM(B153:B163)</f>
        <v>2065</v>
      </c>
      <c r="C152" s="120"/>
      <c r="D152" s="118"/>
      <c r="E152" s="115"/>
    </row>
    <row r="153" spans="1:5" s="99" customFormat="1" ht="13.5">
      <c r="A153" s="115" t="s">
        <v>121</v>
      </c>
      <c r="B153" s="119">
        <f aca="true" t="shared" si="8" ref="B153:B163">ROUNDUP(C153*D153/1000,0)</f>
        <v>585</v>
      </c>
      <c r="C153" s="120">
        <v>65000</v>
      </c>
      <c r="D153" s="118">
        <v>9</v>
      </c>
      <c r="E153" s="115" t="s">
        <v>183</v>
      </c>
    </row>
    <row r="154" spans="1:5" s="99" customFormat="1" ht="13.5">
      <c r="A154" s="115" t="s">
        <v>126</v>
      </c>
      <c r="B154" s="119">
        <f t="shared" si="8"/>
        <v>216</v>
      </c>
      <c r="C154" s="120">
        <v>24000</v>
      </c>
      <c r="D154" s="118">
        <v>9</v>
      </c>
      <c r="E154" s="115" t="s">
        <v>184</v>
      </c>
    </row>
    <row r="155" spans="1:5" s="99" customFormat="1" ht="13.5">
      <c r="A155" s="115" t="s">
        <v>122</v>
      </c>
      <c r="B155" s="119">
        <f t="shared" si="8"/>
        <v>270</v>
      </c>
      <c r="C155" s="120">
        <v>30000</v>
      </c>
      <c r="D155" s="118">
        <v>9</v>
      </c>
      <c r="E155" s="115" t="s">
        <v>273</v>
      </c>
    </row>
    <row r="156" spans="1:5" s="99" customFormat="1" ht="13.5">
      <c r="A156" s="115" t="s">
        <v>30</v>
      </c>
      <c r="B156" s="119">
        <f t="shared" si="8"/>
        <v>216</v>
      </c>
      <c r="C156" s="120">
        <v>24000</v>
      </c>
      <c r="D156" s="118">
        <v>9</v>
      </c>
      <c r="E156" s="115" t="s">
        <v>292</v>
      </c>
    </row>
    <row r="157" spans="1:5" s="99" customFormat="1" ht="13.5">
      <c r="A157" s="115" t="s">
        <v>74</v>
      </c>
      <c r="B157" s="119">
        <f t="shared" si="8"/>
        <v>234</v>
      </c>
      <c r="C157" s="120">
        <f>26000*1</f>
        <v>26000</v>
      </c>
      <c r="D157" s="118">
        <v>9</v>
      </c>
      <c r="E157" s="115" t="s">
        <v>75</v>
      </c>
    </row>
    <row r="158" spans="1:5" s="99" customFormat="1" ht="13.5">
      <c r="A158" s="115" t="s">
        <v>76</v>
      </c>
      <c r="B158" s="119">
        <f t="shared" si="8"/>
        <v>92</v>
      </c>
      <c r="C158" s="120">
        <f>10200*1</f>
        <v>10200</v>
      </c>
      <c r="D158" s="118">
        <v>9</v>
      </c>
      <c r="E158" s="115" t="s">
        <v>77</v>
      </c>
    </row>
    <row r="159" spans="1:5" s="99" customFormat="1" ht="13.5">
      <c r="A159" s="115" t="s">
        <v>124</v>
      </c>
      <c r="B159" s="119">
        <f t="shared" si="8"/>
        <v>20</v>
      </c>
      <c r="C159" s="120">
        <v>2200</v>
      </c>
      <c r="D159" s="118">
        <v>9</v>
      </c>
      <c r="E159" s="115" t="s">
        <v>125</v>
      </c>
    </row>
    <row r="160" spans="1:5" s="99" customFormat="1" ht="13.5">
      <c r="A160" s="115" t="s">
        <v>12</v>
      </c>
      <c r="B160" s="119">
        <f t="shared" si="8"/>
        <v>108</v>
      </c>
      <c r="C160" s="120">
        <v>12000</v>
      </c>
      <c r="D160" s="118">
        <v>9</v>
      </c>
      <c r="E160" s="115"/>
    </row>
    <row r="161" spans="1:5" s="99" customFormat="1" ht="13.5" customHeight="1">
      <c r="A161" s="115" t="s">
        <v>13</v>
      </c>
      <c r="B161" s="119">
        <f t="shared" si="8"/>
        <v>90</v>
      </c>
      <c r="C161" s="120">
        <v>10000</v>
      </c>
      <c r="D161" s="118">
        <v>9</v>
      </c>
      <c r="E161" s="115"/>
    </row>
    <row r="162" spans="1:5" s="99" customFormat="1" ht="13.5" customHeight="1">
      <c r="A162" s="115" t="s">
        <v>227</v>
      </c>
      <c r="B162" s="119">
        <f t="shared" si="8"/>
        <v>108</v>
      </c>
      <c r="C162" s="120">
        <v>12000</v>
      </c>
      <c r="D162" s="118">
        <v>9</v>
      </c>
      <c r="E162" s="115" t="s">
        <v>228</v>
      </c>
    </row>
    <row r="163" spans="1:5" s="99" customFormat="1" ht="13.5">
      <c r="A163" s="115" t="s">
        <v>79</v>
      </c>
      <c r="B163" s="119">
        <f t="shared" si="8"/>
        <v>126</v>
      </c>
      <c r="C163" s="120">
        <v>14000</v>
      </c>
      <c r="D163" s="118">
        <v>9</v>
      </c>
      <c r="E163" s="147" t="s">
        <v>293</v>
      </c>
    </row>
    <row r="164" spans="1:5" s="99" customFormat="1" ht="13.5">
      <c r="A164" s="98" t="s">
        <v>128</v>
      </c>
      <c r="B164" s="110">
        <f>SUM(B165:B179)</f>
        <v>6554</v>
      </c>
      <c r="C164" s="111"/>
      <c r="D164" s="112"/>
      <c r="E164" s="98"/>
    </row>
    <row r="165" spans="1:5" s="99" customFormat="1" ht="13.5">
      <c r="A165" s="98" t="s">
        <v>129</v>
      </c>
      <c r="B165" s="119">
        <f>ROUNDUP(C165*D165/1000,0)</f>
        <v>1350</v>
      </c>
      <c r="C165" s="120">
        <v>150000</v>
      </c>
      <c r="D165" s="118">
        <v>9</v>
      </c>
      <c r="E165" s="98" t="s">
        <v>185</v>
      </c>
    </row>
    <row r="166" spans="1:5" s="99" customFormat="1" ht="13.5">
      <c r="A166" s="98" t="s">
        <v>130</v>
      </c>
      <c r="B166" s="119">
        <f aca="true" t="shared" si="9" ref="B166:B178">ROUNDUP(C166*D166/1000,0)</f>
        <v>234</v>
      </c>
      <c r="C166" s="120">
        <v>26000</v>
      </c>
      <c r="D166" s="118">
        <v>9</v>
      </c>
      <c r="E166" s="98" t="s">
        <v>186</v>
      </c>
    </row>
    <row r="167" spans="1:5" s="99" customFormat="1" ht="13.5">
      <c r="A167" s="98" t="s">
        <v>133</v>
      </c>
      <c r="B167" s="119">
        <f t="shared" si="9"/>
        <v>810</v>
      </c>
      <c r="C167" s="120">
        <v>90000</v>
      </c>
      <c r="D167" s="118">
        <v>9</v>
      </c>
      <c r="E167" s="98" t="s">
        <v>158</v>
      </c>
    </row>
    <row r="168" spans="1:5" s="99" customFormat="1" ht="13.5">
      <c r="A168" s="98" t="s">
        <v>132</v>
      </c>
      <c r="B168" s="119">
        <f t="shared" si="9"/>
        <v>630</v>
      </c>
      <c r="C168" s="120">
        <v>70000</v>
      </c>
      <c r="D168" s="118">
        <v>9</v>
      </c>
      <c r="E168" s="98" t="s">
        <v>187</v>
      </c>
    </row>
    <row r="169" spans="1:5" s="99" customFormat="1" ht="13.5">
      <c r="A169" s="98" t="s">
        <v>138</v>
      </c>
      <c r="B169" s="110">
        <f t="shared" si="9"/>
        <v>80</v>
      </c>
      <c r="C169" s="111">
        <v>20000</v>
      </c>
      <c r="D169" s="112">
        <v>4</v>
      </c>
      <c r="E169" s="98" t="s">
        <v>188</v>
      </c>
    </row>
    <row r="170" spans="1:5" s="99" customFormat="1" ht="13.5">
      <c r="A170" s="98" t="s">
        <v>134</v>
      </c>
      <c r="B170" s="110">
        <f t="shared" si="9"/>
        <v>240</v>
      </c>
      <c r="C170" s="111">
        <v>60000</v>
      </c>
      <c r="D170" s="112">
        <v>4</v>
      </c>
      <c r="E170" s="98" t="s">
        <v>139</v>
      </c>
    </row>
    <row r="171" spans="1:5" s="99" customFormat="1" ht="13.5">
      <c r="A171" s="98" t="s">
        <v>141</v>
      </c>
      <c r="B171" s="110">
        <f>ROUNDUP(C171*D171/1000,0)</f>
        <v>50</v>
      </c>
      <c r="C171" s="111">
        <v>50000</v>
      </c>
      <c r="D171" s="112">
        <v>1</v>
      </c>
      <c r="E171" s="98"/>
    </row>
    <row r="172" spans="1:5" s="99" customFormat="1" ht="13.5">
      <c r="A172" s="98" t="s">
        <v>140</v>
      </c>
      <c r="B172" s="110">
        <f t="shared" si="9"/>
        <v>100</v>
      </c>
      <c r="C172" s="111">
        <v>100000</v>
      </c>
      <c r="D172" s="112">
        <v>1</v>
      </c>
      <c r="E172" s="98" t="s">
        <v>142</v>
      </c>
    </row>
    <row r="173" spans="1:5" s="99" customFormat="1" ht="13.5">
      <c r="A173" s="98" t="s">
        <v>135</v>
      </c>
      <c r="B173" s="110">
        <f t="shared" si="9"/>
        <v>100</v>
      </c>
      <c r="C173" s="111">
        <v>100000</v>
      </c>
      <c r="D173" s="112">
        <v>1</v>
      </c>
      <c r="E173" s="98" t="s">
        <v>143</v>
      </c>
    </row>
    <row r="174" spans="1:5" s="99" customFormat="1" ht="13.5">
      <c r="A174" s="98" t="s">
        <v>137</v>
      </c>
      <c r="B174" s="110">
        <f t="shared" si="9"/>
        <v>20</v>
      </c>
      <c r="C174" s="111">
        <v>20000</v>
      </c>
      <c r="D174" s="112">
        <v>1</v>
      </c>
      <c r="E174" s="98" t="s">
        <v>144</v>
      </c>
    </row>
    <row r="175" spans="1:5" s="99" customFormat="1" ht="13.5">
      <c r="A175" s="98" t="s">
        <v>145</v>
      </c>
      <c r="B175" s="110">
        <f t="shared" si="9"/>
        <v>1800</v>
      </c>
      <c r="C175" s="111">
        <v>200000</v>
      </c>
      <c r="D175" s="112">
        <v>9</v>
      </c>
      <c r="E175" s="98" t="s">
        <v>189</v>
      </c>
    </row>
    <row r="176" spans="1:5" s="99" customFormat="1" ht="13.5">
      <c r="A176" s="98" t="s">
        <v>236</v>
      </c>
      <c r="B176" s="110">
        <f t="shared" si="9"/>
        <v>480</v>
      </c>
      <c r="C176" s="111">
        <v>120000</v>
      </c>
      <c r="D176" s="112">
        <v>4</v>
      </c>
      <c r="E176" s="115" t="s">
        <v>148</v>
      </c>
    </row>
    <row r="177" spans="1:5" s="99" customFormat="1" ht="13.5">
      <c r="A177" s="98" t="s">
        <v>237</v>
      </c>
      <c r="B177" s="110">
        <f t="shared" si="9"/>
        <v>90</v>
      </c>
      <c r="C177" s="111">
        <v>30000</v>
      </c>
      <c r="D177" s="112">
        <v>3</v>
      </c>
      <c r="E177" s="115" t="s">
        <v>238</v>
      </c>
    </row>
    <row r="178" spans="1:5" s="99" customFormat="1" ht="13.5">
      <c r="A178" s="115" t="s">
        <v>235</v>
      </c>
      <c r="B178" s="119">
        <f t="shared" si="9"/>
        <v>480</v>
      </c>
      <c r="C178" s="120">
        <v>120000</v>
      </c>
      <c r="D178" s="118">
        <v>4</v>
      </c>
      <c r="E178" s="115" t="s">
        <v>148</v>
      </c>
    </row>
    <row r="179" spans="1:5" s="99" customFormat="1" ht="14.25" thickBot="1">
      <c r="A179" s="135" t="s">
        <v>136</v>
      </c>
      <c r="B179" s="136">
        <f>ROUNDUP(C179*D179/1000,0)</f>
        <v>90</v>
      </c>
      <c r="C179" s="137">
        <v>30000</v>
      </c>
      <c r="D179" s="138">
        <v>3</v>
      </c>
      <c r="E179" s="135" t="s">
        <v>190</v>
      </c>
    </row>
    <row r="180" spans="1:5" s="99" customFormat="1" ht="15" customHeight="1">
      <c r="A180" s="148" t="s">
        <v>154</v>
      </c>
      <c r="B180" s="149">
        <f>B4+B126</f>
        <v>32821</v>
      </c>
      <c r="C180" s="171"/>
      <c r="D180" s="172"/>
      <c r="E180" s="148"/>
    </row>
    <row r="181" spans="1:5" s="99" customFormat="1" ht="15" customHeight="1">
      <c r="A181" s="150" t="s">
        <v>31</v>
      </c>
      <c r="B181" s="151">
        <f>ROUNDDOWN(B180*0.08,0)</f>
        <v>2625</v>
      </c>
      <c r="C181" s="173"/>
      <c r="D181" s="174"/>
      <c r="E181" s="152"/>
    </row>
    <row r="182" spans="1:5" s="99" customFormat="1" ht="23.25" customHeight="1" thickBot="1">
      <c r="A182" s="10" t="s">
        <v>33</v>
      </c>
      <c r="B182" s="11">
        <f>B180+B181</f>
        <v>35446</v>
      </c>
      <c r="C182" s="175"/>
      <c r="D182" s="176"/>
      <c r="E182" s="15"/>
    </row>
  </sheetData>
  <sheetProtection/>
  <mergeCells count="26">
    <mergeCell ref="C182:D182"/>
    <mergeCell ref="C117:D117"/>
    <mergeCell ref="C121:D121"/>
    <mergeCell ref="C126:D126"/>
    <mergeCell ref="C127:D127"/>
    <mergeCell ref="C128:D128"/>
    <mergeCell ref="C151:D151"/>
    <mergeCell ref="C92:D92"/>
    <mergeCell ref="C99:D99"/>
    <mergeCell ref="C106:D106"/>
    <mergeCell ref="C116:D116"/>
    <mergeCell ref="C180:D180"/>
    <mergeCell ref="C181:D181"/>
    <mergeCell ref="C59:D59"/>
    <mergeCell ref="C60:D60"/>
    <mergeCell ref="C67:D67"/>
    <mergeCell ref="C76:D76"/>
    <mergeCell ref="C86:D86"/>
    <mergeCell ref="C91:D91"/>
    <mergeCell ref="C61:D61"/>
    <mergeCell ref="A1:E1"/>
    <mergeCell ref="C3:D3"/>
    <mergeCell ref="C4:D4"/>
    <mergeCell ref="C5:D5"/>
    <mergeCell ref="C6:D6"/>
    <mergeCell ref="C39:D39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&amp;R様式第2号&amp;10
&amp;A　&amp;P／&amp;N</oddHeader>
    <oddFooter>&amp;C&amp;10&amp;A　&amp;P／&amp;N</oddFooter>
  </headerFooter>
  <rowBreaks count="2" manualBreakCount="2">
    <brk id="66" max="255" man="1"/>
    <brk id="125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2"/>
  <sheetViews>
    <sheetView view="pageBreakPreview" zoomScaleSheetLayoutView="100" workbookViewId="0" topLeftCell="A1">
      <selection activeCell="A7" sqref="A7:IV181"/>
    </sheetView>
  </sheetViews>
  <sheetFormatPr defaultColWidth="9.140625" defaultRowHeight="15"/>
  <cols>
    <col min="1" max="1" width="41.421875" style="0" customWidth="1"/>
    <col min="2" max="2" width="10.57421875" style="5" customWidth="1"/>
    <col min="3" max="3" width="10.28125" style="5" bestFit="1" customWidth="1"/>
    <col min="4" max="4" width="6.140625" style="5" customWidth="1"/>
    <col min="5" max="5" width="42.57421875" style="16" customWidth="1"/>
  </cols>
  <sheetData>
    <row r="1" spans="1:5" ht="17.25">
      <c r="A1" s="154" t="s">
        <v>252</v>
      </c>
      <c r="B1" s="154"/>
      <c r="C1" s="154"/>
      <c r="D1" s="154"/>
      <c r="E1" s="154"/>
    </row>
    <row r="2" spans="1:5" ht="18" thickBot="1">
      <c r="A2" s="19" t="s">
        <v>63</v>
      </c>
      <c r="B2" s="18"/>
      <c r="C2" s="18"/>
      <c r="D2" s="18"/>
      <c r="E2" s="18"/>
    </row>
    <row r="3" spans="1:5" ht="27.75" thickBot="1">
      <c r="A3" s="2" t="s">
        <v>2</v>
      </c>
      <c r="B3" s="3" t="s">
        <v>24</v>
      </c>
      <c r="C3" s="155" t="s">
        <v>3</v>
      </c>
      <c r="D3" s="156"/>
      <c r="E3" s="2" t="s">
        <v>4</v>
      </c>
    </row>
    <row r="4" spans="1:5" ht="15" customHeight="1" thickBot="1">
      <c r="A4" s="62" t="s">
        <v>152</v>
      </c>
      <c r="B4" s="63">
        <f>B5+B59</f>
        <v>28968</v>
      </c>
      <c r="C4" s="157">
        <f>B4/B180</f>
        <v>0.5195308296567309</v>
      </c>
      <c r="D4" s="158"/>
      <c r="E4" s="64" t="s">
        <v>177</v>
      </c>
    </row>
    <row r="5" spans="1:5" ht="15" customHeight="1">
      <c r="A5" s="1" t="s">
        <v>5</v>
      </c>
      <c r="B5" s="4">
        <f>B6+B39</f>
        <v>12751</v>
      </c>
      <c r="C5" s="159">
        <f>B5/$B$180</f>
        <v>0.2286846730514007</v>
      </c>
      <c r="D5" s="160"/>
      <c r="E5" s="12" t="s">
        <v>150</v>
      </c>
    </row>
    <row r="6" spans="1:5" ht="15" customHeight="1" thickBot="1">
      <c r="A6" s="8" t="s">
        <v>0</v>
      </c>
      <c r="B6" s="9">
        <f>SUM(B7:B38)</f>
        <v>10322</v>
      </c>
      <c r="C6" s="161">
        <f>B6/$B$180</f>
        <v>0.18512141755443165</v>
      </c>
      <c r="D6" s="162"/>
      <c r="E6" s="13" t="s">
        <v>151</v>
      </c>
    </row>
    <row r="7" spans="1:5" s="99" customFormat="1" ht="13.5">
      <c r="A7" s="106" t="s">
        <v>46</v>
      </c>
      <c r="B7" s="107">
        <f>ROUNDUP(C7*D7/1000,0)</f>
        <v>3600</v>
      </c>
      <c r="C7" s="108">
        <v>300000</v>
      </c>
      <c r="D7" s="109">
        <v>12</v>
      </c>
      <c r="E7" s="98" t="s">
        <v>64</v>
      </c>
    </row>
    <row r="8" spans="1:5" s="99" customFormat="1" ht="13.5">
      <c r="A8" s="98" t="s">
        <v>51</v>
      </c>
      <c r="B8" s="110">
        <f aca="true" t="shared" si="0" ref="B8:B17">ROUNDUP(C8*D8/1000,0)</f>
        <v>384</v>
      </c>
      <c r="C8" s="111">
        <f>C7/22/8*1.25</f>
        <v>2130.681818181818</v>
      </c>
      <c r="D8" s="112">
        <v>180</v>
      </c>
      <c r="E8" s="98" t="s">
        <v>170</v>
      </c>
    </row>
    <row r="9" spans="1:5" s="99" customFormat="1" ht="13.5">
      <c r="A9" s="98" t="s">
        <v>37</v>
      </c>
      <c r="B9" s="110">
        <f t="shared" si="0"/>
        <v>10</v>
      </c>
      <c r="C9" s="111">
        <v>9200</v>
      </c>
      <c r="D9" s="112">
        <v>1</v>
      </c>
      <c r="E9" s="98" t="s">
        <v>38</v>
      </c>
    </row>
    <row r="10" spans="1:5" s="99" customFormat="1" ht="13.5">
      <c r="A10" s="98" t="s">
        <v>6</v>
      </c>
      <c r="B10" s="113">
        <f t="shared" si="0"/>
        <v>180</v>
      </c>
      <c r="C10" s="111">
        <f>300000*12*0.05</f>
        <v>180000</v>
      </c>
      <c r="D10" s="112">
        <v>1</v>
      </c>
      <c r="E10" s="98" t="s">
        <v>199</v>
      </c>
    </row>
    <row r="11" spans="1:5" s="99" customFormat="1" ht="13.5">
      <c r="A11" s="98" t="s">
        <v>7</v>
      </c>
      <c r="B11" s="113">
        <f t="shared" si="0"/>
        <v>29</v>
      </c>
      <c r="C11" s="111">
        <f>300000*12*0.0079</f>
        <v>28440.000000000004</v>
      </c>
      <c r="D11" s="112">
        <v>1</v>
      </c>
      <c r="E11" s="98" t="s">
        <v>257</v>
      </c>
    </row>
    <row r="12" spans="1:5" s="99" customFormat="1" ht="13.5">
      <c r="A12" s="98" t="s">
        <v>262</v>
      </c>
      <c r="B12" s="113">
        <f t="shared" si="0"/>
        <v>8</v>
      </c>
      <c r="C12" s="111">
        <f>300000*12*0.002</f>
        <v>7200</v>
      </c>
      <c r="D12" s="112">
        <v>1</v>
      </c>
      <c r="E12" s="98" t="s">
        <v>310</v>
      </c>
    </row>
    <row r="13" spans="1:5" s="99" customFormat="1" ht="13.5">
      <c r="A13" s="98" t="s">
        <v>311</v>
      </c>
      <c r="B13" s="113">
        <f t="shared" si="0"/>
        <v>330</v>
      </c>
      <c r="C13" s="111">
        <f>300000*12*91.5/1000</f>
        <v>329400</v>
      </c>
      <c r="D13" s="112">
        <v>1</v>
      </c>
      <c r="E13" s="98" t="s">
        <v>312</v>
      </c>
    </row>
    <row r="14" spans="1:5" s="99" customFormat="1" ht="13.5">
      <c r="A14" s="98" t="s">
        <v>8</v>
      </c>
      <c r="B14" s="113">
        <f t="shared" si="0"/>
        <v>26</v>
      </c>
      <c r="C14" s="111">
        <f>300000*12*0.007</f>
        <v>25200</v>
      </c>
      <c r="D14" s="112">
        <v>1</v>
      </c>
      <c r="E14" s="98" t="s">
        <v>313</v>
      </c>
    </row>
    <row r="15" spans="1:5" s="99" customFormat="1" ht="13.5">
      <c r="A15" s="98" t="s">
        <v>9</v>
      </c>
      <c r="B15" s="113">
        <f t="shared" si="0"/>
        <v>11</v>
      </c>
      <c r="C15" s="111">
        <f>300000*12*0.003</f>
        <v>10800</v>
      </c>
      <c r="D15" s="112">
        <v>1</v>
      </c>
      <c r="E15" s="98" t="s">
        <v>208</v>
      </c>
    </row>
    <row r="16" spans="1:5" s="99" customFormat="1" ht="13.5">
      <c r="A16" s="98" t="s">
        <v>10</v>
      </c>
      <c r="B16" s="113">
        <f t="shared" si="0"/>
        <v>1</v>
      </c>
      <c r="C16" s="111">
        <f>300000*12*0.00002</f>
        <v>72</v>
      </c>
      <c r="D16" s="112">
        <v>1</v>
      </c>
      <c r="E16" s="98" t="s">
        <v>314</v>
      </c>
    </row>
    <row r="17" spans="1:5" s="99" customFormat="1" ht="13.5">
      <c r="A17" s="98" t="s">
        <v>341</v>
      </c>
      <c r="B17" s="113">
        <f t="shared" si="0"/>
        <v>120</v>
      </c>
      <c r="C17" s="114">
        <v>120000</v>
      </c>
      <c r="D17" s="112">
        <v>1</v>
      </c>
      <c r="E17" s="98" t="s">
        <v>347</v>
      </c>
    </row>
    <row r="18" spans="1:5" s="99" customFormat="1" ht="13.5">
      <c r="A18" s="115" t="s">
        <v>65</v>
      </c>
      <c r="B18" s="116">
        <f aca="true" t="shared" si="1" ref="B18:B27">ROUNDUP(C18*D18/1000,0)</f>
        <v>2400</v>
      </c>
      <c r="C18" s="117">
        <v>200000</v>
      </c>
      <c r="D18" s="118">
        <v>12</v>
      </c>
      <c r="E18" s="115" t="s">
        <v>247</v>
      </c>
    </row>
    <row r="19" spans="1:5" s="99" customFormat="1" ht="13.5">
      <c r="A19" s="98" t="s">
        <v>51</v>
      </c>
      <c r="B19" s="110">
        <f>ROUNDUP(C19*D19/1000,0)</f>
        <v>341</v>
      </c>
      <c r="C19" s="111">
        <f>C18/22/8*1.25</f>
        <v>1420.4545454545453</v>
      </c>
      <c r="D19" s="112">
        <v>240</v>
      </c>
      <c r="E19" s="98" t="s">
        <v>248</v>
      </c>
    </row>
    <row r="20" spans="1:5" s="99" customFormat="1" ht="13.5">
      <c r="A20" s="115" t="s">
        <v>66</v>
      </c>
      <c r="B20" s="119">
        <f t="shared" si="1"/>
        <v>10</v>
      </c>
      <c r="C20" s="120">
        <v>9200</v>
      </c>
      <c r="D20" s="118">
        <v>1</v>
      </c>
      <c r="E20" s="115" t="s">
        <v>38</v>
      </c>
    </row>
    <row r="21" spans="1:5" s="99" customFormat="1" ht="13.5">
      <c r="A21" s="98" t="s">
        <v>67</v>
      </c>
      <c r="B21" s="113">
        <f t="shared" si="1"/>
        <v>120</v>
      </c>
      <c r="C21" s="111">
        <f>C18*12*0.05</f>
        <v>120000</v>
      </c>
      <c r="D21" s="112">
        <v>1</v>
      </c>
      <c r="E21" s="98" t="s">
        <v>200</v>
      </c>
    </row>
    <row r="22" spans="1:5" s="99" customFormat="1" ht="13.5">
      <c r="A22" s="98" t="s">
        <v>68</v>
      </c>
      <c r="B22" s="113">
        <f t="shared" si="1"/>
        <v>19</v>
      </c>
      <c r="C22" s="111">
        <f>C18*12*0.0079</f>
        <v>18960.000000000004</v>
      </c>
      <c r="D22" s="112">
        <v>1</v>
      </c>
      <c r="E22" s="98" t="s">
        <v>258</v>
      </c>
    </row>
    <row r="23" spans="1:5" s="99" customFormat="1" ht="13.5">
      <c r="A23" s="98" t="s">
        <v>263</v>
      </c>
      <c r="B23" s="113">
        <f t="shared" si="1"/>
        <v>4</v>
      </c>
      <c r="C23" s="111">
        <f>C18*12*0.0015</f>
        <v>3600</v>
      </c>
      <c r="D23" s="112">
        <v>1</v>
      </c>
      <c r="E23" s="98" t="s">
        <v>204</v>
      </c>
    </row>
    <row r="24" spans="1:5" s="99" customFormat="1" ht="13.5">
      <c r="A24" s="98" t="s">
        <v>318</v>
      </c>
      <c r="B24" s="113">
        <f t="shared" si="1"/>
        <v>220</v>
      </c>
      <c r="C24" s="111">
        <f>C18*12*91.5/1000</f>
        <v>219600</v>
      </c>
      <c r="D24" s="112">
        <v>1</v>
      </c>
      <c r="E24" s="98" t="s">
        <v>315</v>
      </c>
    </row>
    <row r="25" spans="1:5" s="99" customFormat="1" ht="13.5">
      <c r="A25" s="98" t="s">
        <v>69</v>
      </c>
      <c r="B25" s="113">
        <f t="shared" si="1"/>
        <v>17</v>
      </c>
      <c r="C25" s="111">
        <f>C18*12*0.007</f>
        <v>16800</v>
      </c>
      <c r="D25" s="112">
        <v>1</v>
      </c>
      <c r="E25" s="115" t="s">
        <v>316</v>
      </c>
    </row>
    <row r="26" spans="1:5" s="99" customFormat="1" ht="13.5">
      <c r="A26" s="98" t="s">
        <v>70</v>
      </c>
      <c r="B26" s="113">
        <f t="shared" si="1"/>
        <v>8</v>
      </c>
      <c r="C26" s="111">
        <f>C18*12*0.003</f>
        <v>7200</v>
      </c>
      <c r="D26" s="112">
        <v>1</v>
      </c>
      <c r="E26" s="98" t="s">
        <v>209</v>
      </c>
    </row>
    <row r="27" spans="1:5" s="99" customFormat="1" ht="13.5">
      <c r="A27" s="98" t="s">
        <v>71</v>
      </c>
      <c r="B27" s="113">
        <f t="shared" si="1"/>
        <v>1</v>
      </c>
      <c r="C27" s="111">
        <f>C18*12*0.00002</f>
        <v>48.00000000000001</v>
      </c>
      <c r="D27" s="112">
        <v>1</v>
      </c>
      <c r="E27" s="98" t="s">
        <v>317</v>
      </c>
    </row>
    <row r="28" spans="1:5" s="99" customFormat="1" ht="13.5">
      <c r="A28" s="98" t="s">
        <v>341</v>
      </c>
      <c r="B28" s="113">
        <f>ROUNDUP(C28*D28/1000,0)</f>
        <v>120</v>
      </c>
      <c r="C28" s="114">
        <v>120000</v>
      </c>
      <c r="D28" s="112">
        <v>1</v>
      </c>
      <c r="E28" s="98" t="s">
        <v>347</v>
      </c>
    </row>
    <row r="29" spans="1:5" s="99" customFormat="1" ht="13.5">
      <c r="A29" s="115" t="s">
        <v>45</v>
      </c>
      <c r="B29" s="116">
        <f>ROUNDUP(C29*D29/1000,0)</f>
        <v>1920</v>
      </c>
      <c r="C29" s="117">
        <v>160000</v>
      </c>
      <c r="D29" s="118">
        <v>12</v>
      </c>
      <c r="E29" s="115" t="s">
        <v>169</v>
      </c>
    </row>
    <row r="30" spans="1:5" s="99" customFormat="1" ht="13.5">
      <c r="A30" s="115" t="s">
        <v>39</v>
      </c>
      <c r="B30" s="119">
        <f>ROUNDUP(C30*D30/1000,0)</f>
        <v>10</v>
      </c>
      <c r="C30" s="120">
        <v>9200</v>
      </c>
      <c r="D30" s="118">
        <v>1</v>
      </c>
      <c r="E30" s="115" t="s">
        <v>38</v>
      </c>
    </row>
    <row r="31" spans="1:5" s="99" customFormat="1" ht="13.5">
      <c r="A31" s="98" t="s">
        <v>40</v>
      </c>
      <c r="B31" s="113">
        <f aca="true" t="shared" si="2" ref="B31:B37">ROUNDUP(C31*D31/1000,0)</f>
        <v>96</v>
      </c>
      <c r="C31" s="111">
        <f>C29*12*0.05</f>
        <v>96000</v>
      </c>
      <c r="D31" s="112">
        <v>1</v>
      </c>
      <c r="E31" s="98" t="s">
        <v>201</v>
      </c>
    </row>
    <row r="32" spans="1:5" s="99" customFormat="1" ht="13.5">
      <c r="A32" s="98" t="s">
        <v>41</v>
      </c>
      <c r="B32" s="113">
        <f t="shared" si="2"/>
        <v>16</v>
      </c>
      <c r="C32" s="111">
        <f>C29*12*0.0079</f>
        <v>15168.000000000002</v>
      </c>
      <c r="D32" s="112">
        <v>1</v>
      </c>
      <c r="E32" s="98" t="s">
        <v>259</v>
      </c>
    </row>
    <row r="33" spans="1:5" s="99" customFormat="1" ht="13.5">
      <c r="A33" s="98" t="s">
        <v>264</v>
      </c>
      <c r="B33" s="113">
        <f t="shared" si="2"/>
        <v>4</v>
      </c>
      <c r="C33" s="111">
        <f>160000*12*0.002</f>
        <v>3840</v>
      </c>
      <c r="D33" s="112">
        <v>1</v>
      </c>
      <c r="E33" s="98" t="s">
        <v>335</v>
      </c>
    </row>
    <row r="34" spans="1:5" s="99" customFormat="1" ht="13.5">
      <c r="A34" s="98" t="s">
        <v>331</v>
      </c>
      <c r="B34" s="113">
        <f t="shared" si="2"/>
        <v>176</v>
      </c>
      <c r="C34" s="111">
        <f>C29*12*91.5/1000</f>
        <v>175680</v>
      </c>
      <c r="D34" s="112">
        <v>1</v>
      </c>
      <c r="E34" s="98" t="s">
        <v>321</v>
      </c>
    </row>
    <row r="35" spans="1:5" s="99" customFormat="1" ht="13.5">
      <c r="A35" s="98" t="s">
        <v>42</v>
      </c>
      <c r="B35" s="113">
        <f t="shared" si="2"/>
        <v>14</v>
      </c>
      <c r="C35" s="111">
        <f>C29*12*0.007</f>
        <v>13440</v>
      </c>
      <c r="D35" s="112">
        <v>1</v>
      </c>
      <c r="E35" s="98" t="s">
        <v>319</v>
      </c>
    </row>
    <row r="36" spans="1:5" s="99" customFormat="1" ht="13.5">
      <c r="A36" s="98" t="s">
        <v>43</v>
      </c>
      <c r="B36" s="113">
        <f t="shared" si="2"/>
        <v>6</v>
      </c>
      <c r="C36" s="111">
        <f>C29*12*0.003</f>
        <v>5760</v>
      </c>
      <c r="D36" s="112">
        <v>1</v>
      </c>
      <c r="E36" s="98" t="s">
        <v>205</v>
      </c>
    </row>
    <row r="37" spans="1:5" s="99" customFormat="1" ht="13.5">
      <c r="A37" s="98" t="s">
        <v>44</v>
      </c>
      <c r="B37" s="113">
        <f t="shared" si="2"/>
        <v>1</v>
      </c>
      <c r="C37" s="111">
        <f>C29*12*0.00002</f>
        <v>38.400000000000006</v>
      </c>
      <c r="D37" s="112">
        <v>1</v>
      </c>
      <c r="E37" s="98" t="s">
        <v>320</v>
      </c>
    </row>
    <row r="38" spans="1:5" s="99" customFormat="1" ht="13.5">
      <c r="A38" s="98" t="s">
        <v>342</v>
      </c>
      <c r="B38" s="113">
        <f>ROUNDUP(C38*D38/1000,0)</f>
        <v>120</v>
      </c>
      <c r="C38" s="114">
        <v>120000</v>
      </c>
      <c r="D38" s="112">
        <v>1</v>
      </c>
      <c r="E38" s="98" t="s">
        <v>347</v>
      </c>
    </row>
    <row r="39" spans="1:5" s="99" customFormat="1" ht="15" customHeight="1">
      <c r="A39" s="104" t="s">
        <v>1</v>
      </c>
      <c r="B39" s="105">
        <f>B40+B44+B48+B52+B55</f>
        <v>2429</v>
      </c>
      <c r="C39" s="163"/>
      <c r="D39" s="164"/>
      <c r="E39" s="104"/>
    </row>
    <row r="40" spans="1:5" s="99" customFormat="1" ht="13.5">
      <c r="A40" s="106" t="s">
        <v>80</v>
      </c>
      <c r="B40" s="121">
        <f>SUM(B41:B43)</f>
        <v>158</v>
      </c>
      <c r="C40" s="108"/>
      <c r="D40" s="109"/>
      <c r="E40" s="106"/>
    </row>
    <row r="41" spans="1:5" s="99" customFormat="1" ht="13.5">
      <c r="A41" s="115" t="s">
        <v>81</v>
      </c>
      <c r="B41" s="119">
        <f>ROUNDUP(C41*D41/1000,0)</f>
        <v>59</v>
      </c>
      <c r="C41" s="120">
        <v>29260</v>
      </c>
      <c r="D41" s="118">
        <v>2</v>
      </c>
      <c r="E41" s="115" t="s">
        <v>72</v>
      </c>
    </row>
    <row r="42" spans="1:5" s="99" customFormat="1" ht="13.5">
      <c r="A42" s="115" t="s">
        <v>82</v>
      </c>
      <c r="B42" s="119">
        <f>ROUNDUP(C42*D42/1000,0)</f>
        <v>10</v>
      </c>
      <c r="C42" s="120">
        <v>9860</v>
      </c>
      <c r="D42" s="118">
        <v>1</v>
      </c>
      <c r="E42" s="115" t="s">
        <v>47</v>
      </c>
    </row>
    <row r="43" spans="1:5" s="99" customFormat="1" ht="13.5">
      <c r="A43" s="115" t="s">
        <v>81</v>
      </c>
      <c r="B43" s="119">
        <f>ROUNDUP(C43*D43/1000,0)</f>
        <v>89</v>
      </c>
      <c r="C43" s="120">
        <f>29260+4200+11000</f>
        <v>44460</v>
      </c>
      <c r="D43" s="118">
        <v>2</v>
      </c>
      <c r="E43" s="115" t="s">
        <v>271</v>
      </c>
    </row>
    <row r="44" spans="1:5" s="99" customFormat="1" ht="13.5">
      <c r="A44" s="115" t="s">
        <v>11</v>
      </c>
      <c r="B44" s="119">
        <f>SUM(B45:B47)</f>
        <v>324</v>
      </c>
      <c r="C44" s="122"/>
      <c r="D44" s="123"/>
      <c r="E44" s="115"/>
    </row>
    <row r="45" spans="1:5" s="99" customFormat="1" ht="13.5">
      <c r="A45" s="115" t="s">
        <v>12</v>
      </c>
      <c r="B45" s="119">
        <f>ROUNDUP(C45*D45/1000,0)</f>
        <v>144</v>
      </c>
      <c r="C45" s="120">
        <v>12000</v>
      </c>
      <c r="D45" s="118">
        <v>12</v>
      </c>
      <c r="E45" s="115"/>
    </row>
    <row r="46" spans="1:5" s="99" customFormat="1" ht="13.5">
      <c r="A46" s="115" t="s">
        <v>13</v>
      </c>
      <c r="B46" s="119">
        <f>ROUNDUP(C46*D46/1000,0)</f>
        <v>120</v>
      </c>
      <c r="C46" s="120">
        <v>10000</v>
      </c>
      <c r="D46" s="118">
        <v>12</v>
      </c>
      <c r="E46" s="115"/>
    </row>
    <row r="47" spans="1:5" s="99" customFormat="1" ht="13.5">
      <c r="A47" s="115" t="s">
        <v>14</v>
      </c>
      <c r="B47" s="119">
        <f>ROUNDUP(C47*D47/1000,0)</f>
        <v>60</v>
      </c>
      <c r="C47" s="120">
        <v>5000</v>
      </c>
      <c r="D47" s="118">
        <v>12</v>
      </c>
      <c r="E47" s="115"/>
    </row>
    <row r="48" spans="1:5" s="99" customFormat="1" ht="13.5">
      <c r="A48" s="115" t="s">
        <v>73</v>
      </c>
      <c r="B48" s="119">
        <f>SUM(B49:B51)</f>
        <v>651</v>
      </c>
      <c r="C48" s="120"/>
      <c r="D48" s="118"/>
      <c r="E48" s="115"/>
    </row>
    <row r="49" spans="1:5" s="99" customFormat="1" ht="13.5">
      <c r="A49" s="115" t="s">
        <v>30</v>
      </c>
      <c r="B49" s="119">
        <f>ROUNDUP(C49*D49/1000,0)</f>
        <v>216</v>
      </c>
      <c r="C49" s="120">
        <v>18000</v>
      </c>
      <c r="D49" s="118">
        <v>12</v>
      </c>
      <c r="E49" s="115" t="s">
        <v>272</v>
      </c>
    </row>
    <row r="50" spans="1:5" s="99" customFormat="1" ht="13.5">
      <c r="A50" s="115" t="s">
        <v>74</v>
      </c>
      <c r="B50" s="119">
        <f>ROUNDUP(C50*D50/1000,0)</f>
        <v>312</v>
      </c>
      <c r="C50" s="120">
        <f>26000*1</f>
        <v>26000</v>
      </c>
      <c r="D50" s="118">
        <v>12</v>
      </c>
      <c r="E50" s="115" t="s">
        <v>75</v>
      </c>
    </row>
    <row r="51" spans="1:5" s="99" customFormat="1" ht="13.5">
      <c r="A51" s="115" t="s">
        <v>76</v>
      </c>
      <c r="B51" s="119">
        <f>ROUNDUP(C51*D51/1000,0)</f>
        <v>123</v>
      </c>
      <c r="C51" s="120">
        <f>10200*1</f>
        <v>10200</v>
      </c>
      <c r="D51" s="118">
        <v>12</v>
      </c>
      <c r="E51" s="115" t="s">
        <v>77</v>
      </c>
    </row>
    <row r="52" spans="1:5" s="99" customFormat="1" ht="13.5">
      <c r="A52" s="115" t="s">
        <v>15</v>
      </c>
      <c r="B52" s="119">
        <f>SUM(B53:B54)</f>
        <v>279</v>
      </c>
      <c r="C52" s="120"/>
      <c r="D52" s="118"/>
      <c r="E52" s="115"/>
    </row>
    <row r="53" spans="1:5" s="99" customFormat="1" ht="13.5">
      <c r="A53" s="115" t="s">
        <v>79</v>
      </c>
      <c r="B53" s="119">
        <f>ROUNDUP(C53*D53/1000,0)</f>
        <v>135</v>
      </c>
      <c r="C53" s="120">
        <v>11200</v>
      </c>
      <c r="D53" s="118">
        <v>12</v>
      </c>
      <c r="E53" s="125" t="s">
        <v>168</v>
      </c>
    </row>
    <row r="54" spans="1:5" s="99" customFormat="1" ht="13.5">
      <c r="A54" s="115" t="s">
        <v>78</v>
      </c>
      <c r="B54" s="119">
        <f>ROUNDUP(C54*D54/1000,0)</f>
        <v>144</v>
      </c>
      <c r="C54" s="120">
        <v>12000</v>
      </c>
      <c r="D54" s="118">
        <v>12</v>
      </c>
      <c r="E54" s="115" t="s">
        <v>36</v>
      </c>
    </row>
    <row r="55" spans="1:5" s="99" customFormat="1" ht="13.5">
      <c r="A55" s="115" t="s">
        <v>171</v>
      </c>
      <c r="B55" s="119">
        <f>SUM(B56:B58)</f>
        <v>1017</v>
      </c>
      <c r="C55" s="120"/>
      <c r="D55" s="118"/>
      <c r="E55" s="125"/>
    </row>
    <row r="56" spans="1:5" s="99" customFormat="1" ht="13.5">
      <c r="A56" s="115" t="s">
        <v>121</v>
      </c>
      <c r="B56" s="119">
        <f>ROUNDUP(C56*D56/1000,0)</f>
        <v>585</v>
      </c>
      <c r="C56" s="120">
        <v>65000</v>
      </c>
      <c r="D56" s="118">
        <v>9</v>
      </c>
      <c r="E56" s="115" t="s">
        <v>183</v>
      </c>
    </row>
    <row r="57" spans="1:5" s="99" customFormat="1" ht="13.5">
      <c r="A57" s="115" t="s">
        <v>231</v>
      </c>
      <c r="B57" s="119">
        <f>ROUNDUP(C57*D57/1000,0)</f>
        <v>162</v>
      </c>
      <c r="C57" s="120">
        <v>18000</v>
      </c>
      <c r="D57" s="118">
        <v>9</v>
      </c>
      <c r="E57" s="115" t="s">
        <v>291</v>
      </c>
    </row>
    <row r="58" spans="1:5" s="99" customFormat="1" ht="14.25" thickBot="1">
      <c r="A58" s="126" t="s">
        <v>122</v>
      </c>
      <c r="B58" s="127">
        <f>ROUNDUP(C58*D58/1000,0)</f>
        <v>270</v>
      </c>
      <c r="C58" s="128">
        <v>30000</v>
      </c>
      <c r="D58" s="129">
        <v>9</v>
      </c>
      <c r="E58" s="126" t="s">
        <v>123</v>
      </c>
    </row>
    <row r="59" spans="1:5" s="99" customFormat="1" ht="15" customHeight="1" thickTop="1">
      <c r="A59" s="130" t="s">
        <v>16</v>
      </c>
      <c r="B59" s="131">
        <f>B60+B91+B116</f>
        <v>16217</v>
      </c>
      <c r="C59" s="165"/>
      <c r="D59" s="166"/>
      <c r="E59" s="87"/>
    </row>
    <row r="60" spans="1:5" s="99" customFormat="1" ht="15" customHeight="1">
      <c r="A60" s="132" t="s">
        <v>17</v>
      </c>
      <c r="B60" s="133">
        <f>B61+B67+B76+B86</f>
        <v>7236</v>
      </c>
      <c r="C60" s="167"/>
      <c r="D60" s="168"/>
      <c r="E60" s="132"/>
    </row>
    <row r="61" spans="1:5" s="99" customFormat="1" ht="15" customHeight="1">
      <c r="A61" s="104" t="s">
        <v>274</v>
      </c>
      <c r="B61" s="105">
        <f>SUM(B62:B66)</f>
        <v>1275</v>
      </c>
      <c r="C61" s="163"/>
      <c r="D61" s="164"/>
      <c r="E61" s="104"/>
    </row>
    <row r="62" spans="1:5" s="99" customFormat="1" ht="13.5">
      <c r="A62" s="106" t="s">
        <v>18</v>
      </c>
      <c r="B62" s="121">
        <f>ROUNDUP(C62*D62/1000,0)</f>
        <v>800</v>
      </c>
      <c r="C62" s="108">
        <v>100000</v>
      </c>
      <c r="D62" s="109">
        <v>8</v>
      </c>
      <c r="E62" s="106" t="s">
        <v>88</v>
      </c>
    </row>
    <row r="63" spans="1:5" s="99" customFormat="1" ht="13.5">
      <c r="A63" s="115" t="s">
        <v>35</v>
      </c>
      <c r="B63" s="119">
        <f>ROUNDUP(C63*D63/1000,0)</f>
        <v>235</v>
      </c>
      <c r="C63" s="120">
        <f>29260</f>
        <v>29260</v>
      </c>
      <c r="D63" s="118">
        <v>8</v>
      </c>
      <c r="E63" s="134" t="s">
        <v>83</v>
      </c>
    </row>
    <row r="64" spans="1:5" s="99" customFormat="1" ht="13.5">
      <c r="A64" s="115" t="s">
        <v>20</v>
      </c>
      <c r="B64" s="119">
        <f>ROUNDUP(C64*D64/1000,0)</f>
        <v>120</v>
      </c>
      <c r="C64" s="111">
        <v>15000</v>
      </c>
      <c r="D64" s="112">
        <v>8</v>
      </c>
      <c r="E64" s="98" t="s">
        <v>210</v>
      </c>
    </row>
    <row r="65" spans="1:5" s="99" customFormat="1" ht="13.5">
      <c r="A65" s="115" t="s">
        <v>84</v>
      </c>
      <c r="B65" s="119">
        <f>ROUNDUP(C65*D65/1000,0)</f>
        <v>40</v>
      </c>
      <c r="C65" s="120">
        <v>5000</v>
      </c>
      <c r="D65" s="118">
        <v>8</v>
      </c>
      <c r="E65" s="115" t="s">
        <v>211</v>
      </c>
    </row>
    <row r="66" spans="1:5" s="99" customFormat="1" ht="13.5">
      <c r="A66" s="135" t="s">
        <v>21</v>
      </c>
      <c r="B66" s="136">
        <f>ROUNDUP(C66*D66/1000,0)</f>
        <v>80</v>
      </c>
      <c r="C66" s="137">
        <v>80000</v>
      </c>
      <c r="D66" s="138">
        <v>1</v>
      </c>
      <c r="E66" s="135" t="s">
        <v>48</v>
      </c>
    </row>
    <row r="67" spans="1:5" s="99" customFormat="1" ht="15" customHeight="1">
      <c r="A67" s="104" t="s">
        <v>212</v>
      </c>
      <c r="B67" s="105">
        <f>SUM(B68:B75)</f>
        <v>1973</v>
      </c>
      <c r="C67" s="163"/>
      <c r="D67" s="164"/>
      <c r="E67" s="104"/>
    </row>
    <row r="68" spans="1:5" s="99" customFormat="1" ht="13.5">
      <c r="A68" s="106" t="s">
        <v>18</v>
      </c>
      <c r="B68" s="121">
        <f aca="true" t="shared" si="3" ref="B68:B75">ROUNDUP(C68*D68/1000,0)</f>
        <v>1200</v>
      </c>
      <c r="C68" s="108">
        <v>100000</v>
      </c>
      <c r="D68" s="109">
        <v>12</v>
      </c>
      <c r="E68" s="106" t="s">
        <v>239</v>
      </c>
    </row>
    <row r="69" spans="1:5" s="99" customFormat="1" ht="13.5">
      <c r="A69" s="115" t="s">
        <v>35</v>
      </c>
      <c r="B69" s="119">
        <f t="shared" si="3"/>
        <v>352</v>
      </c>
      <c r="C69" s="120">
        <f>29260</f>
        <v>29260</v>
      </c>
      <c r="D69" s="118">
        <v>12</v>
      </c>
      <c r="E69" s="134" t="s">
        <v>83</v>
      </c>
    </row>
    <row r="70" spans="1:5" s="99" customFormat="1" ht="13.5">
      <c r="A70" s="115" t="s">
        <v>86</v>
      </c>
      <c r="B70" s="119">
        <f t="shared" si="3"/>
        <v>30</v>
      </c>
      <c r="C70" s="120">
        <v>10000</v>
      </c>
      <c r="D70" s="112">
        <v>3</v>
      </c>
      <c r="E70" s="98" t="s">
        <v>240</v>
      </c>
    </row>
    <row r="71" spans="1:5" s="99" customFormat="1" ht="13.5">
      <c r="A71" s="115" t="s">
        <v>20</v>
      </c>
      <c r="B71" s="119">
        <f t="shared" si="3"/>
        <v>135</v>
      </c>
      <c r="C71" s="111">
        <v>15000</v>
      </c>
      <c r="D71" s="112">
        <v>9</v>
      </c>
      <c r="E71" s="98" t="s">
        <v>277</v>
      </c>
    </row>
    <row r="72" spans="1:5" s="99" customFormat="1" ht="13.5">
      <c r="A72" s="115" t="s">
        <v>84</v>
      </c>
      <c r="B72" s="119">
        <f t="shared" si="3"/>
        <v>45</v>
      </c>
      <c r="C72" s="120">
        <v>5000</v>
      </c>
      <c r="D72" s="118">
        <v>9</v>
      </c>
      <c r="E72" s="115" t="s">
        <v>278</v>
      </c>
    </row>
    <row r="73" spans="1:5" s="99" customFormat="1" ht="13.5">
      <c r="A73" s="115" t="s">
        <v>28</v>
      </c>
      <c r="B73" s="119">
        <f t="shared" si="3"/>
        <v>86</v>
      </c>
      <c r="C73" s="120">
        <v>28500</v>
      </c>
      <c r="D73" s="118">
        <v>3</v>
      </c>
      <c r="E73" s="115" t="s">
        <v>241</v>
      </c>
    </row>
    <row r="74" spans="1:5" s="99" customFormat="1" ht="13.5">
      <c r="A74" s="126" t="s">
        <v>34</v>
      </c>
      <c r="B74" s="127">
        <f t="shared" si="3"/>
        <v>45</v>
      </c>
      <c r="C74" s="128">
        <v>1000</v>
      </c>
      <c r="D74" s="129">
        <v>45</v>
      </c>
      <c r="E74" s="126" t="s">
        <v>242</v>
      </c>
    </row>
    <row r="75" spans="1:5" s="99" customFormat="1" ht="13.5">
      <c r="A75" s="135" t="s">
        <v>21</v>
      </c>
      <c r="B75" s="136">
        <f t="shared" si="3"/>
        <v>80</v>
      </c>
      <c r="C75" s="137">
        <v>80000</v>
      </c>
      <c r="D75" s="138">
        <v>1</v>
      </c>
      <c r="E75" s="135" t="s">
        <v>48</v>
      </c>
    </row>
    <row r="76" spans="1:5" s="99" customFormat="1" ht="15" customHeight="1">
      <c r="A76" s="104" t="s">
        <v>214</v>
      </c>
      <c r="B76" s="105">
        <f>SUM(B77:B85)</f>
        <v>3448</v>
      </c>
      <c r="C76" s="163"/>
      <c r="D76" s="164"/>
      <c r="E76" s="104"/>
    </row>
    <row r="77" spans="1:5" s="99" customFormat="1" ht="13.5">
      <c r="A77" s="106" t="s">
        <v>157</v>
      </c>
      <c r="B77" s="121">
        <f>SUM(B78:B85)</f>
        <v>1724</v>
      </c>
      <c r="C77" s="108"/>
      <c r="D77" s="109"/>
      <c r="E77" s="106"/>
    </row>
    <row r="78" spans="1:5" s="99" customFormat="1" ht="13.5">
      <c r="A78" s="98" t="s">
        <v>18</v>
      </c>
      <c r="B78" s="119">
        <f>ROUNDUP(C78*D78/1000,0)</f>
        <v>1000</v>
      </c>
      <c r="C78" s="111">
        <v>100000</v>
      </c>
      <c r="D78" s="112">
        <v>10</v>
      </c>
      <c r="E78" s="98" t="s">
        <v>243</v>
      </c>
    </row>
    <row r="79" spans="1:5" s="99" customFormat="1" ht="13.5">
      <c r="A79" s="115" t="s">
        <v>19</v>
      </c>
      <c r="B79" s="119">
        <f>ROUNDUP(C79*D79/1000,0)</f>
        <v>293</v>
      </c>
      <c r="C79" s="120">
        <f>29260</f>
        <v>29260</v>
      </c>
      <c r="D79" s="118">
        <v>10</v>
      </c>
      <c r="E79" s="134" t="s">
        <v>83</v>
      </c>
    </row>
    <row r="80" spans="1:5" s="99" customFormat="1" ht="13.5">
      <c r="A80" s="115" t="s">
        <v>20</v>
      </c>
      <c r="B80" s="127">
        <f>ROUNDUP(C80*D80/1000,0)</f>
        <v>130</v>
      </c>
      <c r="C80" s="111">
        <v>13000</v>
      </c>
      <c r="D80" s="112">
        <v>10</v>
      </c>
      <c r="E80" s="98" t="s">
        <v>279</v>
      </c>
    </row>
    <row r="81" spans="1:5" s="99" customFormat="1" ht="13.5">
      <c r="A81" s="115" t="s">
        <v>280</v>
      </c>
      <c r="B81" s="119">
        <f>ROUNDUP(C81*D81/1000,0)</f>
        <v>136</v>
      </c>
      <c r="C81" s="120">
        <v>6800</v>
      </c>
      <c r="D81" s="118">
        <v>20</v>
      </c>
      <c r="E81" s="115" t="s">
        <v>281</v>
      </c>
    </row>
    <row r="82" spans="1:5" s="99" customFormat="1" ht="13.5">
      <c r="A82" s="115" t="s">
        <v>89</v>
      </c>
      <c r="B82" s="110">
        <f aca="true" t="shared" si="4" ref="B82:B90">ROUNDUP(C82*D82/1000,0)</f>
        <v>60</v>
      </c>
      <c r="C82" s="120">
        <v>3000</v>
      </c>
      <c r="D82" s="118">
        <v>20</v>
      </c>
      <c r="E82" s="115" t="s">
        <v>282</v>
      </c>
    </row>
    <row r="83" spans="1:5" s="99" customFormat="1" ht="13.5">
      <c r="A83" s="126" t="s">
        <v>90</v>
      </c>
      <c r="B83" s="119">
        <f t="shared" si="4"/>
        <v>5</v>
      </c>
      <c r="C83" s="128">
        <v>5000</v>
      </c>
      <c r="D83" s="129">
        <v>1</v>
      </c>
      <c r="E83" s="126" t="s">
        <v>91</v>
      </c>
    </row>
    <row r="84" spans="1:5" s="99" customFormat="1" ht="13.5">
      <c r="A84" s="126" t="s">
        <v>34</v>
      </c>
      <c r="B84" s="127">
        <f t="shared" si="4"/>
        <v>20</v>
      </c>
      <c r="C84" s="128">
        <v>1000</v>
      </c>
      <c r="D84" s="129">
        <v>20</v>
      </c>
      <c r="E84" s="126" t="s">
        <v>285</v>
      </c>
    </row>
    <row r="85" spans="1:5" s="99" customFormat="1" ht="13.5">
      <c r="A85" s="135" t="s">
        <v>21</v>
      </c>
      <c r="B85" s="136">
        <f t="shared" si="4"/>
        <v>80</v>
      </c>
      <c r="C85" s="137">
        <v>80000</v>
      </c>
      <c r="D85" s="138">
        <v>1</v>
      </c>
      <c r="E85" s="135" t="s">
        <v>48</v>
      </c>
    </row>
    <row r="86" spans="1:5" s="99" customFormat="1" ht="15" customHeight="1">
      <c r="A86" s="104" t="s">
        <v>219</v>
      </c>
      <c r="B86" s="105">
        <f>SUM(B87:B90)</f>
        <v>540</v>
      </c>
      <c r="C86" s="163"/>
      <c r="D86" s="164"/>
      <c r="E86" s="104"/>
    </row>
    <row r="87" spans="1:5" s="99" customFormat="1" ht="13.5">
      <c r="A87" s="115" t="s">
        <v>20</v>
      </c>
      <c r="B87" s="119">
        <f>ROUNDUP(C87*D87/1000,0)</f>
        <v>160</v>
      </c>
      <c r="C87" s="120">
        <v>40000</v>
      </c>
      <c r="D87" s="118">
        <v>4</v>
      </c>
      <c r="E87" s="115" t="s">
        <v>244</v>
      </c>
    </row>
    <row r="88" spans="1:5" s="99" customFormat="1" ht="13.5">
      <c r="A88" s="115" t="s">
        <v>94</v>
      </c>
      <c r="B88" s="119">
        <f>ROUNDUP(C88*D88/1000,0)</f>
        <v>60</v>
      </c>
      <c r="C88" s="120">
        <v>15000</v>
      </c>
      <c r="D88" s="118">
        <v>4</v>
      </c>
      <c r="E88" s="115"/>
    </row>
    <row r="89" spans="1:5" s="99" customFormat="1" ht="13.5">
      <c r="A89" s="98" t="s">
        <v>93</v>
      </c>
      <c r="B89" s="110">
        <f>ROUNDUP(C89*D89/1000,0)</f>
        <v>140</v>
      </c>
      <c r="C89" s="111">
        <v>350</v>
      </c>
      <c r="D89" s="112">
        <v>400</v>
      </c>
      <c r="E89" s="98" t="s">
        <v>286</v>
      </c>
    </row>
    <row r="90" spans="1:5" s="99" customFormat="1" ht="13.5">
      <c r="A90" s="135" t="s">
        <v>27</v>
      </c>
      <c r="B90" s="136">
        <f t="shared" si="4"/>
        <v>180</v>
      </c>
      <c r="C90" s="137">
        <v>180000</v>
      </c>
      <c r="D90" s="138">
        <v>1</v>
      </c>
      <c r="E90" s="135" t="s">
        <v>96</v>
      </c>
    </row>
    <row r="91" spans="1:5" s="99" customFormat="1" ht="15" customHeight="1">
      <c r="A91" s="132" t="s">
        <v>22</v>
      </c>
      <c r="B91" s="133">
        <f>B92+B99+B106</f>
        <v>7942</v>
      </c>
      <c r="C91" s="167"/>
      <c r="D91" s="168"/>
      <c r="E91" s="132"/>
    </row>
    <row r="92" spans="1:5" s="99" customFormat="1" ht="15" customHeight="1">
      <c r="A92" s="104" t="s">
        <v>97</v>
      </c>
      <c r="B92" s="105">
        <f>SUM(B93:B98)</f>
        <v>1778</v>
      </c>
      <c r="C92" s="163"/>
      <c r="D92" s="164"/>
      <c r="E92" s="104"/>
    </row>
    <row r="93" spans="1:5" s="99" customFormat="1" ht="13.5">
      <c r="A93" s="98" t="s">
        <v>18</v>
      </c>
      <c r="B93" s="110">
        <f aca="true" t="shared" si="5" ref="B93:B98">ROUNDUP(C93*D93/1000,0)</f>
        <v>1000</v>
      </c>
      <c r="C93" s="111">
        <v>100000</v>
      </c>
      <c r="D93" s="112">
        <v>10</v>
      </c>
      <c r="E93" s="98" t="s">
        <v>221</v>
      </c>
    </row>
    <row r="94" spans="1:5" s="99" customFormat="1" ht="13.5">
      <c r="A94" s="115" t="s">
        <v>35</v>
      </c>
      <c r="B94" s="119">
        <f t="shared" si="5"/>
        <v>176</v>
      </c>
      <c r="C94" s="120">
        <f>29260</f>
        <v>29260</v>
      </c>
      <c r="D94" s="118">
        <v>6</v>
      </c>
      <c r="E94" s="115" t="s">
        <v>163</v>
      </c>
    </row>
    <row r="95" spans="1:5" s="99" customFormat="1" ht="13.5">
      <c r="A95" s="115" t="s">
        <v>20</v>
      </c>
      <c r="B95" s="119">
        <f t="shared" si="5"/>
        <v>130</v>
      </c>
      <c r="C95" s="111">
        <v>13000</v>
      </c>
      <c r="D95" s="112">
        <v>10</v>
      </c>
      <c r="E95" s="98" t="s">
        <v>222</v>
      </c>
    </row>
    <row r="96" spans="1:5" s="99" customFormat="1" ht="13.5">
      <c r="A96" s="115" t="s">
        <v>98</v>
      </c>
      <c r="B96" s="119">
        <f t="shared" si="5"/>
        <v>272</v>
      </c>
      <c r="C96" s="120">
        <v>6800</v>
      </c>
      <c r="D96" s="118">
        <v>40</v>
      </c>
      <c r="E96" s="115" t="s">
        <v>180</v>
      </c>
    </row>
    <row r="97" spans="1:5" s="99" customFormat="1" ht="13.5">
      <c r="A97" s="126" t="s">
        <v>90</v>
      </c>
      <c r="B97" s="119">
        <f t="shared" si="5"/>
        <v>20</v>
      </c>
      <c r="C97" s="128">
        <v>5000</v>
      </c>
      <c r="D97" s="129">
        <v>4</v>
      </c>
      <c r="E97" s="126" t="s">
        <v>100</v>
      </c>
    </row>
    <row r="98" spans="1:5" s="99" customFormat="1" ht="13.5">
      <c r="A98" s="135" t="s">
        <v>27</v>
      </c>
      <c r="B98" s="136">
        <f t="shared" si="5"/>
        <v>180</v>
      </c>
      <c r="C98" s="137">
        <v>180000</v>
      </c>
      <c r="D98" s="138">
        <v>1</v>
      </c>
      <c r="E98" s="135" t="s">
        <v>96</v>
      </c>
    </row>
    <row r="99" spans="1:5" s="99" customFormat="1" ht="15" customHeight="1">
      <c r="A99" s="104" t="s">
        <v>287</v>
      </c>
      <c r="B99" s="105">
        <f>SUM(B100:B105)</f>
        <v>3004</v>
      </c>
      <c r="C99" s="163"/>
      <c r="D99" s="164"/>
      <c r="E99" s="104"/>
    </row>
    <row r="100" spans="1:5" s="99" customFormat="1" ht="13.5">
      <c r="A100" s="98" t="s">
        <v>18</v>
      </c>
      <c r="B100" s="110">
        <f aca="true" t="shared" si="6" ref="B100:B105">ROUNDUP(C100*D100/1000,0)</f>
        <v>1800</v>
      </c>
      <c r="C100" s="111">
        <v>100000</v>
      </c>
      <c r="D100" s="112">
        <v>18</v>
      </c>
      <c r="E100" s="98" t="s">
        <v>175</v>
      </c>
    </row>
    <row r="101" spans="1:5" s="99" customFormat="1" ht="13.5">
      <c r="A101" s="115" t="s">
        <v>35</v>
      </c>
      <c r="B101" s="119">
        <f t="shared" si="6"/>
        <v>352</v>
      </c>
      <c r="C101" s="120">
        <f>29260</f>
        <v>29260</v>
      </c>
      <c r="D101" s="118">
        <v>12</v>
      </c>
      <c r="E101" s="115" t="s">
        <v>166</v>
      </c>
    </row>
    <row r="102" spans="1:5" s="99" customFormat="1" ht="13.5">
      <c r="A102" s="115" t="s">
        <v>20</v>
      </c>
      <c r="B102" s="119">
        <f t="shared" si="6"/>
        <v>234</v>
      </c>
      <c r="C102" s="111">
        <v>13000</v>
      </c>
      <c r="D102" s="112">
        <v>18</v>
      </c>
      <c r="E102" s="98" t="s">
        <v>181</v>
      </c>
    </row>
    <row r="103" spans="1:5" s="99" customFormat="1" ht="13.5">
      <c r="A103" s="115" t="s">
        <v>98</v>
      </c>
      <c r="B103" s="119">
        <f t="shared" si="6"/>
        <v>408</v>
      </c>
      <c r="C103" s="120">
        <v>6800</v>
      </c>
      <c r="D103" s="118">
        <v>60</v>
      </c>
      <c r="E103" s="115" t="s">
        <v>182</v>
      </c>
    </row>
    <row r="104" spans="1:5" s="99" customFormat="1" ht="13.5">
      <c r="A104" s="126" t="s">
        <v>90</v>
      </c>
      <c r="B104" s="119">
        <f t="shared" si="6"/>
        <v>30</v>
      </c>
      <c r="C104" s="128">
        <v>5000</v>
      </c>
      <c r="D104" s="129">
        <v>6</v>
      </c>
      <c r="E104" s="126" t="s">
        <v>172</v>
      </c>
    </row>
    <row r="105" spans="1:5" s="99" customFormat="1" ht="13.5">
      <c r="A105" s="135" t="s">
        <v>27</v>
      </c>
      <c r="B105" s="136">
        <f t="shared" si="6"/>
        <v>180</v>
      </c>
      <c r="C105" s="137">
        <v>180000</v>
      </c>
      <c r="D105" s="138">
        <v>1</v>
      </c>
      <c r="E105" s="135" t="s">
        <v>96</v>
      </c>
    </row>
    <row r="106" spans="1:5" s="99" customFormat="1" ht="15" customHeight="1">
      <c r="A106" s="104" t="s">
        <v>101</v>
      </c>
      <c r="B106" s="105">
        <f>SUM(B107:B115)</f>
        <v>3160</v>
      </c>
      <c r="C106" s="163"/>
      <c r="D106" s="164"/>
      <c r="E106" s="104"/>
    </row>
    <row r="107" spans="1:5" s="99" customFormat="1" ht="13.5">
      <c r="A107" s="98" t="s">
        <v>18</v>
      </c>
      <c r="B107" s="110">
        <f aca="true" t="shared" si="7" ref="B107:B112">ROUNDUP(C107*D107/1000,0)</f>
        <v>1200</v>
      </c>
      <c r="C107" s="111">
        <v>50000</v>
      </c>
      <c r="D107" s="112">
        <v>24</v>
      </c>
      <c r="E107" s="98" t="s">
        <v>229</v>
      </c>
    </row>
    <row r="108" spans="1:5" s="99" customFormat="1" ht="13.5">
      <c r="A108" s="115" t="s">
        <v>35</v>
      </c>
      <c r="B108" s="119">
        <f t="shared" si="7"/>
        <v>703</v>
      </c>
      <c r="C108" s="120">
        <f>29260</f>
        <v>29260</v>
      </c>
      <c r="D108" s="118">
        <v>24</v>
      </c>
      <c r="E108" s="115" t="s">
        <v>165</v>
      </c>
    </row>
    <row r="109" spans="1:5" s="99" customFormat="1" ht="13.5">
      <c r="A109" s="115" t="s">
        <v>20</v>
      </c>
      <c r="B109" s="119">
        <f t="shared" si="7"/>
        <v>312</v>
      </c>
      <c r="C109" s="111">
        <v>13000</v>
      </c>
      <c r="D109" s="112">
        <v>24</v>
      </c>
      <c r="E109" s="98" t="s">
        <v>289</v>
      </c>
    </row>
    <row r="110" spans="1:5" s="99" customFormat="1" ht="13.5">
      <c r="A110" s="115" t="s">
        <v>104</v>
      </c>
      <c r="B110" s="119">
        <f t="shared" si="7"/>
        <v>408</v>
      </c>
      <c r="C110" s="120">
        <v>6800</v>
      </c>
      <c r="D110" s="118">
        <v>60</v>
      </c>
      <c r="E110" s="115" t="s">
        <v>182</v>
      </c>
    </row>
    <row r="111" spans="1:5" s="99" customFormat="1" ht="13.5">
      <c r="A111" s="126" t="s">
        <v>105</v>
      </c>
      <c r="B111" s="119">
        <f t="shared" si="7"/>
        <v>30</v>
      </c>
      <c r="C111" s="128">
        <v>5000</v>
      </c>
      <c r="D111" s="129">
        <v>6</v>
      </c>
      <c r="E111" s="126" t="s">
        <v>172</v>
      </c>
    </row>
    <row r="112" spans="1:5" s="99" customFormat="1" ht="13.5">
      <c r="A112" s="115" t="s">
        <v>106</v>
      </c>
      <c r="B112" s="119">
        <f t="shared" si="7"/>
        <v>189</v>
      </c>
      <c r="C112" s="120">
        <v>3150</v>
      </c>
      <c r="D112" s="118">
        <v>60</v>
      </c>
      <c r="E112" s="115" t="s">
        <v>290</v>
      </c>
    </row>
    <row r="113" spans="1:5" s="99" customFormat="1" ht="13.5">
      <c r="A113" s="115" t="s">
        <v>102</v>
      </c>
      <c r="B113" s="119">
        <f>ROUNDUP(C113*D113/1000,0)</f>
        <v>78</v>
      </c>
      <c r="C113" s="120">
        <v>26000</v>
      </c>
      <c r="D113" s="118">
        <v>3</v>
      </c>
      <c r="E113" s="115" t="s">
        <v>173</v>
      </c>
    </row>
    <row r="114" spans="1:5" s="99" customFormat="1" ht="13.5">
      <c r="A114" s="126" t="s">
        <v>103</v>
      </c>
      <c r="B114" s="127">
        <f>ROUNDUP(C114*D114/1000,0)</f>
        <v>60</v>
      </c>
      <c r="C114" s="128">
        <v>20000</v>
      </c>
      <c r="D114" s="129">
        <v>3</v>
      </c>
      <c r="E114" s="126" t="s">
        <v>174</v>
      </c>
    </row>
    <row r="115" spans="1:5" s="99" customFormat="1" ht="13.5">
      <c r="A115" s="135" t="s">
        <v>27</v>
      </c>
      <c r="B115" s="136">
        <f>ROUNDUP(C115*D115/1000,0)</f>
        <v>180</v>
      </c>
      <c r="C115" s="137">
        <v>180000</v>
      </c>
      <c r="D115" s="138">
        <v>1</v>
      </c>
      <c r="E115" s="135" t="s">
        <v>29</v>
      </c>
    </row>
    <row r="116" spans="1:5" s="99" customFormat="1" ht="15" customHeight="1">
      <c r="A116" s="132" t="s">
        <v>23</v>
      </c>
      <c r="B116" s="133">
        <f>B117+B120</f>
        <v>1039</v>
      </c>
      <c r="C116" s="169">
        <f>B116/$B$91</f>
        <v>0.1308234701586502</v>
      </c>
      <c r="D116" s="170"/>
      <c r="E116" s="14" t="s">
        <v>32</v>
      </c>
    </row>
    <row r="117" spans="1:5" s="99" customFormat="1" ht="15" customHeight="1">
      <c r="A117" s="104" t="s">
        <v>107</v>
      </c>
      <c r="B117" s="105">
        <f>SUM(B118:B119)</f>
        <v>154</v>
      </c>
      <c r="C117" s="163"/>
      <c r="D117" s="164"/>
      <c r="E117" s="104"/>
    </row>
    <row r="118" spans="1:5" s="99" customFormat="1" ht="13.5">
      <c r="A118" s="115" t="s">
        <v>26</v>
      </c>
      <c r="B118" s="119">
        <f>ROUNDUP(C118*D118/1000,0)</f>
        <v>60</v>
      </c>
      <c r="C118" s="120">
        <v>5000</v>
      </c>
      <c r="D118" s="118">
        <v>12</v>
      </c>
      <c r="E118" s="115" t="s">
        <v>52</v>
      </c>
    </row>
    <row r="119" spans="1:5" s="99" customFormat="1" ht="13.5">
      <c r="A119" s="126" t="s">
        <v>50</v>
      </c>
      <c r="B119" s="127">
        <f>ROUNDUP(C119*D119/1000,0)</f>
        <v>94</v>
      </c>
      <c r="C119" s="128">
        <v>7800</v>
      </c>
      <c r="D119" s="129">
        <v>12</v>
      </c>
      <c r="E119" s="126"/>
    </row>
    <row r="120" spans="1:5" s="99" customFormat="1" ht="15" customHeight="1">
      <c r="A120" s="104" t="s">
        <v>108</v>
      </c>
      <c r="B120" s="105">
        <f>SUM(B121:B124)</f>
        <v>885</v>
      </c>
      <c r="C120" s="163"/>
      <c r="D120" s="164"/>
      <c r="E120" s="104"/>
    </row>
    <row r="121" spans="1:5" s="99" customFormat="1" ht="13.5">
      <c r="A121" s="115" t="s">
        <v>20</v>
      </c>
      <c r="B121" s="119">
        <f>ROUNDUP(C121*D121/1000,0)</f>
        <v>640</v>
      </c>
      <c r="C121" s="120">
        <v>80000</v>
      </c>
      <c r="D121" s="118">
        <v>8</v>
      </c>
      <c r="E121" s="115" t="s">
        <v>179</v>
      </c>
    </row>
    <row r="122" spans="1:5" s="99" customFormat="1" ht="13.5">
      <c r="A122" s="115" t="s">
        <v>94</v>
      </c>
      <c r="B122" s="119">
        <f>ROUNDUP(C122*D122/1000,0)</f>
        <v>15</v>
      </c>
      <c r="C122" s="120">
        <v>15000</v>
      </c>
      <c r="D122" s="118">
        <v>1</v>
      </c>
      <c r="E122" s="115"/>
    </row>
    <row r="123" spans="1:5" s="99" customFormat="1" ht="13.5">
      <c r="A123" s="98" t="s">
        <v>155</v>
      </c>
      <c r="B123" s="110">
        <f>ROUNDUP(C123*D123/1000,0)</f>
        <v>50</v>
      </c>
      <c r="C123" s="111">
        <v>50</v>
      </c>
      <c r="D123" s="112">
        <v>1000</v>
      </c>
      <c r="E123" s="98" t="s">
        <v>156</v>
      </c>
    </row>
    <row r="124" spans="1:5" s="99" customFormat="1" ht="13.5">
      <c r="A124" s="135" t="s">
        <v>27</v>
      </c>
      <c r="B124" s="136">
        <f>ROUNDUP(C124*D124/1000,0)</f>
        <v>180</v>
      </c>
      <c r="C124" s="137">
        <v>180000</v>
      </c>
      <c r="D124" s="138">
        <v>1</v>
      </c>
      <c r="E124" s="135" t="s">
        <v>96</v>
      </c>
    </row>
    <row r="125" spans="1:5" s="99" customFormat="1" ht="15" customHeight="1">
      <c r="A125" s="142" t="s">
        <v>153</v>
      </c>
      <c r="B125" s="143">
        <f>B126</f>
        <v>26790</v>
      </c>
      <c r="C125" s="177">
        <f>B127/B126</f>
        <v>0.590742814483016</v>
      </c>
      <c r="D125" s="178"/>
      <c r="E125" s="65" t="s">
        <v>149</v>
      </c>
    </row>
    <row r="126" spans="1:5" s="99" customFormat="1" ht="15" customHeight="1">
      <c r="A126" s="132" t="s">
        <v>109</v>
      </c>
      <c r="B126" s="133">
        <f>B127+B150</f>
        <v>26790</v>
      </c>
      <c r="C126" s="169"/>
      <c r="D126" s="170"/>
      <c r="E126" s="14"/>
    </row>
    <row r="127" spans="1:5" s="99" customFormat="1" ht="15" customHeight="1">
      <c r="A127" s="104" t="s">
        <v>111</v>
      </c>
      <c r="B127" s="105">
        <f>SUM(B128:B149)</f>
        <v>15826</v>
      </c>
      <c r="C127" s="163"/>
      <c r="D127" s="164"/>
      <c r="E127" s="104"/>
    </row>
    <row r="128" spans="1:5" s="99" customFormat="1" ht="13.5">
      <c r="A128" s="106" t="s">
        <v>118</v>
      </c>
      <c r="B128" s="107">
        <f>ROUNDUP(C128*D128/1000,0)</f>
        <v>3000</v>
      </c>
      <c r="C128" s="108">
        <v>250000</v>
      </c>
      <c r="D128" s="109">
        <v>12</v>
      </c>
      <c r="E128" s="98" t="s">
        <v>224</v>
      </c>
    </row>
    <row r="129" spans="1:5" s="99" customFormat="1" ht="13.5">
      <c r="A129" s="98" t="s">
        <v>110</v>
      </c>
      <c r="B129" s="110">
        <f>ROUNDUP(C129*D129/1000,0)</f>
        <v>427</v>
      </c>
      <c r="C129" s="111">
        <f>C128/22/8*1.25</f>
        <v>1775.568181818182</v>
      </c>
      <c r="D129" s="112">
        <v>240</v>
      </c>
      <c r="E129" s="98" t="s">
        <v>230</v>
      </c>
    </row>
    <row r="130" spans="1:5" s="99" customFormat="1" ht="13.5">
      <c r="A130" s="98" t="s">
        <v>112</v>
      </c>
      <c r="B130" s="110">
        <f>ROUNDUP(C130*D130/1000,0)</f>
        <v>10</v>
      </c>
      <c r="C130" s="111">
        <v>9200</v>
      </c>
      <c r="D130" s="112">
        <v>1</v>
      </c>
      <c r="E130" s="98" t="s">
        <v>38</v>
      </c>
    </row>
    <row r="131" spans="1:5" s="99" customFormat="1" ht="13.5">
      <c r="A131" s="98" t="s">
        <v>113</v>
      </c>
      <c r="B131" s="113">
        <f aca="true" t="shared" si="8" ref="B131:B139">ROUNDUP(C131*D131/1000,0)</f>
        <v>150</v>
      </c>
      <c r="C131" s="111">
        <f>250000*12*0.05</f>
        <v>150000</v>
      </c>
      <c r="D131" s="112">
        <v>1</v>
      </c>
      <c r="E131" s="98" t="s">
        <v>202</v>
      </c>
    </row>
    <row r="132" spans="1:5" s="99" customFormat="1" ht="13.5">
      <c r="A132" s="98" t="s">
        <v>114</v>
      </c>
      <c r="B132" s="113">
        <f t="shared" si="8"/>
        <v>24</v>
      </c>
      <c r="C132" s="111">
        <f>250000*12*0.0079</f>
        <v>23700.000000000004</v>
      </c>
      <c r="D132" s="112">
        <v>1</v>
      </c>
      <c r="E132" s="98" t="s">
        <v>260</v>
      </c>
    </row>
    <row r="133" spans="1:5" s="99" customFormat="1" ht="13.5">
      <c r="A133" s="98" t="s">
        <v>261</v>
      </c>
      <c r="B133" s="113">
        <f t="shared" si="8"/>
        <v>6</v>
      </c>
      <c r="C133" s="111">
        <f>250000*12*0.002</f>
        <v>6000</v>
      </c>
      <c r="D133" s="112">
        <v>1</v>
      </c>
      <c r="E133" s="98" t="s">
        <v>322</v>
      </c>
    </row>
    <row r="134" spans="1:5" s="99" customFormat="1" ht="13.5">
      <c r="A134" s="98" t="s">
        <v>323</v>
      </c>
      <c r="B134" s="113">
        <f t="shared" si="8"/>
        <v>275</v>
      </c>
      <c r="C134" s="111">
        <f>250000*12*91.5/1000</f>
        <v>274500</v>
      </c>
      <c r="D134" s="112">
        <v>1</v>
      </c>
      <c r="E134" s="98" t="s">
        <v>324</v>
      </c>
    </row>
    <row r="135" spans="1:5" s="99" customFormat="1" ht="13.5">
      <c r="A135" s="98" t="s">
        <v>115</v>
      </c>
      <c r="B135" s="113">
        <f t="shared" si="8"/>
        <v>21</v>
      </c>
      <c r="C135" s="111">
        <f>250000*12*0.007</f>
        <v>21000</v>
      </c>
      <c r="D135" s="112">
        <v>1</v>
      </c>
      <c r="E135" s="98" t="s">
        <v>325</v>
      </c>
    </row>
    <row r="136" spans="1:5" s="99" customFormat="1" ht="13.5">
      <c r="A136" s="98" t="s">
        <v>116</v>
      </c>
      <c r="B136" s="113">
        <f t="shared" si="8"/>
        <v>9</v>
      </c>
      <c r="C136" s="111">
        <f>250000*12*0.003</f>
        <v>9000</v>
      </c>
      <c r="D136" s="112">
        <v>1</v>
      </c>
      <c r="E136" s="98" t="s">
        <v>206</v>
      </c>
    </row>
    <row r="137" spans="1:5" s="99" customFormat="1" ht="13.5">
      <c r="A137" s="126" t="s">
        <v>117</v>
      </c>
      <c r="B137" s="144">
        <f t="shared" si="8"/>
        <v>1</v>
      </c>
      <c r="C137" s="128">
        <f>250000*12*0.00002</f>
        <v>60.00000000000001</v>
      </c>
      <c r="D137" s="129">
        <v>1</v>
      </c>
      <c r="E137" s="126" t="s">
        <v>326</v>
      </c>
    </row>
    <row r="138" spans="1:5" s="153" customFormat="1" ht="13.5">
      <c r="A138" s="135" t="s">
        <v>339</v>
      </c>
      <c r="B138" s="145">
        <f>ROUNDUP(C138*D138/1000,0)</f>
        <v>120</v>
      </c>
      <c r="C138" s="146">
        <v>120000</v>
      </c>
      <c r="D138" s="138">
        <v>1</v>
      </c>
      <c r="E138" s="135" t="s">
        <v>347</v>
      </c>
    </row>
    <row r="139" spans="1:5" s="99" customFormat="1" ht="13.5">
      <c r="A139" s="98" t="s">
        <v>119</v>
      </c>
      <c r="B139" s="113">
        <f t="shared" si="8"/>
        <v>8640</v>
      </c>
      <c r="C139" s="114">
        <v>180000</v>
      </c>
      <c r="D139" s="112">
        <v>48</v>
      </c>
      <c r="E139" s="98" t="s">
        <v>349</v>
      </c>
    </row>
    <row r="140" spans="1:5" s="99" customFormat="1" ht="13.5">
      <c r="A140" s="98" t="s">
        <v>110</v>
      </c>
      <c r="B140" s="110">
        <f>ROUNDUP(C140*D140/1000,0)</f>
        <v>1228</v>
      </c>
      <c r="C140" s="111">
        <f>C139/22/8*1.25</f>
        <v>1278.409090909091</v>
      </c>
      <c r="D140" s="112">
        <v>960</v>
      </c>
      <c r="E140" s="98" t="s">
        <v>350</v>
      </c>
    </row>
    <row r="141" spans="1:5" s="99" customFormat="1" ht="13.5">
      <c r="A141" s="98" t="s">
        <v>112</v>
      </c>
      <c r="B141" s="119">
        <f aca="true" t="shared" si="9" ref="B141:B148">ROUNDUP(C141*D141/1000,0)</f>
        <v>37</v>
      </c>
      <c r="C141" s="120">
        <v>9200</v>
      </c>
      <c r="D141" s="118">
        <v>4</v>
      </c>
      <c r="E141" s="115" t="s">
        <v>38</v>
      </c>
    </row>
    <row r="142" spans="1:5" s="99" customFormat="1" ht="13.5">
      <c r="A142" s="98" t="s">
        <v>113</v>
      </c>
      <c r="B142" s="113">
        <f t="shared" si="9"/>
        <v>432</v>
      </c>
      <c r="C142" s="111">
        <f>180000*12*0.05</f>
        <v>108000</v>
      </c>
      <c r="D142" s="112">
        <v>4</v>
      </c>
      <c r="E142" s="98" t="s">
        <v>203</v>
      </c>
    </row>
    <row r="143" spans="1:5" s="99" customFormat="1" ht="13.5">
      <c r="A143" s="98" t="s">
        <v>114</v>
      </c>
      <c r="B143" s="113">
        <f t="shared" si="9"/>
        <v>69</v>
      </c>
      <c r="C143" s="111">
        <f>180000*12*0.0079</f>
        <v>17064</v>
      </c>
      <c r="D143" s="112">
        <v>4</v>
      </c>
      <c r="E143" s="98" t="s">
        <v>256</v>
      </c>
    </row>
    <row r="144" spans="1:5" s="99" customFormat="1" ht="13.5">
      <c r="A144" s="98" t="s">
        <v>261</v>
      </c>
      <c r="B144" s="113">
        <f t="shared" si="9"/>
        <v>18</v>
      </c>
      <c r="C144" s="111">
        <f>180000*12*0.002</f>
        <v>4320</v>
      </c>
      <c r="D144" s="112">
        <v>4</v>
      </c>
      <c r="E144" s="98" t="s">
        <v>327</v>
      </c>
    </row>
    <row r="145" spans="1:5" s="99" customFormat="1" ht="13.5">
      <c r="A145" s="98" t="s">
        <v>323</v>
      </c>
      <c r="B145" s="113">
        <f t="shared" si="9"/>
        <v>791</v>
      </c>
      <c r="C145" s="111">
        <f>180000*12*91.5/1000</f>
        <v>197640</v>
      </c>
      <c r="D145" s="112">
        <v>4</v>
      </c>
      <c r="E145" s="98" t="s">
        <v>328</v>
      </c>
    </row>
    <row r="146" spans="1:5" s="99" customFormat="1" ht="13.5">
      <c r="A146" s="98" t="s">
        <v>115</v>
      </c>
      <c r="B146" s="113">
        <f t="shared" si="9"/>
        <v>61</v>
      </c>
      <c r="C146" s="111">
        <f>180000*12*0.007</f>
        <v>15120</v>
      </c>
      <c r="D146" s="112">
        <v>4</v>
      </c>
      <c r="E146" s="98" t="s">
        <v>329</v>
      </c>
    </row>
    <row r="147" spans="1:5" s="99" customFormat="1" ht="13.5">
      <c r="A147" s="98" t="s">
        <v>116</v>
      </c>
      <c r="B147" s="113">
        <f t="shared" si="9"/>
        <v>26</v>
      </c>
      <c r="C147" s="111">
        <f>180000*12*0.003</f>
        <v>6480</v>
      </c>
      <c r="D147" s="112">
        <v>4</v>
      </c>
      <c r="E147" s="98" t="s">
        <v>207</v>
      </c>
    </row>
    <row r="148" spans="1:5" s="99" customFormat="1" ht="13.5">
      <c r="A148" s="98" t="s">
        <v>117</v>
      </c>
      <c r="B148" s="116">
        <f t="shared" si="9"/>
        <v>1</v>
      </c>
      <c r="C148" s="120">
        <f>180000*12*0.00002</f>
        <v>43.2</v>
      </c>
      <c r="D148" s="118">
        <v>4</v>
      </c>
      <c r="E148" s="115" t="s">
        <v>330</v>
      </c>
    </row>
    <row r="149" spans="1:5" s="153" customFormat="1" ht="13.5">
      <c r="A149" s="135" t="s">
        <v>339</v>
      </c>
      <c r="B149" s="145">
        <f>ROUNDUP(C149*D149/1000,0)</f>
        <v>480</v>
      </c>
      <c r="C149" s="146">
        <v>120000</v>
      </c>
      <c r="D149" s="138">
        <v>4</v>
      </c>
      <c r="E149" s="135" t="s">
        <v>347</v>
      </c>
    </row>
    <row r="150" spans="1:5" s="99" customFormat="1" ht="15" customHeight="1">
      <c r="A150" s="104" t="s">
        <v>146</v>
      </c>
      <c r="B150" s="105">
        <f>B151+B164</f>
        <v>10964</v>
      </c>
      <c r="C150" s="163"/>
      <c r="D150" s="164"/>
      <c r="E150" s="104"/>
    </row>
    <row r="151" spans="1:5" s="99" customFormat="1" ht="13.5">
      <c r="A151" s="115" t="s">
        <v>120</v>
      </c>
      <c r="B151" s="119">
        <f>SUM(B152:B163)</f>
        <v>2802</v>
      </c>
      <c r="C151" s="120"/>
      <c r="D151" s="118"/>
      <c r="E151" s="115"/>
    </row>
    <row r="152" spans="1:5" s="99" customFormat="1" ht="13.5">
      <c r="A152" s="115" t="s">
        <v>121</v>
      </c>
      <c r="B152" s="119">
        <f aca="true" t="shared" si="10" ref="B152:B163">ROUNDUP(C152*D152/1000,0)</f>
        <v>780</v>
      </c>
      <c r="C152" s="120">
        <v>65000</v>
      </c>
      <c r="D152" s="118">
        <v>12</v>
      </c>
      <c r="E152" s="115" t="s">
        <v>191</v>
      </c>
    </row>
    <row r="153" spans="1:5" s="99" customFormat="1" ht="13.5">
      <c r="A153" s="115" t="s">
        <v>126</v>
      </c>
      <c r="B153" s="119">
        <f t="shared" si="10"/>
        <v>288</v>
      </c>
      <c r="C153" s="120">
        <v>24000</v>
      </c>
      <c r="D153" s="118">
        <v>12</v>
      </c>
      <c r="E153" s="115" t="s">
        <v>192</v>
      </c>
    </row>
    <row r="154" spans="1:5" s="99" customFormat="1" ht="13.5">
      <c r="A154" s="115" t="s">
        <v>122</v>
      </c>
      <c r="B154" s="119">
        <f t="shared" si="10"/>
        <v>360</v>
      </c>
      <c r="C154" s="120">
        <v>30000</v>
      </c>
      <c r="D154" s="118">
        <v>12</v>
      </c>
      <c r="E154" s="115" t="s">
        <v>123</v>
      </c>
    </row>
    <row r="155" spans="1:5" s="99" customFormat="1" ht="13.5">
      <c r="A155" s="115" t="s">
        <v>30</v>
      </c>
      <c r="B155" s="119">
        <f t="shared" si="10"/>
        <v>216</v>
      </c>
      <c r="C155" s="120">
        <v>18000</v>
      </c>
      <c r="D155" s="118">
        <v>12</v>
      </c>
      <c r="E155" s="115" t="s">
        <v>225</v>
      </c>
    </row>
    <row r="156" spans="1:5" s="99" customFormat="1" ht="13.5">
      <c r="A156" s="115" t="s">
        <v>74</v>
      </c>
      <c r="B156" s="119">
        <f t="shared" si="10"/>
        <v>312</v>
      </c>
      <c r="C156" s="120">
        <f>26000*1</f>
        <v>26000</v>
      </c>
      <c r="D156" s="118">
        <v>12</v>
      </c>
      <c r="E156" s="115" t="s">
        <v>75</v>
      </c>
    </row>
    <row r="157" spans="1:5" s="99" customFormat="1" ht="13.5">
      <c r="A157" s="115" t="s">
        <v>76</v>
      </c>
      <c r="B157" s="119">
        <f t="shared" si="10"/>
        <v>123</v>
      </c>
      <c r="C157" s="120">
        <f>10200*1</f>
        <v>10200</v>
      </c>
      <c r="D157" s="118">
        <v>12</v>
      </c>
      <c r="E157" s="115" t="s">
        <v>77</v>
      </c>
    </row>
    <row r="158" spans="1:5" s="99" customFormat="1" ht="13.5">
      <c r="A158" s="115" t="s">
        <v>124</v>
      </c>
      <c r="B158" s="119">
        <f t="shared" si="10"/>
        <v>27</v>
      </c>
      <c r="C158" s="120">
        <v>2200</v>
      </c>
      <c r="D158" s="118">
        <v>12</v>
      </c>
      <c r="E158" s="115" t="s">
        <v>125</v>
      </c>
    </row>
    <row r="159" spans="1:5" s="99" customFormat="1" ht="13.5">
      <c r="A159" s="115" t="s">
        <v>12</v>
      </c>
      <c r="B159" s="119">
        <f t="shared" si="10"/>
        <v>144</v>
      </c>
      <c r="C159" s="120">
        <v>12000</v>
      </c>
      <c r="D159" s="118">
        <v>12</v>
      </c>
      <c r="E159" s="115"/>
    </row>
    <row r="160" spans="1:5" s="99" customFormat="1" ht="13.5">
      <c r="A160" s="115" t="s">
        <v>13</v>
      </c>
      <c r="B160" s="119">
        <f t="shared" si="10"/>
        <v>120</v>
      </c>
      <c r="C160" s="120">
        <v>10000</v>
      </c>
      <c r="D160" s="118">
        <v>12</v>
      </c>
      <c r="E160" s="115"/>
    </row>
    <row r="161" spans="1:5" s="99" customFormat="1" ht="13.5">
      <c r="A161" s="115" t="s">
        <v>78</v>
      </c>
      <c r="B161" s="119">
        <f t="shared" si="10"/>
        <v>144</v>
      </c>
      <c r="C161" s="120">
        <v>12000</v>
      </c>
      <c r="D161" s="118">
        <v>12</v>
      </c>
      <c r="E161" s="115" t="s">
        <v>36</v>
      </c>
    </row>
    <row r="162" spans="1:5" s="99" customFormat="1" ht="13.5">
      <c r="A162" s="115" t="s">
        <v>79</v>
      </c>
      <c r="B162" s="119">
        <f t="shared" si="10"/>
        <v>168</v>
      </c>
      <c r="C162" s="120">
        <v>14000</v>
      </c>
      <c r="D162" s="118">
        <v>12</v>
      </c>
      <c r="E162" s="147" t="s">
        <v>293</v>
      </c>
    </row>
    <row r="163" spans="1:5" s="99" customFormat="1" ht="13.5">
      <c r="A163" s="135" t="s">
        <v>13</v>
      </c>
      <c r="B163" s="136">
        <f t="shared" si="10"/>
        <v>120</v>
      </c>
      <c r="C163" s="137">
        <v>10000</v>
      </c>
      <c r="D163" s="138">
        <v>12</v>
      </c>
      <c r="E163" s="135"/>
    </row>
    <row r="164" spans="1:5" s="99" customFormat="1" ht="13.5">
      <c r="A164" s="98" t="s">
        <v>128</v>
      </c>
      <c r="B164" s="110">
        <f>SUM(B165:B179)</f>
        <v>8162</v>
      </c>
      <c r="C164" s="111"/>
      <c r="D164" s="112"/>
      <c r="E164" s="98"/>
    </row>
    <row r="165" spans="1:5" s="99" customFormat="1" ht="13.5">
      <c r="A165" s="98" t="s">
        <v>129</v>
      </c>
      <c r="B165" s="119">
        <f>ROUNDUP(C165*D165/1000,0)</f>
        <v>1800</v>
      </c>
      <c r="C165" s="120">
        <v>150000</v>
      </c>
      <c r="D165" s="118">
        <v>12</v>
      </c>
      <c r="E165" s="98" t="s">
        <v>193</v>
      </c>
    </row>
    <row r="166" spans="1:5" s="99" customFormat="1" ht="13.5">
      <c r="A166" s="98" t="s">
        <v>130</v>
      </c>
      <c r="B166" s="119">
        <f aca="true" t="shared" si="11" ref="B166:B178">ROUNDUP(C166*D166/1000,0)</f>
        <v>312</v>
      </c>
      <c r="C166" s="120">
        <v>26000</v>
      </c>
      <c r="D166" s="118">
        <v>12</v>
      </c>
      <c r="E166" s="98" t="s">
        <v>194</v>
      </c>
    </row>
    <row r="167" spans="1:5" s="99" customFormat="1" ht="13.5">
      <c r="A167" s="98" t="s">
        <v>133</v>
      </c>
      <c r="B167" s="119">
        <f t="shared" si="11"/>
        <v>1080</v>
      </c>
      <c r="C167" s="120">
        <v>90000</v>
      </c>
      <c r="D167" s="118">
        <v>12</v>
      </c>
      <c r="E167" s="98" t="s">
        <v>131</v>
      </c>
    </row>
    <row r="168" spans="1:5" s="99" customFormat="1" ht="13.5">
      <c r="A168" s="98" t="s">
        <v>132</v>
      </c>
      <c r="B168" s="119">
        <f t="shared" si="11"/>
        <v>840</v>
      </c>
      <c r="C168" s="120">
        <v>70000</v>
      </c>
      <c r="D168" s="118">
        <v>12</v>
      </c>
      <c r="E168" s="98" t="s">
        <v>195</v>
      </c>
    </row>
    <row r="169" spans="1:5" s="99" customFormat="1" ht="13.5">
      <c r="A169" s="98" t="s">
        <v>138</v>
      </c>
      <c r="B169" s="110">
        <f t="shared" si="11"/>
        <v>80</v>
      </c>
      <c r="C169" s="111">
        <v>20000</v>
      </c>
      <c r="D169" s="112">
        <v>4</v>
      </c>
      <c r="E169" s="98" t="s">
        <v>188</v>
      </c>
    </row>
    <row r="170" spans="1:5" s="99" customFormat="1" ht="13.5">
      <c r="A170" s="98" t="s">
        <v>134</v>
      </c>
      <c r="B170" s="110">
        <f t="shared" si="11"/>
        <v>240</v>
      </c>
      <c r="C170" s="111">
        <v>60000</v>
      </c>
      <c r="D170" s="112">
        <v>4</v>
      </c>
      <c r="E170" s="98" t="s">
        <v>139</v>
      </c>
    </row>
    <row r="171" spans="1:5" s="99" customFormat="1" ht="13.5">
      <c r="A171" s="98" t="s">
        <v>141</v>
      </c>
      <c r="B171" s="110">
        <f>ROUNDUP(C171*D171/1000,0)</f>
        <v>50</v>
      </c>
      <c r="C171" s="111">
        <v>50000</v>
      </c>
      <c r="D171" s="112">
        <v>1</v>
      </c>
      <c r="E171" s="98"/>
    </row>
    <row r="172" spans="1:5" s="99" customFormat="1" ht="13.5">
      <c r="A172" s="98" t="s">
        <v>140</v>
      </c>
      <c r="B172" s="110">
        <f t="shared" si="11"/>
        <v>100</v>
      </c>
      <c r="C172" s="111">
        <v>100000</v>
      </c>
      <c r="D172" s="112">
        <v>1</v>
      </c>
      <c r="E172" s="98" t="s">
        <v>142</v>
      </c>
    </row>
    <row r="173" spans="1:5" s="99" customFormat="1" ht="13.5">
      <c r="A173" s="98" t="s">
        <v>135</v>
      </c>
      <c r="B173" s="110">
        <f t="shared" si="11"/>
        <v>100</v>
      </c>
      <c r="C173" s="111">
        <v>100000</v>
      </c>
      <c r="D173" s="112">
        <v>1</v>
      </c>
      <c r="E173" s="98" t="s">
        <v>143</v>
      </c>
    </row>
    <row r="174" spans="1:5" s="99" customFormat="1" ht="13.5">
      <c r="A174" s="98" t="s">
        <v>137</v>
      </c>
      <c r="B174" s="110">
        <f t="shared" si="11"/>
        <v>20</v>
      </c>
      <c r="C174" s="111">
        <v>20000</v>
      </c>
      <c r="D174" s="112">
        <v>1</v>
      </c>
      <c r="E174" s="98" t="s">
        <v>144</v>
      </c>
    </row>
    <row r="175" spans="1:5" s="99" customFormat="1" ht="13.5">
      <c r="A175" s="98" t="s">
        <v>145</v>
      </c>
      <c r="B175" s="110">
        <f t="shared" si="11"/>
        <v>2400</v>
      </c>
      <c r="C175" s="111">
        <v>200000</v>
      </c>
      <c r="D175" s="112">
        <v>12</v>
      </c>
      <c r="E175" s="98" t="s">
        <v>196</v>
      </c>
    </row>
    <row r="176" spans="1:5" s="99" customFormat="1" ht="13.5">
      <c r="A176" s="98" t="s">
        <v>236</v>
      </c>
      <c r="B176" s="110">
        <f t="shared" si="11"/>
        <v>480</v>
      </c>
      <c r="C176" s="111">
        <v>120000</v>
      </c>
      <c r="D176" s="112">
        <v>4</v>
      </c>
      <c r="E176" s="115" t="s">
        <v>148</v>
      </c>
    </row>
    <row r="177" spans="1:5" s="99" customFormat="1" ht="13.5">
      <c r="A177" s="98" t="s">
        <v>237</v>
      </c>
      <c r="B177" s="110">
        <f t="shared" si="11"/>
        <v>90</v>
      </c>
      <c r="C177" s="111">
        <v>30000</v>
      </c>
      <c r="D177" s="112">
        <v>3</v>
      </c>
      <c r="E177" s="115" t="s">
        <v>238</v>
      </c>
    </row>
    <row r="178" spans="1:5" s="99" customFormat="1" ht="13.5">
      <c r="A178" s="115" t="s">
        <v>147</v>
      </c>
      <c r="B178" s="119">
        <f t="shared" si="11"/>
        <v>480</v>
      </c>
      <c r="C178" s="120">
        <v>120000</v>
      </c>
      <c r="D178" s="118">
        <v>4</v>
      </c>
      <c r="E178" s="115" t="s">
        <v>197</v>
      </c>
    </row>
    <row r="179" spans="1:5" s="99" customFormat="1" ht="14.25" thickBot="1">
      <c r="A179" s="135" t="s">
        <v>136</v>
      </c>
      <c r="B179" s="136">
        <f>ROUNDUP(C179*D179/1000,0)</f>
        <v>90</v>
      </c>
      <c r="C179" s="137">
        <v>30000</v>
      </c>
      <c r="D179" s="138">
        <v>3</v>
      </c>
      <c r="E179" s="135" t="s">
        <v>190</v>
      </c>
    </row>
    <row r="180" spans="1:5" s="99" customFormat="1" ht="15" customHeight="1">
      <c r="A180" s="148" t="s">
        <v>154</v>
      </c>
      <c r="B180" s="149">
        <f>B4+B125</f>
        <v>55758</v>
      </c>
      <c r="C180" s="171"/>
      <c r="D180" s="172"/>
      <c r="E180" s="148"/>
    </row>
    <row r="181" spans="1:5" s="99" customFormat="1" ht="15" customHeight="1">
      <c r="A181" s="150" t="s">
        <v>31</v>
      </c>
      <c r="B181" s="151">
        <f>ROUNDDOWN(B180*0.08,0)</f>
        <v>4460</v>
      </c>
      <c r="C181" s="173"/>
      <c r="D181" s="174"/>
      <c r="E181" s="152"/>
    </row>
    <row r="182" spans="1:5" ht="23.25" customHeight="1" thickBot="1">
      <c r="A182" s="10" t="s">
        <v>33</v>
      </c>
      <c r="B182" s="11">
        <f>B180+B181</f>
        <v>60218</v>
      </c>
      <c r="C182" s="175"/>
      <c r="D182" s="176"/>
      <c r="E182" s="15"/>
    </row>
  </sheetData>
  <sheetProtection/>
  <mergeCells count="26">
    <mergeCell ref="A1:E1"/>
    <mergeCell ref="C5:D5"/>
    <mergeCell ref="C6:D6"/>
    <mergeCell ref="C76:D76"/>
    <mergeCell ref="C59:D59"/>
    <mergeCell ref="C60:D60"/>
    <mergeCell ref="C39:D39"/>
    <mergeCell ref="C67:D67"/>
    <mergeCell ref="C3:D3"/>
    <mergeCell ref="C61:D61"/>
    <mergeCell ref="C182:D182"/>
    <mergeCell ref="C181:D181"/>
    <mergeCell ref="C120:D120"/>
    <mergeCell ref="C117:D117"/>
    <mergeCell ref="C180:D180"/>
    <mergeCell ref="C91:D91"/>
    <mergeCell ref="C92:D92"/>
    <mergeCell ref="C106:D106"/>
    <mergeCell ref="C126:D126"/>
    <mergeCell ref="C127:D127"/>
    <mergeCell ref="C150:D150"/>
    <mergeCell ref="C4:D4"/>
    <mergeCell ref="C125:D125"/>
    <mergeCell ref="C116:D116"/>
    <mergeCell ref="C86:D86"/>
    <mergeCell ref="C99:D99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&amp;R&amp;10&amp;A　&amp;P／&amp;N</oddHeader>
    <oddFooter>&amp;C&amp;10&amp;A　&amp;P／&amp;N</oddFooter>
  </headerFooter>
  <rowBreaks count="2" manualBreakCount="2">
    <brk id="66" max="255" man="1"/>
    <brk id="124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81"/>
  <sheetViews>
    <sheetView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41.421875" style="0" customWidth="1"/>
    <col min="2" max="2" width="10.57421875" style="5" customWidth="1"/>
    <col min="3" max="3" width="10.28125" style="5" bestFit="1" customWidth="1"/>
    <col min="4" max="4" width="6.140625" style="5" customWidth="1"/>
    <col min="5" max="5" width="42.57421875" style="16" customWidth="1"/>
  </cols>
  <sheetData>
    <row r="1" spans="1:5" ht="17.25">
      <c r="A1" s="154" t="s">
        <v>294</v>
      </c>
      <c r="B1" s="154"/>
      <c r="C1" s="154"/>
      <c r="D1" s="154"/>
      <c r="E1" s="154"/>
    </row>
    <row r="2" spans="1:5" ht="18" thickBot="1">
      <c r="A2" s="19" t="s">
        <v>63</v>
      </c>
      <c r="B2" s="61"/>
      <c r="C2" s="61"/>
      <c r="D2" s="61"/>
      <c r="E2" s="61"/>
    </row>
    <row r="3" spans="1:5" ht="27.75" thickBot="1">
      <c r="A3" s="2" t="s">
        <v>2</v>
      </c>
      <c r="B3" s="3" t="s">
        <v>24</v>
      </c>
      <c r="C3" s="155" t="s">
        <v>3</v>
      </c>
      <c r="D3" s="156"/>
      <c r="E3" s="2" t="s">
        <v>4</v>
      </c>
    </row>
    <row r="4" spans="1:5" ht="15" customHeight="1" thickBot="1">
      <c r="A4" s="62" t="s">
        <v>152</v>
      </c>
      <c r="B4" s="63">
        <f>B5+B59</f>
        <v>27545</v>
      </c>
      <c r="C4" s="157">
        <f>B4/B179</f>
        <v>0.5114659734472193</v>
      </c>
      <c r="D4" s="158"/>
      <c r="E4" s="64" t="s">
        <v>177</v>
      </c>
    </row>
    <row r="5" spans="1:5" ht="15" customHeight="1">
      <c r="A5" s="1" t="s">
        <v>5</v>
      </c>
      <c r="B5" s="4">
        <f>B6+B39</f>
        <v>12752</v>
      </c>
      <c r="C5" s="159">
        <f>B5/$B$179</f>
        <v>0.23678395692136292</v>
      </c>
      <c r="D5" s="160"/>
      <c r="E5" s="12" t="s">
        <v>150</v>
      </c>
    </row>
    <row r="6" spans="1:5" ht="15" customHeight="1" thickBot="1">
      <c r="A6" s="8" t="s">
        <v>0</v>
      </c>
      <c r="B6" s="9">
        <f>SUM(B7:B38)</f>
        <v>10323</v>
      </c>
      <c r="C6" s="161">
        <f>B6/$B$179</f>
        <v>0.19168136663262464</v>
      </c>
      <c r="D6" s="162"/>
      <c r="E6" s="13" t="s">
        <v>151</v>
      </c>
    </row>
    <row r="7" spans="1:5" s="99" customFormat="1" ht="13.5">
      <c r="A7" s="106" t="s">
        <v>46</v>
      </c>
      <c r="B7" s="107">
        <f>ROUNDUP(C7*D7/1000,0)</f>
        <v>3600</v>
      </c>
      <c r="C7" s="108">
        <v>300000</v>
      </c>
      <c r="D7" s="109">
        <v>12</v>
      </c>
      <c r="E7" s="98" t="s">
        <v>64</v>
      </c>
    </row>
    <row r="8" spans="1:5" s="99" customFormat="1" ht="13.5">
      <c r="A8" s="98" t="s">
        <v>51</v>
      </c>
      <c r="B8" s="110">
        <f>ROUNDUP(C8*D8/1000,0)</f>
        <v>384</v>
      </c>
      <c r="C8" s="111">
        <f>C7/22/8*1.25</f>
        <v>2130.681818181818</v>
      </c>
      <c r="D8" s="112">
        <v>180</v>
      </c>
      <c r="E8" s="98" t="s">
        <v>170</v>
      </c>
    </row>
    <row r="9" spans="1:5" s="99" customFormat="1" ht="13.5">
      <c r="A9" s="98" t="s">
        <v>37</v>
      </c>
      <c r="B9" s="110">
        <f>ROUNDUP(C9*D9/1000,0)</f>
        <v>10</v>
      </c>
      <c r="C9" s="111">
        <v>9200</v>
      </c>
      <c r="D9" s="112">
        <v>1</v>
      </c>
      <c r="E9" s="98" t="s">
        <v>38</v>
      </c>
    </row>
    <row r="10" spans="1:5" s="99" customFormat="1" ht="13.5">
      <c r="A10" s="98" t="s">
        <v>6</v>
      </c>
      <c r="B10" s="113">
        <f aca="true" t="shared" si="0" ref="B10:B37">ROUNDUP(C10*D10/1000,0)</f>
        <v>180</v>
      </c>
      <c r="C10" s="111">
        <f>300000*12*0.05</f>
        <v>180000</v>
      </c>
      <c r="D10" s="112">
        <v>1</v>
      </c>
      <c r="E10" s="98" t="s">
        <v>199</v>
      </c>
    </row>
    <row r="11" spans="1:5" s="99" customFormat="1" ht="13.5">
      <c r="A11" s="98" t="s">
        <v>7</v>
      </c>
      <c r="B11" s="113">
        <f t="shared" si="0"/>
        <v>29</v>
      </c>
      <c r="C11" s="111">
        <f>300000*12*0.0079</f>
        <v>28440.000000000004</v>
      </c>
      <c r="D11" s="112">
        <v>1</v>
      </c>
      <c r="E11" s="98" t="s">
        <v>257</v>
      </c>
    </row>
    <row r="12" spans="1:5" s="99" customFormat="1" ht="13.5">
      <c r="A12" s="98" t="s">
        <v>262</v>
      </c>
      <c r="B12" s="113">
        <f t="shared" si="0"/>
        <v>8</v>
      </c>
      <c r="C12" s="111">
        <f>300000*12*0.002</f>
        <v>7200</v>
      </c>
      <c r="D12" s="112">
        <v>1</v>
      </c>
      <c r="E12" s="98" t="s">
        <v>310</v>
      </c>
    </row>
    <row r="13" spans="1:5" s="99" customFormat="1" ht="13.5">
      <c r="A13" s="98" t="s">
        <v>265</v>
      </c>
      <c r="B13" s="113">
        <f t="shared" si="0"/>
        <v>330</v>
      </c>
      <c r="C13" s="111">
        <f>300000*12*91.5/1000</f>
        <v>329400</v>
      </c>
      <c r="D13" s="112">
        <v>1</v>
      </c>
      <c r="E13" s="98" t="s">
        <v>332</v>
      </c>
    </row>
    <row r="14" spans="1:5" s="99" customFormat="1" ht="13.5">
      <c r="A14" s="98" t="s">
        <v>8</v>
      </c>
      <c r="B14" s="113">
        <f t="shared" si="0"/>
        <v>26</v>
      </c>
      <c r="C14" s="111">
        <f>300000*12*0.007</f>
        <v>25200</v>
      </c>
      <c r="D14" s="112">
        <v>1</v>
      </c>
      <c r="E14" s="115" t="s">
        <v>313</v>
      </c>
    </row>
    <row r="15" spans="1:5" s="99" customFormat="1" ht="13.5">
      <c r="A15" s="98" t="s">
        <v>9</v>
      </c>
      <c r="B15" s="113">
        <f t="shared" si="0"/>
        <v>11</v>
      </c>
      <c r="C15" s="111">
        <f>300000*12*0.003</f>
        <v>10800</v>
      </c>
      <c r="D15" s="112">
        <v>1</v>
      </c>
      <c r="E15" s="98" t="s">
        <v>208</v>
      </c>
    </row>
    <row r="16" spans="1:5" s="99" customFormat="1" ht="13.5">
      <c r="A16" s="98" t="s">
        <v>10</v>
      </c>
      <c r="B16" s="113">
        <f t="shared" si="0"/>
        <v>1</v>
      </c>
      <c r="C16" s="111">
        <f>300000*12*0.00002</f>
        <v>72</v>
      </c>
      <c r="D16" s="112">
        <v>1</v>
      </c>
      <c r="E16" s="98" t="s">
        <v>314</v>
      </c>
    </row>
    <row r="17" spans="1:5" s="99" customFormat="1" ht="13.5">
      <c r="A17" s="98" t="s">
        <v>341</v>
      </c>
      <c r="B17" s="113">
        <f>ROUNDUP(C17*D17/1000,0)</f>
        <v>120</v>
      </c>
      <c r="C17" s="114">
        <v>120000</v>
      </c>
      <c r="D17" s="112">
        <v>1</v>
      </c>
      <c r="E17" s="98" t="s">
        <v>347</v>
      </c>
    </row>
    <row r="18" spans="1:5" s="99" customFormat="1" ht="13.5">
      <c r="A18" s="115" t="s">
        <v>65</v>
      </c>
      <c r="B18" s="116">
        <f t="shared" si="0"/>
        <v>2400</v>
      </c>
      <c r="C18" s="117">
        <v>200000</v>
      </c>
      <c r="D18" s="118">
        <v>12</v>
      </c>
      <c r="E18" s="115" t="s">
        <v>245</v>
      </c>
    </row>
    <row r="19" spans="1:5" s="99" customFormat="1" ht="13.5">
      <c r="A19" s="98" t="s">
        <v>51</v>
      </c>
      <c r="B19" s="110">
        <f>ROUNDUP(C19*D19/1000,0)</f>
        <v>341</v>
      </c>
      <c r="C19" s="111">
        <f>C18/22/8*1.25</f>
        <v>1420.4545454545453</v>
      </c>
      <c r="D19" s="112">
        <v>240</v>
      </c>
      <c r="E19" s="98" t="s">
        <v>246</v>
      </c>
    </row>
    <row r="20" spans="1:5" s="99" customFormat="1" ht="13.5">
      <c r="A20" s="115" t="s">
        <v>66</v>
      </c>
      <c r="B20" s="119">
        <f t="shared" si="0"/>
        <v>10</v>
      </c>
      <c r="C20" s="120">
        <v>9200</v>
      </c>
      <c r="D20" s="118">
        <v>1</v>
      </c>
      <c r="E20" s="115" t="s">
        <v>38</v>
      </c>
    </row>
    <row r="21" spans="1:5" s="99" customFormat="1" ht="13.5">
      <c r="A21" s="98" t="s">
        <v>67</v>
      </c>
      <c r="B21" s="113">
        <f t="shared" si="0"/>
        <v>120</v>
      </c>
      <c r="C21" s="111">
        <f>C18*12*0.05</f>
        <v>120000</v>
      </c>
      <c r="D21" s="112">
        <v>1</v>
      </c>
      <c r="E21" s="98" t="s">
        <v>200</v>
      </c>
    </row>
    <row r="22" spans="1:5" s="99" customFormat="1" ht="13.5">
      <c r="A22" s="98" t="s">
        <v>68</v>
      </c>
      <c r="B22" s="113">
        <f t="shared" si="0"/>
        <v>19</v>
      </c>
      <c r="C22" s="111">
        <f>C18*12*0.0079</f>
        <v>18960.000000000004</v>
      </c>
      <c r="D22" s="112">
        <v>1</v>
      </c>
      <c r="E22" s="98" t="s">
        <v>258</v>
      </c>
    </row>
    <row r="23" spans="1:5" s="99" customFormat="1" ht="13.5">
      <c r="A23" s="98" t="s">
        <v>263</v>
      </c>
      <c r="B23" s="113">
        <f t="shared" si="0"/>
        <v>5</v>
      </c>
      <c r="C23" s="111">
        <f>C18*12*0.002</f>
        <v>4800</v>
      </c>
      <c r="D23" s="112">
        <v>1</v>
      </c>
      <c r="E23" s="98" t="s">
        <v>333</v>
      </c>
    </row>
    <row r="24" spans="1:5" s="99" customFormat="1" ht="13.5">
      <c r="A24" s="98" t="s">
        <v>266</v>
      </c>
      <c r="B24" s="113">
        <f t="shared" si="0"/>
        <v>220</v>
      </c>
      <c r="C24" s="111">
        <f>C18*12*91.5/1000</f>
        <v>219600</v>
      </c>
      <c r="D24" s="112">
        <v>1</v>
      </c>
      <c r="E24" s="98" t="s">
        <v>334</v>
      </c>
    </row>
    <row r="25" spans="1:5" s="99" customFormat="1" ht="13.5">
      <c r="A25" s="98" t="s">
        <v>69</v>
      </c>
      <c r="B25" s="113">
        <f t="shared" si="0"/>
        <v>17</v>
      </c>
      <c r="C25" s="111">
        <f>C18*12*0.007</f>
        <v>16800</v>
      </c>
      <c r="D25" s="112">
        <v>1</v>
      </c>
      <c r="E25" s="98" t="s">
        <v>316</v>
      </c>
    </row>
    <row r="26" spans="1:5" s="99" customFormat="1" ht="13.5">
      <c r="A26" s="98" t="s">
        <v>70</v>
      </c>
      <c r="B26" s="113">
        <f t="shared" si="0"/>
        <v>8</v>
      </c>
      <c r="C26" s="111">
        <f>C18*12*0.003</f>
        <v>7200</v>
      </c>
      <c r="D26" s="112">
        <v>1</v>
      </c>
      <c r="E26" s="98" t="s">
        <v>209</v>
      </c>
    </row>
    <row r="27" spans="1:5" s="99" customFormat="1" ht="13.5">
      <c r="A27" s="98" t="s">
        <v>71</v>
      </c>
      <c r="B27" s="113">
        <f t="shared" si="0"/>
        <v>1</v>
      </c>
      <c r="C27" s="111">
        <f>C18*12*0.00002</f>
        <v>48.00000000000001</v>
      </c>
      <c r="D27" s="112">
        <v>1</v>
      </c>
      <c r="E27" s="98" t="s">
        <v>317</v>
      </c>
    </row>
    <row r="28" spans="1:5" s="99" customFormat="1" ht="13.5">
      <c r="A28" s="98" t="s">
        <v>341</v>
      </c>
      <c r="B28" s="113">
        <f>ROUNDUP(C28*D28/1000,0)</f>
        <v>120</v>
      </c>
      <c r="C28" s="114">
        <v>120000</v>
      </c>
      <c r="D28" s="112">
        <v>1</v>
      </c>
      <c r="E28" s="98" t="s">
        <v>347</v>
      </c>
    </row>
    <row r="29" spans="1:5" s="99" customFormat="1" ht="13.5">
      <c r="A29" s="115" t="s">
        <v>45</v>
      </c>
      <c r="B29" s="116">
        <f t="shared" si="0"/>
        <v>1920</v>
      </c>
      <c r="C29" s="117">
        <v>160000</v>
      </c>
      <c r="D29" s="118">
        <v>12</v>
      </c>
      <c r="E29" s="115" t="s">
        <v>169</v>
      </c>
    </row>
    <row r="30" spans="1:5" s="99" customFormat="1" ht="13.5">
      <c r="A30" s="115" t="s">
        <v>39</v>
      </c>
      <c r="B30" s="119">
        <f t="shared" si="0"/>
        <v>10</v>
      </c>
      <c r="C30" s="120">
        <v>9200</v>
      </c>
      <c r="D30" s="118">
        <v>1</v>
      </c>
      <c r="E30" s="115" t="s">
        <v>38</v>
      </c>
    </row>
    <row r="31" spans="1:5" s="99" customFormat="1" ht="13.5">
      <c r="A31" s="98" t="s">
        <v>40</v>
      </c>
      <c r="B31" s="113">
        <f t="shared" si="0"/>
        <v>96</v>
      </c>
      <c r="C31" s="111">
        <f>160000*12*0.05</f>
        <v>96000</v>
      </c>
      <c r="D31" s="112">
        <v>1</v>
      </c>
      <c r="E31" s="98" t="s">
        <v>201</v>
      </c>
    </row>
    <row r="32" spans="1:5" s="99" customFormat="1" ht="13.5">
      <c r="A32" s="98" t="s">
        <v>41</v>
      </c>
      <c r="B32" s="113">
        <f t="shared" si="0"/>
        <v>16</v>
      </c>
      <c r="C32" s="111">
        <f>160000*12*0.0079</f>
        <v>15168.000000000002</v>
      </c>
      <c r="D32" s="112">
        <v>1</v>
      </c>
      <c r="E32" s="98" t="s">
        <v>259</v>
      </c>
    </row>
    <row r="33" spans="1:5" s="99" customFormat="1" ht="13.5">
      <c r="A33" s="98" t="s">
        <v>264</v>
      </c>
      <c r="B33" s="113">
        <f t="shared" si="0"/>
        <v>4</v>
      </c>
      <c r="C33" s="111">
        <f>160000*12*0.002</f>
        <v>3840</v>
      </c>
      <c r="D33" s="112">
        <v>1</v>
      </c>
      <c r="E33" s="98" t="s">
        <v>335</v>
      </c>
    </row>
    <row r="34" spans="1:5" s="99" customFormat="1" ht="13.5">
      <c r="A34" s="98" t="s">
        <v>267</v>
      </c>
      <c r="B34" s="113">
        <f t="shared" si="0"/>
        <v>176</v>
      </c>
      <c r="C34" s="111">
        <f>160000*12*91.5/1000</f>
        <v>175680</v>
      </c>
      <c r="D34" s="112">
        <v>1</v>
      </c>
      <c r="E34" s="98" t="s">
        <v>336</v>
      </c>
    </row>
    <row r="35" spans="1:5" s="99" customFormat="1" ht="13.5">
      <c r="A35" s="98" t="s">
        <v>42</v>
      </c>
      <c r="B35" s="113">
        <f t="shared" si="0"/>
        <v>14</v>
      </c>
      <c r="C35" s="111">
        <f>160000*12*0.007</f>
        <v>13440</v>
      </c>
      <c r="D35" s="112">
        <v>1</v>
      </c>
      <c r="E35" s="98" t="s">
        <v>319</v>
      </c>
    </row>
    <row r="36" spans="1:5" s="99" customFormat="1" ht="13.5">
      <c r="A36" s="98" t="s">
        <v>43</v>
      </c>
      <c r="B36" s="113">
        <f t="shared" si="0"/>
        <v>6</v>
      </c>
      <c r="C36" s="111">
        <f>160000*12*0.003</f>
        <v>5760</v>
      </c>
      <c r="D36" s="112">
        <v>1</v>
      </c>
      <c r="E36" s="98" t="s">
        <v>205</v>
      </c>
    </row>
    <row r="37" spans="1:5" s="99" customFormat="1" ht="13.5">
      <c r="A37" s="98" t="s">
        <v>44</v>
      </c>
      <c r="B37" s="113">
        <f t="shared" si="0"/>
        <v>1</v>
      </c>
      <c r="C37" s="111">
        <f>160000*12*0.00002</f>
        <v>38.400000000000006</v>
      </c>
      <c r="D37" s="112">
        <v>1</v>
      </c>
      <c r="E37" s="98" t="s">
        <v>320</v>
      </c>
    </row>
    <row r="38" spans="1:5" s="99" customFormat="1" ht="13.5">
      <c r="A38" s="98" t="s">
        <v>342</v>
      </c>
      <c r="B38" s="113">
        <f>ROUNDUP(C38*D38/1000,0)</f>
        <v>120</v>
      </c>
      <c r="C38" s="114">
        <v>120000</v>
      </c>
      <c r="D38" s="112">
        <v>1</v>
      </c>
      <c r="E38" s="98" t="s">
        <v>347</v>
      </c>
    </row>
    <row r="39" spans="1:5" s="99" customFormat="1" ht="15" customHeight="1">
      <c r="A39" s="104" t="s">
        <v>1</v>
      </c>
      <c r="B39" s="105">
        <f>B40+B44+B48+B52+B55</f>
        <v>2429</v>
      </c>
      <c r="C39" s="163"/>
      <c r="D39" s="164"/>
      <c r="E39" s="104"/>
    </row>
    <row r="40" spans="1:5" s="99" customFormat="1" ht="13.5">
      <c r="A40" s="106" t="s">
        <v>80</v>
      </c>
      <c r="B40" s="121">
        <f>SUM(B41:B43)</f>
        <v>158</v>
      </c>
      <c r="C40" s="108"/>
      <c r="D40" s="109"/>
      <c r="E40" s="106"/>
    </row>
    <row r="41" spans="1:5" s="99" customFormat="1" ht="13.5">
      <c r="A41" s="115" t="s">
        <v>81</v>
      </c>
      <c r="B41" s="119">
        <f>ROUNDUP(C41*D41/1000,0)</f>
        <v>59</v>
      </c>
      <c r="C41" s="120">
        <v>29260</v>
      </c>
      <c r="D41" s="118">
        <v>2</v>
      </c>
      <c r="E41" s="115" t="s">
        <v>72</v>
      </c>
    </row>
    <row r="42" spans="1:5" s="99" customFormat="1" ht="13.5">
      <c r="A42" s="115" t="s">
        <v>82</v>
      </c>
      <c r="B42" s="119">
        <f>ROUNDUP(C42*D42/1000,0)</f>
        <v>10</v>
      </c>
      <c r="C42" s="120">
        <v>9860</v>
      </c>
      <c r="D42" s="118">
        <v>1</v>
      </c>
      <c r="E42" s="115" t="s">
        <v>47</v>
      </c>
    </row>
    <row r="43" spans="1:5" s="99" customFormat="1" ht="13.5">
      <c r="A43" s="115" t="s">
        <v>81</v>
      </c>
      <c r="B43" s="119">
        <f>ROUNDUP(C43*D43/1000,0)</f>
        <v>89</v>
      </c>
      <c r="C43" s="120">
        <f>29260+4200+11000</f>
        <v>44460</v>
      </c>
      <c r="D43" s="118">
        <v>2</v>
      </c>
      <c r="E43" s="115" t="s">
        <v>271</v>
      </c>
    </row>
    <row r="44" spans="1:5" s="99" customFormat="1" ht="13.5">
      <c r="A44" s="115" t="s">
        <v>11</v>
      </c>
      <c r="B44" s="119">
        <f>SUM(B45:B47)</f>
        <v>324</v>
      </c>
      <c r="C44" s="122"/>
      <c r="D44" s="123"/>
      <c r="E44" s="115"/>
    </row>
    <row r="45" spans="1:5" s="99" customFormat="1" ht="13.5">
      <c r="A45" s="115" t="s">
        <v>12</v>
      </c>
      <c r="B45" s="119">
        <f>ROUNDUP(C45*D45/1000,0)</f>
        <v>144</v>
      </c>
      <c r="C45" s="120">
        <v>12000</v>
      </c>
      <c r="D45" s="118">
        <v>12</v>
      </c>
      <c r="E45" s="115"/>
    </row>
    <row r="46" spans="1:5" s="99" customFormat="1" ht="13.5">
      <c r="A46" s="115" t="s">
        <v>13</v>
      </c>
      <c r="B46" s="119">
        <f>ROUNDUP(C46*D46/1000,0)</f>
        <v>120</v>
      </c>
      <c r="C46" s="120">
        <v>10000</v>
      </c>
      <c r="D46" s="118">
        <v>12</v>
      </c>
      <c r="E46" s="115"/>
    </row>
    <row r="47" spans="1:5" s="99" customFormat="1" ht="13.5">
      <c r="A47" s="115" t="s">
        <v>14</v>
      </c>
      <c r="B47" s="119">
        <f>ROUNDUP(C47*D47/1000,0)</f>
        <v>60</v>
      </c>
      <c r="C47" s="120">
        <v>5000</v>
      </c>
      <c r="D47" s="118">
        <v>12</v>
      </c>
      <c r="E47" s="115"/>
    </row>
    <row r="48" spans="1:5" s="99" customFormat="1" ht="13.5">
      <c r="A48" s="115" t="s">
        <v>73</v>
      </c>
      <c r="B48" s="119">
        <f>SUM(B49:B51)</f>
        <v>651</v>
      </c>
      <c r="C48" s="120"/>
      <c r="D48" s="118"/>
      <c r="E48" s="115"/>
    </row>
    <row r="49" spans="1:5" s="99" customFormat="1" ht="13.5">
      <c r="A49" s="115" t="s">
        <v>30</v>
      </c>
      <c r="B49" s="119">
        <f>ROUNDUP(C49*D49/1000,0)</f>
        <v>216</v>
      </c>
      <c r="C49" s="120">
        <v>18000</v>
      </c>
      <c r="D49" s="118">
        <v>12</v>
      </c>
      <c r="E49" s="115" t="s">
        <v>272</v>
      </c>
    </row>
    <row r="50" spans="1:5" s="99" customFormat="1" ht="13.5">
      <c r="A50" s="115" t="s">
        <v>74</v>
      </c>
      <c r="B50" s="119">
        <f>ROUNDUP(C50*D50/1000,0)</f>
        <v>312</v>
      </c>
      <c r="C50" s="120">
        <f>26000*1</f>
        <v>26000</v>
      </c>
      <c r="D50" s="118">
        <v>12</v>
      </c>
      <c r="E50" s="115" t="s">
        <v>75</v>
      </c>
    </row>
    <row r="51" spans="1:5" s="99" customFormat="1" ht="13.5">
      <c r="A51" s="115" t="s">
        <v>76</v>
      </c>
      <c r="B51" s="119">
        <f>ROUNDUP(C51*D51/1000,0)</f>
        <v>123</v>
      </c>
      <c r="C51" s="120">
        <f>10200*1</f>
        <v>10200</v>
      </c>
      <c r="D51" s="118">
        <v>12</v>
      </c>
      <c r="E51" s="115" t="s">
        <v>77</v>
      </c>
    </row>
    <row r="52" spans="1:5" s="99" customFormat="1" ht="13.5">
      <c r="A52" s="115" t="s">
        <v>15</v>
      </c>
      <c r="B52" s="119">
        <f>SUM(B53:B54)</f>
        <v>279</v>
      </c>
      <c r="C52" s="120"/>
      <c r="D52" s="118"/>
      <c r="E52" s="115"/>
    </row>
    <row r="53" spans="1:5" s="99" customFormat="1" ht="13.5">
      <c r="A53" s="115" t="s">
        <v>79</v>
      </c>
      <c r="B53" s="119">
        <f>ROUNDUP(C53*D53/1000,0)</f>
        <v>135</v>
      </c>
      <c r="C53" s="120">
        <v>11200</v>
      </c>
      <c r="D53" s="118">
        <v>12</v>
      </c>
      <c r="E53" s="125" t="s">
        <v>168</v>
      </c>
    </row>
    <row r="54" spans="1:5" s="99" customFormat="1" ht="13.5">
      <c r="A54" s="115" t="s">
        <v>78</v>
      </c>
      <c r="B54" s="119">
        <f>ROUNDUP(C54*D54/1000,0)</f>
        <v>144</v>
      </c>
      <c r="C54" s="120">
        <v>12000</v>
      </c>
      <c r="D54" s="118">
        <v>12</v>
      </c>
      <c r="E54" s="115" t="s">
        <v>36</v>
      </c>
    </row>
    <row r="55" spans="1:5" s="99" customFormat="1" ht="13.5">
      <c r="A55" s="115" t="s">
        <v>171</v>
      </c>
      <c r="B55" s="119">
        <f>SUM(B56:B58)</f>
        <v>1017</v>
      </c>
      <c r="C55" s="120"/>
      <c r="D55" s="118"/>
      <c r="E55" s="125"/>
    </row>
    <row r="56" spans="1:5" s="99" customFormat="1" ht="15" customHeight="1">
      <c r="A56" s="115" t="s">
        <v>121</v>
      </c>
      <c r="B56" s="119">
        <f>ROUNDUP(C56*D56/1000,0)</f>
        <v>585</v>
      </c>
      <c r="C56" s="120">
        <v>65000</v>
      </c>
      <c r="D56" s="118">
        <v>9</v>
      </c>
      <c r="E56" s="115" t="s">
        <v>183</v>
      </c>
    </row>
    <row r="57" spans="1:5" s="99" customFormat="1" ht="15" customHeight="1">
      <c r="A57" s="115" t="s">
        <v>231</v>
      </c>
      <c r="B57" s="119">
        <f>ROUNDUP(C57*D57/1000,0)</f>
        <v>162</v>
      </c>
      <c r="C57" s="120">
        <v>18000</v>
      </c>
      <c r="D57" s="118">
        <v>9</v>
      </c>
      <c r="E57" s="115" t="s">
        <v>291</v>
      </c>
    </row>
    <row r="58" spans="1:5" s="99" customFormat="1" ht="15" customHeight="1" thickBot="1">
      <c r="A58" s="126" t="s">
        <v>122</v>
      </c>
      <c r="B58" s="127">
        <f>ROUNDUP(C58*D58/1000,0)</f>
        <v>270</v>
      </c>
      <c r="C58" s="128">
        <v>30000</v>
      </c>
      <c r="D58" s="129">
        <v>9</v>
      </c>
      <c r="E58" s="126" t="s">
        <v>123</v>
      </c>
    </row>
    <row r="59" spans="1:5" s="99" customFormat="1" ht="14.25" thickTop="1">
      <c r="A59" s="130" t="s">
        <v>16</v>
      </c>
      <c r="B59" s="131">
        <f>B60+B91+B116</f>
        <v>14793</v>
      </c>
      <c r="C59" s="165"/>
      <c r="D59" s="166"/>
      <c r="E59" s="87"/>
    </row>
    <row r="60" spans="1:5" s="99" customFormat="1" ht="13.5">
      <c r="A60" s="132" t="s">
        <v>17</v>
      </c>
      <c r="B60" s="133">
        <f>B61+B67+B76+B86</f>
        <v>5512</v>
      </c>
      <c r="C60" s="167"/>
      <c r="D60" s="168"/>
      <c r="E60" s="132"/>
    </row>
    <row r="61" spans="1:5" s="99" customFormat="1" ht="13.5">
      <c r="A61" s="104" t="s">
        <v>274</v>
      </c>
      <c r="B61" s="105">
        <f>SUM(B62:B66)</f>
        <v>1275</v>
      </c>
      <c r="C61" s="163"/>
      <c r="D61" s="164"/>
      <c r="E61" s="104"/>
    </row>
    <row r="62" spans="1:5" s="99" customFormat="1" ht="13.5">
      <c r="A62" s="106" t="s">
        <v>18</v>
      </c>
      <c r="B62" s="121">
        <f>ROUNDUP(C62*D62/1000,0)</f>
        <v>800</v>
      </c>
      <c r="C62" s="108">
        <v>100000</v>
      </c>
      <c r="D62" s="109">
        <v>8</v>
      </c>
      <c r="E62" s="106" t="s">
        <v>88</v>
      </c>
    </row>
    <row r="63" spans="1:5" s="99" customFormat="1" ht="13.5">
      <c r="A63" s="115" t="s">
        <v>35</v>
      </c>
      <c r="B63" s="119">
        <f>ROUNDUP(C63*D63/1000,0)</f>
        <v>235</v>
      </c>
      <c r="C63" s="120">
        <f>29260</f>
        <v>29260</v>
      </c>
      <c r="D63" s="118">
        <v>8</v>
      </c>
      <c r="E63" s="134" t="s">
        <v>83</v>
      </c>
    </row>
    <row r="64" spans="1:5" s="99" customFormat="1" ht="13.5">
      <c r="A64" s="115" t="s">
        <v>20</v>
      </c>
      <c r="B64" s="119">
        <f>ROUNDUP(C64*D64/1000,0)</f>
        <v>120</v>
      </c>
      <c r="C64" s="111">
        <v>15000</v>
      </c>
      <c r="D64" s="112">
        <v>8</v>
      </c>
      <c r="E64" s="98" t="s">
        <v>210</v>
      </c>
    </row>
    <row r="65" spans="1:5" s="99" customFormat="1" ht="15" customHeight="1">
      <c r="A65" s="115" t="s">
        <v>84</v>
      </c>
      <c r="B65" s="119">
        <f>ROUNDUP(C65*D65/1000,0)</f>
        <v>40</v>
      </c>
      <c r="C65" s="120">
        <v>5000</v>
      </c>
      <c r="D65" s="118">
        <v>8</v>
      </c>
      <c r="E65" s="115" t="s">
        <v>211</v>
      </c>
    </row>
    <row r="66" spans="1:5" s="99" customFormat="1" ht="13.5">
      <c r="A66" s="135" t="s">
        <v>21</v>
      </c>
      <c r="B66" s="136">
        <f>ROUNDUP(C66*D66/1000,0)</f>
        <v>80</v>
      </c>
      <c r="C66" s="137">
        <v>80000</v>
      </c>
      <c r="D66" s="138">
        <v>1</v>
      </c>
      <c r="E66" s="135" t="s">
        <v>48</v>
      </c>
    </row>
    <row r="67" spans="1:5" s="99" customFormat="1" ht="13.5">
      <c r="A67" s="104" t="s">
        <v>212</v>
      </c>
      <c r="B67" s="105">
        <f>SUM(B68:B75)</f>
        <v>1973</v>
      </c>
      <c r="C67" s="163"/>
      <c r="D67" s="164"/>
      <c r="E67" s="104"/>
    </row>
    <row r="68" spans="1:5" s="99" customFormat="1" ht="13.5">
      <c r="A68" s="106" t="s">
        <v>18</v>
      </c>
      <c r="B68" s="121">
        <f aca="true" t="shared" si="1" ref="B68:B75">ROUNDUP(C68*D68/1000,0)</f>
        <v>1200</v>
      </c>
      <c r="C68" s="108">
        <v>100000</v>
      </c>
      <c r="D68" s="109">
        <v>12</v>
      </c>
      <c r="E68" s="106" t="s">
        <v>239</v>
      </c>
    </row>
    <row r="69" spans="1:5" s="99" customFormat="1" ht="13.5">
      <c r="A69" s="115" t="s">
        <v>35</v>
      </c>
      <c r="B69" s="119">
        <f t="shared" si="1"/>
        <v>352</v>
      </c>
      <c r="C69" s="120">
        <f>29260</f>
        <v>29260</v>
      </c>
      <c r="D69" s="118">
        <v>12</v>
      </c>
      <c r="E69" s="134" t="s">
        <v>83</v>
      </c>
    </row>
    <row r="70" spans="1:5" s="99" customFormat="1" ht="13.5">
      <c r="A70" s="115" t="s">
        <v>86</v>
      </c>
      <c r="B70" s="119">
        <f t="shared" si="1"/>
        <v>30</v>
      </c>
      <c r="C70" s="120">
        <v>10000</v>
      </c>
      <c r="D70" s="112">
        <v>3</v>
      </c>
      <c r="E70" s="98" t="s">
        <v>240</v>
      </c>
    </row>
    <row r="71" spans="1:5" s="99" customFormat="1" ht="13.5">
      <c r="A71" s="115" t="s">
        <v>20</v>
      </c>
      <c r="B71" s="119">
        <f t="shared" si="1"/>
        <v>135</v>
      </c>
      <c r="C71" s="111">
        <v>15000</v>
      </c>
      <c r="D71" s="112">
        <v>9</v>
      </c>
      <c r="E71" s="98" t="s">
        <v>277</v>
      </c>
    </row>
    <row r="72" spans="1:5" s="99" customFormat="1" ht="15" customHeight="1">
      <c r="A72" s="115" t="s">
        <v>84</v>
      </c>
      <c r="B72" s="119">
        <f t="shared" si="1"/>
        <v>45</v>
      </c>
      <c r="C72" s="120">
        <v>5000</v>
      </c>
      <c r="D72" s="118">
        <v>9</v>
      </c>
      <c r="E72" s="115" t="s">
        <v>278</v>
      </c>
    </row>
    <row r="73" spans="1:5" s="99" customFormat="1" ht="13.5">
      <c r="A73" s="115" t="s">
        <v>28</v>
      </c>
      <c r="B73" s="119">
        <f t="shared" si="1"/>
        <v>86</v>
      </c>
      <c r="C73" s="120">
        <v>28500</v>
      </c>
      <c r="D73" s="118">
        <v>3</v>
      </c>
      <c r="E73" s="115" t="s">
        <v>241</v>
      </c>
    </row>
    <row r="74" spans="1:5" s="99" customFormat="1" ht="13.5">
      <c r="A74" s="126" t="s">
        <v>34</v>
      </c>
      <c r="B74" s="127">
        <f t="shared" si="1"/>
        <v>45</v>
      </c>
      <c r="C74" s="128">
        <v>1000</v>
      </c>
      <c r="D74" s="129">
        <v>45</v>
      </c>
      <c r="E74" s="126" t="s">
        <v>242</v>
      </c>
    </row>
    <row r="75" spans="1:5" s="99" customFormat="1" ht="13.5">
      <c r="A75" s="135" t="s">
        <v>21</v>
      </c>
      <c r="B75" s="136">
        <f t="shared" si="1"/>
        <v>80</v>
      </c>
      <c r="C75" s="137">
        <v>80000</v>
      </c>
      <c r="D75" s="138">
        <v>1</v>
      </c>
      <c r="E75" s="135" t="s">
        <v>48</v>
      </c>
    </row>
    <row r="76" spans="1:5" s="99" customFormat="1" ht="13.5">
      <c r="A76" s="104" t="s">
        <v>232</v>
      </c>
      <c r="B76" s="105">
        <f>B77</f>
        <v>1724</v>
      </c>
      <c r="C76" s="163"/>
      <c r="D76" s="164"/>
      <c r="E76" s="104"/>
    </row>
    <row r="77" spans="1:5" s="99" customFormat="1" ht="13.5">
      <c r="A77" s="106" t="s">
        <v>157</v>
      </c>
      <c r="B77" s="121">
        <f>SUM(B78:B85)</f>
        <v>1724</v>
      </c>
      <c r="C77" s="108"/>
      <c r="D77" s="109"/>
      <c r="E77" s="106"/>
    </row>
    <row r="78" spans="1:5" s="99" customFormat="1" ht="13.5">
      <c r="A78" s="98" t="s">
        <v>18</v>
      </c>
      <c r="B78" s="119">
        <f>ROUNDUP(C78*D78/1000,0)</f>
        <v>1000</v>
      </c>
      <c r="C78" s="111">
        <v>100000</v>
      </c>
      <c r="D78" s="112">
        <v>10</v>
      </c>
      <c r="E78" s="98" t="s">
        <v>243</v>
      </c>
    </row>
    <row r="79" spans="1:5" s="99" customFormat="1" ht="13.5">
      <c r="A79" s="115" t="s">
        <v>19</v>
      </c>
      <c r="B79" s="119">
        <f>ROUNDUP(C79*D79/1000,0)</f>
        <v>293</v>
      </c>
      <c r="C79" s="120">
        <f>29260</f>
        <v>29260</v>
      </c>
      <c r="D79" s="118">
        <v>10</v>
      </c>
      <c r="E79" s="115"/>
    </row>
    <row r="80" spans="1:5" s="99" customFormat="1" ht="13.5">
      <c r="A80" s="115" t="s">
        <v>20</v>
      </c>
      <c r="B80" s="127">
        <f>ROUNDUP(C80*D80/1000,0)</f>
        <v>130</v>
      </c>
      <c r="C80" s="111">
        <v>13000</v>
      </c>
      <c r="D80" s="112">
        <v>10</v>
      </c>
      <c r="E80" s="98" t="s">
        <v>279</v>
      </c>
    </row>
    <row r="81" spans="1:5" s="99" customFormat="1" ht="13.5">
      <c r="A81" s="115" t="s">
        <v>280</v>
      </c>
      <c r="B81" s="119">
        <f>ROUNDUP(C81*D81/1000,0)</f>
        <v>136</v>
      </c>
      <c r="C81" s="120">
        <v>6800</v>
      </c>
      <c r="D81" s="118">
        <v>20</v>
      </c>
      <c r="E81" s="115" t="s">
        <v>281</v>
      </c>
    </row>
    <row r="82" spans="1:5" s="99" customFormat="1" ht="15" customHeight="1">
      <c r="A82" s="115" t="s">
        <v>89</v>
      </c>
      <c r="B82" s="110">
        <f aca="true" t="shared" si="2" ref="B82:B90">ROUNDUP(C82*D82/1000,0)</f>
        <v>60</v>
      </c>
      <c r="C82" s="120">
        <v>3000</v>
      </c>
      <c r="D82" s="118">
        <v>20</v>
      </c>
      <c r="E82" s="115" t="s">
        <v>283</v>
      </c>
    </row>
    <row r="83" spans="1:5" s="99" customFormat="1" ht="13.5">
      <c r="A83" s="126" t="s">
        <v>90</v>
      </c>
      <c r="B83" s="119">
        <f t="shared" si="2"/>
        <v>5</v>
      </c>
      <c r="C83" s="128">
        <v>5000</v>
      </c>
      <c r="D83" s="129">
        <v>1</v>
      </c>
      <c r="E83" s="126" t="s">
        <v>91</v>
      </c>
    </row>
    <row r="84" spans="1:5" s="99" customFormat="1" ht="13.5">
      <c r="A84" s="126" t="s">
        <v>34</v>
      </c>
      <c r="B84" s="127">
        <f t="shared" si="2"/>
        <v>20</v>
      </c>
      <c r="C84" s="128">
        <v>1000</v>
      </c>
      <c r="D84" s="129">
        <v>20</v>
      </c>
      <c r="E84" s="126" t="s">
        <v>285</v>
      </c>
    </row>
    <row r="85" spans="1:5" s="99" customFormat="1" ht="13.5">
      <c r="A85" s="135" t="s">
        <v>21</v>
      </c>
      <c r="B85" s="136">
        <f t="shared" si="2"/>
        <v>80</v>
      </c>
      <c r="C85" s="137">
        <v>80000</v>
      </c>
      <c r="D85" s="138">
        <v>1</v>
      </c>
      <c r="E85" s="135" t="s">
        <v>48</v>
      </c>
    </row>
    <row r="86" spans="1:5" s="99" customFormat="1" ht="13.5">
      <c r="A86" s="104" t="s">
        <v>219</v>
      </c>
      <c r="B86" s="105">
        <f>SUM(B87:B90)</f>
        <v>540</v>
      </c>
      <c r="C86" s="163"/>
      <c r="D86" s="164"/>
      <c r="E86" s="104"/>
    </row>
    <row r="87" spans="1:5" s="99" customFormat="1" ht="15" customHeight="1">
      <c r="A87" s="115" t="s">
        <v>20</v>
      </c>
      <c r="B87" s="119">
        <f>ROUNDUP(C87*D87/1000,0)</f>
        <v>160</v>
      </c>
      <c r="C87" s="120">
        <v>40000</v>
      </c>
      <c r="D87" s="118">
        <v>4</v>
      </c>
      <c r="E87" s="115" t="s">
        <v>244</v>
      </c>
    </row>
    <row r="88" spans="1:5" s="99" customFormat="1" ht="15" customHeight="1">
      <c r="A88" s="115" t="s">
        <v>94</v>
      </c>
      <c r="B88" s="119">
        <f>ROUNDUP(C88*D88/1000,0)</f>
        <v>60</v>
      </c>
      <c r="C88" s="120">
        <v>15000</v>
      </c>
      <c r="D88" s="118">
        <v>4</v>
      </c>
      <c r="E88" s="115"/>
    </row>
    <row r="89" spans="1:5" s="99" customFormat="1" ht="13.5">
      <c r="A89" s="98" t="s">
        <v>93</v>
      </c>
      <c r="B89" s="110">
        <f>ROUNDUP(C89*D89/1000,0)</f>
        <v>140</v>
      </c>
      <c r="C89" s="111">
        <v>350</v>
      </c>
      <c r="D89" s="112">
        <v>400</v>
      </c>
      <c r="E89" s="98" t="s">
        <v>286</v>
      </c>
    </row>
    <row r="90" spans="1:5" s="99" customFormat="1" ht="13.5">
      <c r="A90" s="135" t="s">
        <v>27</v>
      </c>
      <c r="B90" s="136">
        <f t="shared" si="2"/>
        <v>180</v>
      </c>
      <c r="C90" s="137">
        <v>180000</v>
      </c>
      <c r="D90" s="138">
        <v>1</v>
      </c>
      <c r="E90" s="135" t="s">
        <v>96</v>
      </c>
    </row>
    <row r="91" spans="1:5" s="99" customFormat="1" ht="13.5">
      <c r="A91" s="132" t="s">
        <v>22</v>
      </c>
      <c r="B91" s="133">
        <f>B92+B99+B106</f>
        <v>8242</v>
      </c>
      <c r="C91" s="167"/>
      <c r="D91" s="168"/>
      <c r="E91" s="132"/>
    </row>
    <row r="92" spans="1:5" s="99" customFormat="1" ht="13.5">
      <c r="A92" s="104" t="s">
        <v>97</v>
      </c>
      <c r="B92" s="105">
        <f>SUM(B93:B98)</f>
        <v>1778</v>
      </c>
      <c r="C92" s="163"/>
      <c r="D92" s="164"/>
      <c r="E92" s="104"/>
    </row>
    <row r="93" spans="1:5" s="99" customFormat="1" ht="13.5">
      <c r="A93" s="98" t="s">
        <v>18</v>
      </c>
      <c r="B93" s="110">
        <f aca="true" t="shared" si="3" ref="B93:B98">ROUNDUP(C93*D93/1000,0)</f>
        <v>1000</v>
      </c>
      <c r="C93" s="111">
        <v>100000</v>
      </c>
      <c r="D93" s="112">
        <v>10</v>
      </c>
      <c r="E93" s="98" t="s">
        <v>221</v>
      </c>
    </row>
    <row r="94" spans="1:5" s="99" customFormat="1" ht="13.5">
      <c r="A94" s="115" t="s">
        <v>35</v>
      </c>
      <c r="B94" s="119">
        <f t="shared" si="3"/>
        <v>176</v>
      </c>
      <c r="C94" s="120">
        <f>29260</f>
        <v>29260</v>
      </c>
      <c r="D94" s="118">
        <v>6</v>
      </c>
      <c r="E94" s="115" t="s">
        <v>163</v>
      </c>
    </row>
    <row r="95" spans="1:5" s="99" customFormat="1" ht="15" customHeight="1">
      <c r="A95" s="115" t="s">
        <v>20</v>
      </c>
      <c r="B95" s="119">
        <f t="shared" si="3"/>
        <v>130</v>
      </c>
      <c r="C95" s="111">
        <v>13000</v>
      </c>
      <c r="D95" s="112">
        <v>10</v>
      </c>
      <c r="E95" s="98" t="s">
        <v>222</v>
      </c>
    </row>
    <row r="96" spans="1:5" s="99" customFormat="1" ht="13.5">
      <c r="A96" s="115" t="s">
        <v>98</v>
      </c>
      <c r="B96" s="119">
        <f t="shared" si="3"/>
        <v>272</v>
      </c>
      <c r="C96" s="120">
        <v>6800</v>
      </c>
      <c r="D96" s="118">
        <v>40</v>
      </c>
      <c r="E96" s="115" t="s">
        <v>180</v>
      </c>
    </row>
    <row r="97" spans="1:5" s="99" customFormat="1" ht="13.5">
      <c r="A97" s="126" t="s">
        <v>90</v>
      </c>
      <c r="B97" s="119">
        <f t="shared" si="3"/>
        <v>20</v>
      </c>
      <c r="C97" s="128">
        <v>5000</v>
      </c>
      <c r="D97" s="129">
        <v>4</v>
      </c>
      <c r="E97" s="126" t="s">
        <v>100</v>
      </c>
    </row>
    <row r="98" spans="1:5" s="99" customFormat="1" ht="13.5">
      <c r="A98" s="135" t="s">
        <v>27</v>
      </c>
      <c r="B98" s="136">
        <f t="shared" si="3"/>
        <v>180</v>
      </c>
      <c r="C98" s="137">
        <v>180000</v>
      </c>
      <c r="D98" s="138">
        <v>1</v>
      </c>
      <c r="E98" s="135" t="s">
        <v>96</v>
      </c>
    </row>
    <row r="99" spans="1:5" s="99" customFormat="1" ht="13.5">
      <c r="A99" s="104" t="s">
        <v>99</v>
      </c>
      <c r="B99" s="105">
        <f>SUM(B100:B105)</f>
        <v>3304</v>
      </c>
      <c r="C99" s="163"/>
      <c r="D99" s="164"/>
      <c r="E99" s="104"/>
    </row>
    <row r="100" spans="1:5" s="99" customFormat="1" ht="13.5">
      <c r="A100" s="98" t="s">
        <v>18</v>
      </c>
      <c r="B100" s="110">
        <f aca="true" t="shared" si="4" ref="B100:B105">ROUNDUP(C100*D100/1000,0)</f>
        <v>2100</v>
      </c>
      <c r="C100" s="111">
        <v>100000</v>
      </c>
      <c r="D100" s="112">
        <v>21</v>
      </c>
      <c r="E100" s="98" t="s">
        <v>337</v>
      </c>
    </row>
    <row r="101" spans="1:5" s="99" customFormat="1" ht="13.5">
      <c r="A101" s="115" t="s">
        <v>35</v>
      </c>
      <c r="B101" s="119">
        <f t="shared" si="4"/>
        <v>352</v>
      </c>
      <c r="C101" s="120">
        <f>29260</f>
        <v>29260</v>
      </c>
      <c r="D101" s="118">
        <v>12</v>
      </c>
      <c r="E101" s="115" t="s">
        <v>166</v>
      </c>
    </row>
    <row r="102" spans="1:5" s="99" customFormat="1" ht="15" customHeight="1">
      <c r="A102" s="115" t="s">
        <v>20</v>
      </c>
      <c r="B102" s="119">
        <f t="shared" si="4"/>
        <v>234</v>
      </c>
      <c r="C102" s="111">
        <v>13000</v>
      </c>
      <c r="D102" s="112">
        <v>18</v>
      </c>
      <c r="E102" s="98" t="s">
        <v>181</v>
      </c>
    </row>
    <row r="103" spans="1:5" s="99" customFormat="1" ht="13.5">
      <c r="A103" s="115" t="s">
        <v>98</v>
      </c>
      <c r="B103" s="119">
        <f t="shared" si="4"/>
        <v>408</v>
      </c>
      <c r="C103" s="120">
        <v>6800</v>
      </c>
      <c r="D103" s="118">
        <v>60</v>
      </c>
      <c r="E103" s="115" t="s">
        <v>182</v>
      </c>
    </row>
    <row r="104" spans="1:5" s="99" customFormat="1" ht="13.5">
      <c r="A104" s="126" t="s">
        <v>90</v>
      </c>
      <c r="B104" s="119">
        <f t="shared" si="4"/>
        <v>30</v>
      </c>
      <c r="C104" s="128">
        <v>5000</v>
      </c>
      <c r="D104" s="129">
        <v>6</v>
      </c>
      <c r="E104" s="126" t="s">
        <v>172</v>
      </c>
    </row>
    <row r="105" spans="1:5" s="99" customFormat="1" ht="13.5">
      <c r="A105" s="135" t="s">
        <v>27</v>
      </c>
      <c r="B105" s="136">
        <f t="shared" si="4"/>
        <v>180</v>
      </c>
      <c r="C105" s="137">
        <v>180000</v>
      </c>
      <c r="D105" s="138">
        <v>1</v>
      </c>
      <c r="E105" s="135" t="s">
        <v>96</v>
      </c>
    </row>
    <row r="106" spans="1:5" s="99" customFormat="1" ht="13.5">
      <c r="A106" s="104" t="s">
        <v>101</v>
      </c>
      <c r="B106" s="105">
        <f>SUM(B107:B115)</f>
        <v>3160</v>
      </c>
      <c r="C106" s="163"/>
      <c r="D106" s="164"/>
      <c r="E106" s="104"/>
    </row>
    <row r="107" spans="1:5" s="99" customFormat="1" ht="13.5">
      <c r="A107" s="98" t="s">
        <v>18</v>
      </c>
      <c r="B107" s="110">
        <f aca="true" t="shared" si="5" ref="B107:B112">ROUNDUP(C107*D107/1000,0)</f>
        <v>1200</v>
      </c>
      <c r="C107" s="111">
        <v>50000</v>
      </c>
      <c r="D107" s="112">
        <v>24</v>
      </c>
      <c r="E107" s="98" t="s">
        <v>229</v>
      </c>
    </row>
    <row r="108" spans="1:5" s="99" customFormat="1" ht="13.5">
      <c r="A108" s="115" t="s">
        <v>35</v>
      </c>
      <c r="B108" s="119">
        <f t="shared" si="5"/>
        <v>703</v>
      </c>
      <c r="C108" s="120">
        <f>29260</f>
        <v>29260</v>
      </c>
      <c r="D108" s="118">
        <v>24</v>
      </c>
      <c r="E108" s="115" t="s">
        <v>165</v>
      </c>
    </row>
    <row r="109" spans="1:5" s="99" customFormat="1" ht="13.5">
      <c r="A109" s="115" t="s">
        <v>20</v>
      </c>
      <c r="B109" s="119">
        <f t="shared" si="5"/>
        <v>312</v>
      </c>
      <c r="C109" s="111">
        <v>13000</v>
      </c>
      <c r="D109" s="112">
        <v>24</v>
      </c>
      <c r="E109" s="98" t="s">
        <v>288</v>
      </c>
    </row>
    <row r="110" spans="1:5" s="99" customFormat="1" ht="13.5">
      <c r="A110" s="115" t="s">
        <v>104</v>
      </c>
      <c r="B110" s="119">
        <f t="shared" si="5"/>
        <v>408</v>
      </c>
      <c r="C110" s="120">
        <v>6800</v>
      </c>
      <c r="D110" s="118">
        <v>60</v>
      </c>
      <c r="E110" s="115" t="s">
        <v>182</v>
      </c>
    </row>
    <row r="111" spans="1:5" s="99" customFormat="1" ht="13.5">
      <c r="A111" s="126" t="s">
        <v>105</v>
      </c>
      <c r="B111" s="119">
        <f t="shared" si="5"/>
        <v>30</v>
      </c>
      <c r="C111" s="128">
        <v>5000</v>
      </c>
      <c r="D111" s="129">
        <v>6</v>
      </c>
      <c r="E111" s="126" t="s">
        <v>172</v>
      </c>
    </row>
    <row r="112" spans="1:5" s="99" customFormat="1" ht="13.5">
      <c r="A112" s="115" t="s">
        <v>106</v>
      </c>
      <c r="B112" s="119">
        <f t="shared" si="5"/>
        <v>189</v>
      </c>
      <c r="C112" s="120">
        <v>3150</v>
      </c>
      <c r="D112" s="118">
        <v>60</v>
      </c>
      <c r="E112" s="115" t="s">
        <v>290</v>
      </c>
    </row>
    <row r="113" spans="1:5" s="99" customFormat="1" ht="13.5">
      <c r="A113" s="115" t="s">
        <v>102</v>
      </c>
      <c r="B113" s="119">
        <f>ROUNDUP(C113*D113/1000,0)</f>
        <v>78</v>
      </c>
      <c r="C113" s="120">
        <v>26000</v>
      </c>
      <c r="D113" s="118">
        <v>3</v>
      </c>
      <c r="E113" s="115" t="s">
        <v>173</v>
      </c>
    </row>
    <row r="114" spans="1:5" s="99" customFormat="1" ht="13.5">
      <c r="A114" s="126" t="s">
        <v>103</v>
      </c>
      <c r="B114" s="127">
        <f>ROUNDUP(C114*D114/1000,0)</f>
        <v>60</v>
      </c>
      <c r="C114" s="128">
        <v>20000</v>
      </c>
      <c r="D114" s="129">
        <v>3</v>
      </c>
      <c r="E114" s="126" t="s">
        <v>174</v>
      </c>
    </row>
    <row r="115" spans="1:5" s="99" customFormat="1" ht="13.5">
      <c r="A115" s="135" t="s">
        <v>233</v>
      </c>
      <c r="B115" s="136">
        <f>ROUNDUP(C115*D115/1000,0)</f>
        <v>180</v>
      </c>
      <c r="C115" s="137">
        <v>180000</v>
      </c>
      <c r="D115" s="138">
        <v>1</v>
      </c>
      <c r="E115" s="135" t="s">
        <v>29</v>
      </c>
    </row>
    <row r="116" spans="1:5" s="99" customFormat="1" ht="13.5">
      <c r="A116" s="132" t="s">
        <v>23</v>
      </c>
      <c r="B116" s="133">
        <f>B117+B120</f>
        <v>1039</v>
      </c>
      <c r="C116" s="169">
        <f>B116/$B$91</f>
        <v>0.12606163552535793</v>
      </c>
      <c r="D116" s="170"/>
      <c r="E116" s="14" t="s">
        <v>32</v>
      </c>
    </row>
    <row r="117" spans="1:5" s="99" customFormat="1" ht="13.5">
      <c r="A117" s="104" t="s">
        <v>107</v>
      </c>
      <c r="B117" s="105">
        <f>SUM(B118:B119)</f>
        <v>154</v>
      </c>
      <c r="C117" s="163"/>
      <c r="D117" s="164"/>
      <c r="E117" s="104"/>
    </row>
    <row r="118" spans="1:5" s="99" customFormat="1" ht="15" customHeight="1">
      <c r="A118" s="115" t="s">
        <v>26</v>
      </c>
      <c r="B118" s="119">
        <f>ROUNDUP(C118*D118/1000,0)</f>
        <v>60</v>
      </c>
      <c r="C118" s="120">
        <v>5000</v>
      </c>
      <c r="D118" s="118">
        <v>12</v>
      </c>
      <c r="E118" s="115" t="s">
        <v>52</v>
      </c>
    </row>
    <row r="119" spans="1:5" s="99" customFormat="1" ht="13.5">
      <c r="A119" s="126" t="s">
        <v>50</v>
      </c>
      <c r="B119" s="127">
        <f>ROUNDUP(C119*D119/1000,0)</f>
        <v>94</v>
      </c>
      <c r="C119" s="128">
        <v>7800</v>
      </c>
      <c r="D119" s="129">
        <v>12</v>
      </c>
      <c r="E119" s="126"/>
    </row>
    <row r="120" spans="1:5" s="99" customFormat="1" ht="13.5">
      <c r="A120" s="104" t="s">
        <v>108</v>
      </c>
      <c r="B120" s="105">
        <f>SUM(B121:B124)</f>
        <v>885</v>
      </c>
      <c r="C120" s="163"/>
      <c r="D120" s="164"/>
      <c r="E120" s="104"/>
    </row>
    <row r="121" spans="1:5" s="99" customFormat="1" ht="15" customHeight="1">
      <c r="A121" s="115" t="s">
        <v>20</v>
      </c>
      <c r="B121" s="119">
        <f>ROUNDUP(C121*D121/1000,0)</f>
        <v>640</v>
      </c>
      <c r="C121" s="120">
        <v>80000</v>
      </c>
      <c r="D121" s="118">
        <v>8</v>
      </c>
      <c r="E121" s="115" t="s">
        <v>179</v>
      </c>
    </row>
    <row r="122" spans="1:5" s="99" customFormat="1" ht="15" customHeight="1">
      <c r="A122" s="115" t="s">
        <v>94</v>
      </c>
      <c r="B122" s="119">
        <f>ROUNDUP(C122*D122/1000,0)</f>
        <v>15</v>
      </c>
      <c r="C122" s="120">
        <v>15000</v>
      </c>
      <c r="D122" s="118">
        <v>1</v>
      </c>
      <c r="E122" s="115"/>
    </row>
    <row r="123" spans="1:5" s="99" customFormat="1" ht="15" customHeight="1">
      <c r="A123" s="98" t="s">
        <v>155</v>
      </c>
      <c r="B123" s="110">
        <f>ROUNDUP(C123*D123/1000,0)</f>
        <v>50</v>
      </c>
      <c r="C123" s="111">
        <v>50</v>
      </c>
      <c r="D123" s="112">
        <v>1000</v>
      </c>
      <c r="E123" s="98" t="s">
        <v>156</v>
      </c>
    </row>
    <row r="124" spans="1:5" s="99" customFormat="1" ht="13.5">
      <c r="A124" s="135" t="s">
        <v>27</v>
      </c>
      <c r="B124" s="136">
        <f>ROUNDUP(C124*D124/1000,0)</f>
        <v>180</v>
      </c>
      <c r="C124" s="137">
        <v>180000</v>
      </c>
      <c r="D124" s="138">
        <v>1</v>
      </c>
      <c r="E124" s="135" t="s">
        <v>96</v>
      </c>
    </row>
    <row r="125" spans="1:5" s="99" customFormat="1" ht="13.5">
      <c r="A125" s="142" t="s">
        <v>153</v>
      </c>
      <c r="B125" s="143">
        <f>B126</f>
        <v>26310</v>
      </c>
      <c r="C125" s="177">
        <f>B127/B126</f>
        <v>0.6015203344735842</v>
      </c>
      <c r="D125" s="178"/>
      <c r="E125" s="65" t="s">
        <v>149</v>
      </c>
    </row>
    <row r="126" spans="1:5" s="99" customFormat="1" ht="13.5">
      <c r="A126" s="132" t="s">
        <v>109</v>
      </c>
      <c r="B126" s="133">
        <f>B127+B150</f>
        <v>26310</v>
      </c>
      <c r="C126" s="169"/>
      <c r="D126" s="170"/>
      <c r="E126" s="14"/>
    </row>
    <row r="127" spans="1:5" s="99" customFormat="1" ht="13.5">
      <c r="A127" s="104" t="s">
        <v>111</v>
      </c>
      <c r="B127" s="105">
        <f>SUM(B128:B149)</f>
        <v>15826</v>
      </c>
      <c r="C127" s="163"/>
      <c r="D127" s="164"/>
      <c r="E127" s="104"/>
    </row>
    <row r="128" spans="1:5" s="99" customFormat="1" ht="13.5">
      <c r="A128" s="106" t="s">
        <v>118</v>
      </c>
      <c r="B128" s="107">
        <f>ROUNDUP(C128*D128/1000,0)</f>
        <v>3000</v>
      </c>
      <c r="C128" s="108">
        <v>250000</v>
      </c>
      <c r="D128" s="109">
        <v>12</v>
      </c>
      <c r="E128" s="98" t="s">
        <v>224</v>
      </c>
    </row>
    <row r="129" spans="1:5" s="99" customFormat="1" ht="13.5">
      <c r="A129" s="98" t="s">
        <v>110</v>
      </c>
      <c r="B129" s="110">
        <f>ROUNDUP(C129*D129/1000,0)</f>
        <v>427</v>
      </c>
      <c r="C129" s="111">
        <f>C128/22/8*1.25</f>
        <v>1775.568181818182</v>
      </c>
      <c r="D129" s="112">
        <v>240</v>
      </c>
      <c r="E129" s="98" t="s">
        <v>230</v>
      </c>
    </row>
    <row r="130" spans="1:5" s="99" customFormat="1" ht="13.5">
      <c r="A130" s="98" t="s">
        <v>112</v>
      </c>
      <c r="B130" s="110">
        <f>ROUNDUP(C130*D130/1000,0)</f>
        <v>10</v>
      </c>
      <c r="C130" s="111">
        <v>9200</v>
      </c>
      <c r="D130" s="112">
        <v>1</v>
      </c>
      <c r="E130" s="98" t="s">
        <v>38</v>
      </c>
    </row>
    <row r="131" spans="1:5" s="99" customFormat="1" ht="13.5">
      <c r="A131" s="98" t="s">
        <v>113</v>
      </c>
      <c r="B131" s="113">
        <f aca="true" t="shared" si="6" ref="B131:B139">ROUNDUP(C131*D131/1000,0)</f>
        <v>150</v>
      </c>
      <c r="C131" s="111">
        <f>250000*12*0.05</f>
        <v>150000</v>
      </c>
      <c r="D131" s="112">
        <v>1</v>
      </c>
      <c r="E131" s="98" t="s">
        <v>202</v>
      </c>
    </row>
    <row r="132" spans="1:5" s="99" customFormat="1" ht="13.5">
      <c r="A132" s="98" t="s">
        <v>114</v>
      </c>
      <c r="B132" s="113">
        <f t="shared" si="6"/>
        <v>24</v>
      </c>
      <c r="C132" s="111">
        <f>250000*12*0.0079</f>
        <v>23700.000000000004</v>
      </c>
      <c r="D132" s="112">
        <v>1</v>
      </c>
      <c r="E132" s="98" t="s">
        <v>260</v>
      </c>
    </row>
    <row r="133" spans="1:5" s="99" customFormat="1" ht="13.5">
      <c r="A133" s="98" t="s">
        <v>261</v>
      </c>
      <c r="B133" s="113">
        <f t="shared" si="6"/>
        <v>6</v>
      </c>
      <c r="C133" s="111">
        <f>250000*12*0.002</f>
        <v>6000</v>
      </c>
      <c r="D133" s="112">
        <v>1</v>
      </c>
      <c r="E133" s="98" t="s">
        <v>322</v>
      </c>
    </row>
    <row r="134" spans="1:5" s="99" customFormat="1" ht="13.5">
      <c r="A134" s="98" t="s">
        <v>268</v>
      </c>
      <c r="B134" s="113">
        <f t="shared" si="6"/>
        <v>275</v>
      </c>
      <c r="C134" s="111">
        <f>250000*12*91.5/1000</f>
        <v>274500</v>
      </c>
      <c r="D134" s="112">
        <v>1</v>
      </c>
      <c r="E134" s="98" t="s">
        <v>324</v>
      </c>
    </row>
    <row r="135" spans="1:5" s="99" customFormat="1" ht="13.5">
      <c r="A135" s="98" t="s">
        <v>115</v>
      </c>
      <c r="B135" s="113">
        <f t="shared" si="6"/>
        <v>21</v>
      </c>
      <c r="C135" s="111">
        <f>250000*12*0.007</f>
        <v>21000</v>
      </c>
      <c r="D135" s="112">
        <v>1</v>
      </c>
      <c r="E135" s="98" t="s">
        <v>325</v>
      </c>
    </row>
    <row r="136" spans="1:5" s="99" customFormat="1" ht="13.5">
      <c r="A136" s="98" t="s">
        <v>116</v>
      </c>
      <c r="B136" s="113">
        <f t="shared" si="6"/>
        <v>9</v>
      </c>
      <c r="C136" s="111">
        <f>250000*12*0.003</f>
        <v>9000</v>
      </c>
      <c r="D136" s="112">
        <v>1</v>
      </c>
      <c r="E136" s="98" t="s">
        <v>206</v>
      </c>
    </row>
    <row r="137" spans="1:5" s="99" customFormat="1" ht="13.5">
      <c r="A137" s="126" t="s">
        <v>117</v>
      </c>
      <c r="B137" s="144">
        <f t="shared" si="6"/>
        <v>1</v>
      </c>
      <c r="C137" s="128">
        <f>250000*12*0.00002</f>
        <v>60.00000000000001</v>
      </c>
      <c r="D137" s="129">
        <v>1</v>
      </c>
      <c r="E137" s="126" t="s">
        <v>326</v>
      </c>
    </row>
    <row r="138" spans="1:5" s="153" customFormat="1" ht="13.5">
      <c r="A138" s="135" t="s">
        <v>339</v>
      </c>
      <c r="B138" s="145">
        <f>ROUNDUP(C138*D138/1000,0)</f>
        <v>120</v>
      </c>
      <c r="C138" s="146">
        <v>120000</v>
      </c>
      <c r="D138" s="138">
        <v>1</v>
      </c>
      <c r="E138" s="135" t="s">
        <v>347</v>
      </c>
    </row>
    <row r="139" spans="1:5" s="99" customFormat="1" ht="13.5">
      <c r="A139" s="98" t="s">
        <v>119</v>
      </c>
      <c r="B139" s="113">
        <f t="shared" si="6"/>
        <v>8640</v>
      </c>
      <c r="C139" s="114">
        <v>180000</v>
      </c>
      <c r="D139" s="112">
        <v>48</v>
      </c>
      <c r="E139" s="98" t="s">
        <v>349</v>
      </c>
    </row>
    <row r="140" spans="1:5" s="99" customFormat="1" ht="13.5">
      <c r="A140" s="98" t="s">
        <v>110</v>
      </c>
      <c r="B140" s="110">
        <f>ROUNDUP(C140*D140/1000,0)</f>
        <v>1228</v>
      </c>
      <c r="C140" s="111">
        <f>C139/22/8*1.25</f>
        <v>1278.409090909091</v>
      </c>
      <c r="D140" s="112">
        <v>960</v>
      </c>
      <c r="E140" s="98" t="s">
        <v>350</v>
      </c>
    </row>
    <row r="141" spans="1:5" s="99" customFormat="1" ht="13.5">
      <c r="A141" s="98" t="s">
        <v>112</v>
      </c>
      <c r="B141" s="119">
        <f aca="true" t="shared" si="7" ref="B141:B148">ROUNDUP(C141*D141/1000,0)</f>
        <v>37</v>
      </c>
      <c r="C141" s="120">
        <v>9200</v>
      </c>
      <c r="D141" s="118">
        <v>4</v>
      </c>
      <c r="E141" s="115" t="s">
        <v>38</v>
      </c>
    </row>
    <row r="142" spans="1:5" s="99" customFormat="1" ht="13.5">
      <c r="A142" s="98" t="s">
        <v>113</v>
      </c>
      <c r="B142" s="113">
        <f t="shared" si="7"/>
        <v>432</v>
      </c>
      <c r="C142" s="111">
        <f>180000*12*0.05</f>
        <v>108000</v>
      </c>
      <c r="D142" s="112">
        <v>4</v>
      </c>
      <c r="E142" s="98" t="s">
        <v>203</v>
      </c>
    </row>
    <row r="143" spans="1:5" s="99" customFormat="1" ht="13.5">
      <c r="A143" s="98" t="s">
        <v>114</v>
      </c>
      <c r="B143" s="113">
        <f t="shared" si="7"/>
        <v>69</v>
      </c>
      <c r="C143" s="111">
        <f>180000*12*0.0079</f>
        <v>17064</v>
      </c>
      <c r="D143" s="112">
        <v>4</v>
      </c>
      <c r="E143" s="98" t="s">
        <v>256</v>
      </c>
    </row>
    <row r="144" spans="1:5" s="99" customFormat="1" ht="13.5">
      <c r="A144" s="98" t="s">
        <v>261</v>
      </c>
      <c r="B144" s="113">
        <f t="shared" si="7"/>
        <v>18</v>
      </c>
      <c r="C144" s="111">
        <f>180000*12*0.002</f>
        <v>4320</v>
      </c>
      <c r="D144" s="112">
        <v>4</v>
      </c>
      <c r="E144" s="98" t="s">
        <v>327</v>
      </c>
    </row>
    <row r="145" spans="1:5" s="99" customFormat="1" ht="15" customHeight="1">
      <c r="A145" s="98" t="s">
        <v>269</v>
      </c>
      <c r="B145" s="113">
        <f t="shared" si="7"/>
        <v>791</v>
      </c>
      <c r="C145" s="111">
        <f>180000*12*91.5/1000</f>
        <v>197640</v>
      </c>
      <c r="D145" s="112">
        <v>4</v>
      </c>
      <c r="E145" s="98" t="s">
        <v>270</v>
      </c>
    </row>
    <row r="146" spans="1:5" s="99" customFormat="1" ht="13.5">
      <c r="A146" s="98" t="s">
        <v>115</v>
      </c>
      <c r="B146" s="113">
        <f t="shared" si="7"/>
        <v>61</v>
      </c>
      <c r="C146" s="111">
        <f>180000*12*0.007</f>
        <v>15120</v>
      </c>
      <c r="D146" s="112">
        <v>4</v>
      </c>
      <c r="E146" s="98" t="s">
        <v>329</v>
      </c>
    </row>
    <row r="147" spans="1:5" s="99" customFormat="1" ht="13.5">
      <c r="A147" s="98" t="s">
        <v>116</v>
      </c>
      <c r="B147" s="113">
        <f t="shared" si="7"/>
        <v>26</v>
      </c>
      <c r="C147" s="111">
        <f>180000*12*0.003</f>
        <v>6480</v>
      </c>
      <c r="D147" s="112">
        <v>4</v>
      </c>
      <c r="E147" s="98" t="s">
        <v>207</v>
      </c>
    </row>
    <row r="148" spans="1:5" s="99" customFormat="1" ht="13.5">
      <c r="A148" s="98" t="s">
        <v>117</v>
      </c>
      <c r="B148" s="116">
        <f t="shared" si="7"/>
        <v>1</v>
      </c>
      <c r="C148" s="120">
        <f>180000*12*0.00002</f>
        <v>43.2</v>
      </c>
      <c r="D148" s="118">
        <v>4</v>
      </c>
      <c r="E148" s="115" t="s">
        <v>330</v>
      </c>
    </row>
    <row r="149" spans="1:5" s="153" customFormat="1" ht="13.5">
      <c r="A149" s="135" t="s">
        <v>339</v>
      </c>
      <c r="B149" s="145">
        <f>ROUNDUP(C149*D149/1000,0)</f>
        <v>480</v>
      </c>
      <c r="C149" s="146">
        <v>120000</v>
      </c>
      <c r="D149" s="138">
        <v>4</v>
      </c>
      <c r="E149" s="135" t="s">
        <v>347</v>
      </c>
    </row>
    <row r="150" spans="1:5" s="99" customFormat="1" ht="13.5">
      <c r="A150" s="104" t="s">
        <v>146</v>
      </c>
      <c r="B150" s="105">
        <f>B151+B164</f>
        <v>10484</v>
      </c>
      <c r="C150" s="163"/>
      <c r="D150" s="164"/>
      <c r="E150" s="104"/>
    </row>
    <row r="151" spans="1:5" s="99" customFormat="1" ht="13.5">
      <c r="A151" s="115" t="s">
        <v>120</v>
      </c>
      <c r="B151" s="119">
        <f>SUM(B152:B163)</f>
        <v>2802</v>
      </c>
      <c r="C151" s="120"/>
      <c r="D151" s="118"/>
      <c r="E151" s="115"/>
    </row>
    <row r="152" spans="1:5" s="99" customFormat="1" ht="13.5">
      <c r="A152" s="115" t="s">
        <v>121</v>
      </c>
      <c r="B152" s="119">
        <f aca="true" t="shared" si="8" ref="B152:B163">ROUNDUP(C152*D152/1000,0)</f>
        <v>780</v>
      </c>
      <c r="C152" s="120">
        <v>65000</v>
      </c>
      <c r="D152" s="118">
        <v>12</v>
      </c>
      <c r="E152" s="115" t="s">
        <v>191</v>
      </c>
    </row>
    <row r="153" spans="1:5" s="99" customFormat="1" ht="13.5">
      <c r="A153" s="115" t="s">
        <v>126</v>
      </c>
      <c r="B153" s="119">
        <f t="shared" si="8"/>
        <v>288</v>
      </c>
      <c r="C153" s="120">
        <v>24000</v>
      </c>
      <c r="D153" s="118">
        <v>12</v>
      </c>
      <c r="E153" s="115" t="s">
        <v>127</v>
      </c>
    </row>
    <row r="154" spans="1:5" s="99" customFormat="1" ht="13.5">
      <c r="A154" s="115" t="s">
        <v>122</v>
      </c>
      <c r="B154" s="119">
        <f t="shared" si="8"/>
        <v>360</v>
      </c>
      <c r="C154" s="120">
        <v>30000</v>
      </c>
      <c r="D154" s="118">
        <v>12</v>
      </c>
      <c r="E154" s="115" t="s">
        <v>123</v>
      </c>
    </row>
    <row r="155" spans="1:5" s="99" customFormat="1" ht="13.5">
      <c r="A155" s="115" t="s">
        <v>30</v>
      </c>
      <c r="B155" s="119">
        <f t="shared" si="8"/>
        <v>216</v>
      </c>
      <c r="C155" s="120">
        <v>18000</v>
      </c>
      <c r="D155" s="118">
        <v>12</v>
      </c>
      <c r="E155" s="115" t="s">
        <v>225</v>
      </c>
    </row>
    <row r="156" spans="1:5" s="99" customFormat="1" ht="13.5">
      <c r="A156" s="115" t="s">
        <v>74</v>
      </c>
      <c r="B156" s="119">
        <f t="shared" si="8"/>
        <v>312</v>
      </c>
      <c r="C156" s="120">
        <f>26000*1</f>
        <v>26000</v>
      </c>
      <c r="D156" s="118">
        <v>12</v>
      </c>
      <c r="E156" s="115" t="s">
        <v>75</v>
      </c>
    </row>
    <row r="157" spans="1:5" s="99" customFormat="1" ht="13.5">
      <c r="A157" s="115" t="s">
        <v>76</v>
      </c>
      <c r="B157" s="119">
        <f t="shared" si="8"/>
        <v>123</v>
      </c>
      <c r="C157" s="120">
        <f>10200*1</f>
        <v>10200</v>
      </c>
      <c r="D157" s="118">
        <v>12</v>
      </c>
      <c r="E157" s="115" t="s">
        <v>77</v>
      </c>
    </row>
    <row r="158" spans="1:5" s="99" customFormat="1" ht="13.5">
      <c r="A158" s="115" t="s">
        <v>124</v>
      </c>
      <c r="B158" s="119">
        <f t="shared" si="8"/>
        <v>27</v>
      </c>
      <c r="C158" s="120">
        <v>2200</v>
      </c>
      <c r="D158" s="118">
        <v>12</v>
      </c>
      <c r="E158" s="115" t="s">
        <v>125</v>
      </c>
    </row>
    <row r="159" spans="1:5" s="99" customFormat="1" ht="13.5">
      <c r="A159" s="115" t="s">
        <v>12</v>
      </c>
      <c r="B159" s="119">
        <f t="shared" si="8"/>
        <v>144</v>
      </c>
      <c r="C159" s="120">
        <v>12000</v>
      </c>
      <c r="D159" s="118">
        <v>12</v>
      </c>
      <c r="E159" s="115"/>
    </row>
    <row r="160" spans="1:5" s="99" customFormat="1" ht="13.5">
      <c r="A160" s="115" t="s">
        <v>13</v>
      </c>
      <c r="B160" s="119">
        <f t="shared" si="8"/>
        <v>120</v>
      </c>
      <c r="C160" s="120">
        <v>10000</v>
      </c>
      <c r="D160" s="118">
        <v>12</v>
      </c>
      <c r="E160" s="115"/>
    </row>
    <row r="161" spans="1:5" s="99" customFormat="1" ht="13.5">
      <c r="A161" s="115" t="s">
        <v>78</v>
      </c>
      <c r="B161" s="119">
        <f t="shared" si="8"/>
        <v>144</v>
      </c>
      <c r="C161" s="120">
        <v>12000</v>
      </c>
      <c r="D161" s="118">
        <v>12</v>
      </c>
      <c r="E161" s="115" t="s">
        <v>36</v>
      </c>
    </row>
    <row r="162" spans="1:5" s="99" customFormat="1" ht="13.5">
      <c r="A162" s="115" t="s">
        <v>79</v>
      </c>
      <c r="B162" s="119">
        <f t="shared" si="8"/>
        <v>168</v>
      </c>
      <c r="C162" s="120">
        <v>14000</v>
      </c>
      <c r="D162" s="118">
        <v>12</v>
      </c>
      <c r="E162" s="147" t="s">
        <v>293</v>
      </c>
    </row>
    <row r="163" spans="1:5" s="99" customFormat="1" ht="13.5">
      <c r="A163" s="135" t="s">
        <v>13</v>
      </c>
      <c r="B163" s="136">
        <f t="shared" si="8"/>
        <v>120</v>
      </c>
      <c r="C163" s="137">
        <v>10000</v>
      </c>
      <c r="D163" s="138">
        <v>12</v>
      </c>
      <c r="E163" s="135"/>
    </row>
    <row r="164" spans="1:5" s="99" customFormat="1" ht="13.5">
      <c r="A164" s="98" t="s">
        <v>128</v>
      </c>
      <c r="B164" s="110">
        <f>SUM(B165:B178)</f>
        <v>7682</v>
      </c>
      <c r="C164" s="111"/>
      <c r="D164" s="112"/>
      <c r="E164" s="98"/>
    </row>
    <row r="165" spans="1:5" s="99" customFormat="1" ht="13.5">
      <c r="A165" s="98" t="s">
        <v>129</v>
      </c>
      <c r="B165" s="119">
        <f>ROUNDUP(C165*D165/1000,0)</f>
        <v>1800</v>
      </c>
      <c r="C165" s="120">
        <v>150000</v>
      </c>
      <c r="D165" s="118">
        <v>12</v>
      </c>
      <c r="E165" s="98" t="s">
        <v>167</v>
      </c>
    </row>
    <row r="166" spans="1:5" s="99" customFormat="1" ht="13.5">
      <c r="A166" s="98" t="s">
        <v>130</v>
      </c>
      <c r="B166" s="119">
        <f aca="true" t="shared" si="9" ref="B166:B177">ROUNDUP(C166*D166/1000,0)</f>
        <v>312</v>
      </c>
      <c r="C166" s="120">
        <v>26000</v>
      </c>
      <c r="D166" s="118">
        <v>12</v>
      </c>
      <c r="E166" s="98" t="s">
        <v>194</v>
      </c>
    </row>
    <row r="167" spans="1:5" s="99" customFormat="1" ht="13.5">
      <c r="A167" s="98" t="s">
        <v>133</v>
      </c>
      <c r="B167" s="119">
        <f t="shared" si="9"/>
        <v>1080</v>
      </c>
      <c r="C167" s="120">
        <v>90000</v>
      </c>
      <c r="D167" s="118">
        <v>12</v>
      </c>
      <c r="E167" s="98" t="s">
        <v>131</v>
      </c>
    </row>
    <row r="168" spans="1:5" s="99" customFormat="1" ht="13.5">
      <c r="A168" s="98" t="s">
        <v>132</v>
      </c>
      <c r="B168" s="119">
        <f t="shared" si="9"/>
        <v>840</v>
      </c>
      <c r="C168" s="120">
        <v>70000</v>
      </c>
      <c r="D168" s="118">
        <v>12</v>
      </c>
      <c r="E168" s="98" t="s">
        <v>195</v>
      </c>
    </row>
    <row r="169" spans="1:5" s="99" customFormat="1" ht="13.5">
      <c r="A169" s="98" t="s">
        <v>138</v>
      </c>
      <c r="B169" s="110">
        <f t="shared" si="9"/>
        <v>80</v>
      </c>
      <c r="C169" s="111">
        <v>20000</v>
      </c>
      <c r="D169" s="112">
        <v>4</v>
      </c>
      <c r="E169" s="98" t="s">
        <v>188</v>
      </c>
    </row>
    <row r="170" spans="1:5" s="99" customFormat="1" ht="13.5">
      <c r="A170" s="98" t="s">
        <v>134</v>
      </c>
      <c r="B170" s="110">
        <f t="shared" si="9"/>
        <v>240</v>
      </c>
      <c r="C170" s="111">
        <v>60000</v>
      </c>
      <c r="D170" s="112">
        <v>4</v>
      </c>
      <c r="E170" s="98" t="s">
        <v>139</v>
      </c>
    </row>
    <row r="171" spans="1:5" s="99" customFormat="1" ht="13.5">
      <c r="A171" s="98" t="s">
        <v>141</v>
      </c>
      <c r="B171" s="110">
        <f>ROUNDUP(C171*D171/1000,0)</f>
        <v>50</v>
      </c>
      <c r="C171" s="111">
        <v>50000</v>
      </c>
      <c r="D171" s="112">
        <v>1</v>
      </c>
      <c r="E171" s="98"/>
    </row>
    <row r="172" spans="1:5" s="99" customFormat="1" ht="13.5">
      <c r="A172" s="98" t="s">
        <v>140</v>
      </c>
      <c r="B172" s="110">
        <f t="shared" si="9"/>
        <v>100</v>
      </c>
      <c r="C172" s="111">
        <v>100000</v>
      </c>
      <c r="D172" s="112">
        <v>1</v>
      </c>
      <c r="E172" s="98" t="s">
        <v>142</v>
      </c>
    </row>
    <row r="173" spans="1:5" s="99" customFormat="1" ht="13.5">
      <c r="A173" s="98" t="s">
        <v>135</v>
      </c>
      <c r="B173" s="110">
        <f t="shared" si="9"/>
        <v>100</v>
      </c>
      <c r="C173" s="111">
        <v>100000</v>
      </c>
      <c r="D173" s="112">
        <v>1</v>
      </c>
      <c r="E173" s="98" t="s">
        <v>143</v>
      </c>
    </row>
    <row r="174" spans="1:5" s="99" customFormat="1" ht="13.5">
      <c r="A174" s="98" t="s">
        <v>137</v>
      </c>
      <c r="B174" s="110">
        <f t="shared" si="9"/>
        <v>20</v>
      </c>
      <c r="C174" s="111">
        <v>20000</v>
      </c>
      <c r="D174" s="112">
        <v>1</v>
      </c>
      <c r="E174" s="98" t="s">
        <v>144</v>
      </c>
    </row>
    <row r="175" spans="1:5" s="99" customFormat="1" ht="13.5">
      <c r="A175" s="98" t="s">
        <v>145</v>
      </c>
      <c r="B175" s="110">
        <f t="shared" si="9"/>
        <v>2400</v>
      </c>
      <c r="C175" s="111">
        <v>200000</v>
      </c>
      <c r="D175" s="112">
        <v>12</v>
      </c>
      <c r="E175" s="98" t="s">
        <v>196</v>
      </c>
    </row>
    <row r="176" spans="1:5" s="99" customFormat="1" ht="13.5">
      <c r="A176" s="98" t="s">
        <v>237</v>
      </c>
      <c r="B176" s="110">
        <f t="shared" si="9"/>
        <v>90</v>
      </c>
      <c r="C176" s="111">
        <v>30000</v>
      </c>
      <c r="D176" s="112">
        <v>3</v>
      </c>
      <c r="E176" s="115" t="s">
        <v>238</v>
      </c>
    </row>
    <row r="177" spans="1:5" s="99" customFormat="1" ht="13.5">
      <c r="A177" s="115" t="s">
        <v>147</v>
      </c>
      <c r="B177" s="119">
        <f t="shared" si="9"/>
        <v>480</v>
      </c>
      <c r="C177" s="120">
        <v>120000</v>
      </c>
      <c r="D177" s="118">
        <v>4</v>
      </c>
      <c r="E177" s="115" t="s">
        <v>197</v>
      </c>
    </row>
    <row r="178" spans="1:5" s="99" customFormat="1" ht="14.25" thickBot="1">
      <c r="A178" s="135" t="s">
        <v>136</v>
      </c>
      <c r="B178" s="136">
        <f>ROUNDUP(C178*D178/1000,0)</f>
        <v>90</v>
      </c>
      <c r="C178" s="137">
        <v>30000</v>
      </c>
      <c r="D178" s="138">
        <v>3</v>
      </c>
      <c r="E178" s="135" t="s">
        <v>190</v>
      </c>
    </row>
    <row r="179" spans="1:5" s="99" customFormat="1" ht="13.5">
      <c r="A179" s="148" t="s">
        <v>154</v>
      </c>
      <c r="B179" s="149">
        <f>B4+B125</f>
        <v>53855</v>
      </c>
      <c r="C179" s="171"/>
      <c r="D179" s="172"/>
      <c r="E179" s="148"/>
    </row>
    <row r="180" spans="1:5" ht="13.5">
      <c r="A180" s="7" t="s">
        <v>31</v>
      </c>
      <c r="B180" s="17">
        <f>ROUNDDOWN(B179*0.08,0)</f>
        <v>4308</v>
      </c>
      <c r="C180" s="173"/>
      <c r="D180" s="174"/>
      <c r="E180" s="6"/>
    </row>
    <row r="181" spans="1:5" ht="18" thickBot="1">
      <c r="A181" s="10" t="s">
        <v>33</v>
      </c>
      <c r="B181" s="11">
        <f>B179+B180</f>
        <v>58163</v>
      </c>
      <c r="C181" s="175"/>
      <c r="D181" s="176"/>
      <c r="E181" s="15"/>
    </row>
  </sheetData>
  <sheetProtection/>
  <mergeCells count="26">
    <mergeCell ref="C150:D150"/>
    <mergeCell ref="C106:D106"/>
    <mergeCell ref="C179:D179"/>
    <mergeCell ref="C180:D180"/>
    <mergeCell ref="C181:D181"/>
    <mergeCell ref="C117:D117"/>
    <mergeCell ref="C120:D120"/>
    <mergeCell ref="C125:D125"/>
    <mergeCell ref="C126:D126"/>
    <mergeCell ref="C127:D127"/>
    <mergeCell ref="C116:D116"/>
    <mergeCell ref="C59:D59"/>
    <mergeCell ref="C60:D60"/>
    <mergeCell ref="C67:D67"/>
    <mergeCell ref="C76:D76"/>
    <mergeCell ref="C86:D86"/>
    <mergeCell ref="C91:D91"/>
    <mergeCell ref="C92:D92"/>
    <mergeCell ref="C99:D99"/>
    <mergeCell ref="C61:D61"/>
    <mergeCell ref="A1:E1"/>
    <mergeCell ref="C3:D3"/>
    <mergeCell ref="C4:D4"/>
    <mergeCell ref="C5:D5"/>
    <mergeCell ref="C6:D6"/>
    <mergeCell ref="C39:D39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2" r:id="rId1"/>
  <headerFooter>
    <oddHeader>&amp;R&amp;10&amp;A　&amp;P／&amp;N</oddHeader>
    <oddFooter>&amp;C&amp;10&amp;A　&amp;P／&amp;N</oddFooter>
  </headerFooter>
  <rowBreaks count="2" manualBreakCount="2">
    <brk id="75" max="4" man="1"/>
    <brk id="124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7">
      <selection activeCell="H14" sqref="H14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5" customWidth="1"/>
    <col min="6" max="7" width="14.140625" style="0" customWidth="1"/>
    <col min="8" max="8" width="16.00390625" style="0" customWidth="1"/>
  </cols>
  <sheetData>
    <row r="1" spans="2:7" ht="22.5" customHeight="1">
      <c r="B1" s="154" t="s">
        <v>62</v>
      </c>
      <c r="C1" s="154"/>
      <c r="D1" s="154"/>
      <c r="E1" s="154"/>
      <c r="F1" s="154"/>
      <c r="G1" s="154"/>
    </row>
    <row r="2" spans="5:7" ht="25.5" customHeight="1" thickBot="1">
      <c r="E2" s="187" t="s">
        <v>303</v>
      </c>
      <c r="F2" s="187"/>
      <c r="G2" s="187"/>
    </row>
    <row r="3" spans="3:8" ht="38.25" customHeight="1" thickBot="1" thickTop="1">
      <c r="C3" s="85" t="s">
        <v>302</v>
      </c>
      <c r="D3" s="84">
        <f>(D5+D8-D12)/D14</f>
        <v>0.5759727004052284</v>
      </c>
      <c r="E3" s="84">
        <f>(E5+E8-E12)/E14</f>
        <v>0.5195308296567309</v>
      </c>
      <c r="F3" s="84">
        <f>(F5+F8-F12)/F14</f>
        <v>0.5114659734472193</v>
      </c>
      <c r="G3" s="84">
        <f>(G5+G8-G12)/G14</f>
        <v>0.5294873415055394</v>
      </c>
      <c r="H3" t="s">
        <v>178</v>
      </c>
    </row>
    <row r="4" spans="2:8" ht="29.25" customHeight="1" thickTop="1">
      <c r="B4" s="188"/>
      <c r="C4" s="189"/>
      <c r="D4" s="86" t="s">
        <v>295</v>
      </c>
      <c r="E4" s="88" t="s">
        <v>296</v>
      </c>
      <c r="F4" s="20" t="s">
        <v>297</v>
      </c>
      <c r="G4" s="21" t="s">
        <v>53</v>
      </c>
      <c r="H4" s="22" t="s">
        <v>54</v>
      </c>
    </row>
    <row r="5" spans="1:9" ht="29.25" customHeight="1">
      <c r="A5" s="182" t="s">
        <v>161</v>
      </c>
      <c r="B5" s="51" t="s">
        <v>5</v>
      </c>
      <c r="C5" s="23"/>
      <c r="D5" s="66">
        <f>SUM(D6:D7)</f>
        <v>5220</v>
      </c>
      <c r="E5" s="24">
        <f>E6+E7</f>
        <v>12751</v>
      </c>
      <c r="F5" s="25">
        <f>F6+F7</f>
        <v>12752</v>
      </c>
      <c r="G5" s="26">
        <f aca="true" t="shared" si="0" ref="G5:G12">SUM(D5:F5)</f>
        <v>30723</v>
      </c>
      <c r="H5" s="27">
        <f>G5/G14</f>
        <v>0.21569990311302076</v>
      </c>
      <c r="I5" s="28" t="s">
        <v>298</v>
      </c>
    </row>
    <row r="6" spans="1:12" ht="29.25" customHeight="1">
      <c r="A6" s="183"/>
      <c r="B6" s="190" t="s">
        <v>55</v>
      </c>
      <c r="C6" s="191"/>
      <c r="D6" s="67">
        <f>'必要経費概算（平成29年度分） '!B6</f>
        <v>4272</v>
      </c>
      <c r="E6" s="67">
        <f>'必要経費概算（平成30年度分）'!B6</f>
        <v>10322</v>
      </c>
      <c r="F6" s="30">
        <f>'必要経費概算（平成31年度分）'!B6</f>
        <v>10323</v>
      </c>
      <c r="G6" s="31">
        <f t="shared" si="0"/>
        <v>24917</v>
      </c>
      <c r="H6" s="32">
        <f>G6/G14</f>
        <v>0.17493716387941083</v>
      </c>
      <c r="I6" s="179" t="s">
        <v>299</v>
      </c>
      <c r="J6" s="180"/>
      <c r="K6" s="180"/>
      <c r="L6" s="180"/>
    </row>
    <row r="7" spans="1:8" ht="29.25" customHeight="1">
      <c r="A7" s="183"/>
      <c r="B7" s="192" t="s">
        <v>56</v>
      </c>
      <c r="C7" s="193"/>
      <c r="D7" s="68">
        <f>'必要経費概算（平成29年度分） '!B39</f>
        <v>948</v>
      </c>
      <c r="E7" s="33">
        <f>'必要経費概算（平成30年度分）'!B39</f>
        <v>2429</v>
      </c>
      <c r="F7" s="34">
        <f>'必要経費概算（平成31年度分）'!B39</f>
        <v>2429</v>
      </c>
      <c r="G7" s="35">
        <f t="shared" si="0"/>
        <v>5806</v>
      </c>
      <c r="H7" s="36"/>
    </row>
    <row r="8" spans="1:9" ht="29.25" customHeight="1">
      <c r="A8" s="183"/>
      <c r="B8" s="76" t="s">
        <v>16</v>
      </c>
      <c r="C8" s="37"/>
      <c r="D8" s="69">
        <f>SUM(D9:D12)</f>
        <v>27601</v>
      </c>
      <c r="E8" s="38">
        <f>SUM(E9:E12)</f>
        <v>43007</v>
      </c>
      <c r="F8" s="39">
        <f>SUM(F9:F12)</f>
        <v>41103</v>
      </c>
      <c r="G8" s="40">
        <f t="shared" si="0"/>
        <v>111711</v>
      </c>
      <c r="H8" s="41"/>
      <c r="I8" s="83"/>
    </row>
    <row r="9" spans="1:8" ht="29.25" customHeight="1">
      <c r="A9" s="183"/>
      <c r="B9" s="77" t="s">
        <v>57</v>
      </c>
      <c r="C9" s="42"/>
      <c r="D9" s="67">
        <f>'必要経費概算（平成29年度分） '!B60</f>
        <v>4787</v>
      </c>
      <c r="E9" s="29">
        <f>'必要経費概算（平成30年度分）'!B60</f>
        <v>7236</v>
      </c>
      <c r="F9" s="30">
        <f>'必要経費概算（平成31年度分）'!B60</f>
        <v>5512</v>
      </c>
      <c r="G9" s="31">
        <f t="shared" si="0"/>
        <v>17535</v>
      </c>
      <c r="H9" s="43"/>
    </row>
    <row r="10" spans="1:8" ht="29.25" customHeight="1">
      <c r="A10" s="183"/>
      <c r="B10" s="78" t="s">
        <v>58</v>
      </c>
      <c r="C10" s="44"/>
      <c r="D10" s="70">
        <f>'必要経費概算（平成29年度分） '!B91</f>
        <v>7854</v>
      </c>
      <c r="E10" s="45">
        <f>'必要経費概算（平成30年度分）'!B91</f>
        <v>7942</v>
      </c>
      <c r="F10" s="46">
        <f>'必要経費概算（平成31年度分）'!B91</f>
        <v>8242</v>
      </c>
      <c r="G10" s="47">
        <f t="shared" si="0"/>
        <v>24038</v>
      </c>
      <c r="H10" s="48"/>
    </row>
    <row r="11" spans="1:9" ht="29.25" customHeight="1">
      <c r="A11" s="184"/>
      <c r="B11" s="79" t="s">
        <v>59</v>
      </c>
      <c r="C11" s="49"/>
      <c r="D11" s="68">
        <f>'必要経費概算（平成29年度分） '!B116</f>
        <v>1043</v>
      </c>
      <c r="E11" s="33">
        <f>'必要経費概算（平成30年度分）'!B116</f>
        <v>1039</v>
      </c>
      <c r="F11" s="34">
        <f>'必要経費概算（平成31年度分）'!B116</f>
        <v>1039</v>
      </c>
      <c r="G11" s="35">
        <f>SUM(D11:F11)</f>
        <v>3121</v>
      </c>
      <c r="H11" s="50">
        <f>G11/(G8-G12)</f>
        <v>0.06983040229113528</v>
      </c>
      <c r="I11" s="28" t="s">
        <v>300</v>
      </c>
    </row>
    <row r="12" spans="1:9" ht="29.25" customHeight="1">
      <c r="A12" s="185" t="s">
        <v>162</v>
      </c>
      <c r="B12" s="79" t="s">
        <v>159</v>
      </c>
      <c r="C12" s="49"/>
      <c r="D12" s="68">
        <f>'必要経費概算（平成29年度分） '!B127</f>
        <v>13917</v>
      </c>
      <c r="E12" s="33">
        <f>'必要経費概算（平成30年度分）'!B126</f>
        <v>26790</v>
      </c>
      <c r="F12" s="34">
        <f>'必要経費概算（平成31年度分）'!B126</f>
        <v>26310</v>
      </c>
      <c r="G12" s="35">
        <f t="shared" si="0"/>
        <v>67017</v>
      </c>
      <c r="H12" s="73"/>
      <c r="I12" s="28"/>
    </row>
    <row r="13" spans="1:9" ht="29.25" customHeight="1">
      <c r="A13" s="186"/>
      <c r="B13" s="80"/>
      <c r="C13" s="51" t="s">
        <v>160</v>
      </c>
      <c r="D13" s="66">
        <f>'必要経費概算（平成29年度分） '!B128</f>
        <v>5298</v>
      </c>
      <c r="E13" s="24">
        <f>'必要経費概算（平成30年度分）'!B127</f>
        <v>15826</v>
      </c>
      <c r="F13" s="52">
        <f>'必要経費概算（平成31年度分）'!B127</f>
        <v>15826</v>
      </c>
      <c r="G13" s="26">
        <f>SUM(D13:F13)</f>
        <v>36950</v>
      </c>
      <c r="H13" s="50">
        <f>G13/G12</f>
        <v>0.551352641866989</v>
      </c>
      <c r="I13" s="74" t="s">
        <v>301</v>
      </c>
    </row>
    <row r="14" spans="1:8" ht="29.25" customHeight="1">
      <c r="A14" s="75"/>
      <c r="B14" s="80" t="s">
        <v>60</v>
      </c>
      <c r="C14" s="51"/>
      <c r="D14" s="66">
        <f>D5+D8</f>
        <v>32821</v>
      </c>
      <c r="E14" s="24">
        <f>E5+E8</f>
        <v>55758</v>
      </c>
      <c r="F14" s="52">
        <f>F5+F8</f>
        <v>53855</v>
      </c>
      <c r="G14" s="26">
        <f>G5+G8</f>
        <v>142434</v>
      </c>
      <c r="H14" s="53"/>
    </row>
    <row r="15" spans="1:8" ht="29.25" customHeight="1" thickBot="1">
      <c r="A15" s="75"/>
      <c r="B15" s="75" t="s">
        <v>31</v>
      </c>
      <c r="C15" s="54"/>
      <c r="D15" s="71">
        <f>ROUNDDOWN(D14*0.08,0)</f>
        <v>2625</v>
      </c>
      <c r="E15" s="55">
        <f>ROUNDDOWN(E14*0.08,0)</f>
        <v>4460</v>
      </c>
      <c r="F15" s="55">
        <f>ROUNDDOWN(F14*0.08,0)</f>
        <v>4308</v>
      </c>
      <c r="G15" s="56">
        <f>SUM(D15:F15)</f>
        <v>11393</v>
      </c>
      <c r="H15" s="57"/>
    </row>
    <row r="16" spans="1:8" ht="29.25" customHeight="1" thickBot="1">
      <c r="A16" s="75"/>
      <c r="B16" s="181" t="s">
        <v>61</v>
      </c>
      <c r="C16" s="181"/>
      <c r="D16" s="72">
        <f>D14+D15</f>
        <v>35446</v>
      </c>
      <c r="E16" s="58">
        <f>E14+E15</f>
        <v>60218</v>
      </c>
      <c r="F16" s="59">
        <f>F14+F15</f>
        <v>58163</v>
      </c>
      <c r="G16" s="60">
        <f>G14+G15</f>
        <v>153827</v>
      </c>
      <c r="H16" s="53"/>
    </row>
    <row r="17" spans="1:9" ht="29.25" customHeight="1">
      <c r="A17" s="81"/>
      <c r="B17" s="81"/>
      <c r="C17" s="81"/>
      <c r="D17" s="82">
        <f>(D9+D10+D11)/D14</f>
        <v>0.41692818622223576</v>
      </c>
      <c r="E17" s="82">
        <f>(E9+E10+E11)/E14</f>
        <v>0.2908461566053302</v>
      </c>
      <c r="F17" s="82">
        <f>(F9+F10+F11)/F14</f>
        <v>0.27468201652585644</v>
      </c>
      <c r="G17" s="82">
        <f>(G9+G10+G11)/G14</f>
        <v>0.31378743839251866</v>
      </c>
      <c r="H17" s="28" t="s">
        <v>198</v>
      </c>
      <c r="I17" s="74"/>
    </row>
    <row r="18" ht="15"/>
    <row r="19" ht="15.75" thickBot="1"/>
    <row r="20" spans="3:7" s="93" customFormat="1" ht="12">
      <c r="C20" s="94" t="s">
        <v>308</v>
      </c>
      <c r="D20" s="95"/>
      <c r="E20" s="96" t="s">
        <v>309</v>
      </c>
      <c r="F20" s="95"/>
      <c r="G20" s="97" t="s">
        <v>306</v>
      </c>
    </row>
    <row r="21" spans="3:7" ht="29.25" customHeight="1" thickBot="1">
      <c r="C21" s="89">
        <f>G16*1000</f>
        <v>153827000</v>
      </c>
      <c r="D21" s="90" t="s">
        <v>305</v>
      </c>
      <c r="E21" s="91">
        <v>105</v>
      </c>
      <c r="F21" s="90" t="s">
        <v>304</v>
      </c>
      <c r="G21" s="92">
        <f>C21/E21</f>
        <v>1465019.0476190476</v>
      </c>
    </row>
    <row r="22" ht="13.5">
      <c r="C22" s="93" t="s">
        <v>307</v>
      </c>
    </row>
  </sheetData>
  <sheetProtection/>
  <mergeCells count="9">
    <mergeCell ref="I6:L6"/>
    <mergeCell ref="B16:C16"/>
    <mergeCell ref="A5:A11"/>
    <mergeCell ref="A12:A13"/>
    <mergeCell ref="B1:G1"/>
    <mergeCell ref="E2:G2"/>
    <mergeCell ref="B4:C4"/>
    <mergeCell ref="B6:C6"/>
    <mergeCell ref="B7:C7"/>
  </mergeCells>
  <printOptions/>
  <pageMargins left="0.7086614173228347" right="0.3" top="0.5" bottom="0.4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2017-06-22T07:24:00Z</dcterms:created>
  <dcterms:modified xsi:type="dcterms:W3CDTF">2017-06-22T07:24:11Z</dcterms:modified>
  <cp:category/>
  <cp:version/>
  <cp:contentType/>
  <cp:contentStatus/>
</cp:coreProperties>
</file>