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3635" yWindow="345" windowWidth="6870" windowHeight="7770" tabRatio="834"/>
  </bookViews>
  <sheets>
    <sheet name="【年金全体】" sheetId="56" r:id="rId1"/>
    <sheet name="⇒厚年・国年" sheetId="75" r:id="rId2"/>
    <sheet name="【国民年金】" sheetId="29" r:id="rId3"/>
    <sheet name="国民年金" sheetId="88" r:id="rId4"/>
    <sheet name="【厚生年金】" sheetId="31" r:id="rId5"/>
    <sheet name="厚生年金" sheetId="89" r:id="rId6"/>
    <sheet name="人口等補正" sheetId="44" r:id="rId7"/>
    <sheet name="厚年比例の計算" sheetId="22" r:id="rId8"/>
    <sheet name="厚年定額の計算" sheetId="23" r:id="rId9"/>
    <sheet name="基礎年金拠出金の計算" sheetId="24" r:id="rId10"/>
    <sheet name="経済前提" sheetId="25" r:id="rId11"/>
    <sheet name="マクロ経済スライド" sheetId="201" r:id="rId12"/>
    <sheet name="⇒三共済・旧３公社等" sheetId="62" r:id="rId13"/>
    <sheet name="【三共済・旧３公社等】" sheetId="59" r:id="rId14"/>
    <sheet name="共済" sheetId="67" r:id="rId15"/>
    <sheet name="⇒年金生活者支援給付金" sheetId="77" r:id="rId16"/>
    <sheet name="【年金生活者支援給付金】" sheetId="72" r:id="rId17"/>
    <sheet name="⇒恩給" sheetId="82" r:id="rId18"/>
    <sheet name="【恩給】" sheetId="83" r:id="rId19"/>
    <sheet name="⇒その他" sheetId="205" r:id="rId20"/>
    <sheet name="【その他（恩給除く）】" sheetId="57" r:id="rId21"/>
  </sheets>
  <definedNames>
    <definedName name="__123Graph_B" localSheetId="18" hidden="1">#REF!</definedName>
    <definedName name="__123Graph_B" localSheetId="19" hidden="1">#REF!</definedName>
    <definedName name="__123Graph_B" localSheetId="1" hidden="1">#REF!</definedName>
    <definedName name="__123Graph_B" localSheetId="5" hidden="1">#REF!</definedName>
    <definedName name="__123Graph_B" localSheetId="3" hidden="1">#REF!</definedName>
    <definedName name="__123Graph_B" hidden="1">#REF!</definedName>
    <definedName name="__123Graph_X" localSheetId="18" hidden="1">#REF!</definedName>
    <definedName name="__123Graph_X" localSheetId="19" hidden="1">#REF!</definedName>
    <definedName name="__123Graph_X" localSheetId="1" hidden="1">#REF!</definedName>
    <definedName name="__123Graph_X" localSheetId="5" hidden="1">#REF!</definedName>
    <definedName name="__123Graph_X" localSheetId="3" hidden="1">#REF!</definedName>
    <definedName name="__123Graph_X" hidden="1">#REF!</definedName>
    <definedName name="_Fill" localSheetId="18" hidden="1">#REF!</definedName>
    <definedName name="_Fill" localSheetId="19" hidden="1">#REF!</definedName>
    <definedName name="_Fill" localSheetId="1" hidden="1">#REF!</definedName>
    <definedName name="_Fill" localSheetId="5" hidden="1">#REF!</definedName>
    <definedName name="_Fill" localSheetId="3" hidden="1">#REF!</definedName>
    <definedName name="_Fill" hidden="1">#REF!</definedName>
    <definedName name="_Order1" hidden="1">255</definedName>
    <definedName name="あＳ３" localSheetId="19" hidden="1">#REF!</definedName>
    <definedName name="あＳ３" hidden="1">#REF!</definedName>
  </definedNames>
  <calcPr calcId="145621"/>
</workbook>
</file>

<file path=xl/calcChain.xml><?xml version="1.0" encoding="utf-8"?>
<calcChain xmlns="http://schemas.openxmlformats.org/spreadsheetml/2006/main">
  <c r="AC5" i="67" l="1"/>
  <c r="AD5" i="67"/>
  <c r="AB5" i="67"/>
  <c r="AA5" i="67"/>
  <c r="Z5" i="67"/>
  <c r="U6" i="67"/>
  <c r="U7" i="67"/>
  <c r="U8" i="67"/>
  <c r="U9" i="67"/>
  <c r="U10" i="67"/>
  <c r="U11" i="67"/>
  <c r="U12" i="67"/>
  <c r="U13" i="67"/>
  <c r="U14" i="67"/>
  <c r="U15" i="67"/>
  <c r="U16" i="67"/>
  <c r="U17" i="67"/>
  <c r="U18" i="67"/>
  <c r="U19" i="67"/>
  <c r="U20" i="67"/>
  <c r="U21" i="67"/>
  <c r="U22" i="67"/>
  <c r="U23" i="67"/>
  <c r="U24" i="67"/>
  <c r="U25" i="67"/>
  <c r="U26" i="67"/>
  <c r="U27" i="67"/>
  <c r="V5" i="67"/>
  <c r="W5" i="67"/>
  <c r="X5" i="67"/>
  <c r="U5" i="67"/>
  <c r="B36" i="67" s="1"/>
  <c r="G48" i="67"/>
  <c r="G47" i="67"/>
  <c r="G46" i="67"/>
  <c r="G45" i="67"/>
  <c r="G44" i="67"/>
  <c r="G43" i="67"/>
  <c r="G42" i="67"/>
  <c r="G41" i="67"/>
  <c r="G40" i="67"/>
  <c r="G39" i="67"/>
  <c r="G38" i="67"/>
  <c r="G37" i="67"/>
  <c r="G36" i="67"/>
  <c r="G35" i="67"/>
  <c r="G34" i="67"/>
  <c r="B35" i="67"/>
  <c r="B37" i="67"/>
  <c r="B39" i="67"/>
  <c r="B41" i="67"/>
  <c r="B43" i="67"/>
  <c r="B45" i="67"/>
  <c r="B47" i="67"/>
  <c r="B49" i="67"/>
  <c r="B51" i="67"/>
  <c r="B53" i="67"/>
  <c r="B55" i="67"/>
  <c r="B34" i="67"/>
  <c r="L5" i="88"/>
  <c r="G49" i="67" l="1"/>
  <c r="G50" i="67"/>
  <c r="G51" i="67"/>
  <c r="G52" i="67"/>
  <c r="G53" i="67"/>
  <c r="G54" i="67"/>
  <c r="G55" i="67"/>
  <c r="B54" i="67"/>
  <c r="B52" i="67"/>
  <c r="B50" i="67"/>
  <c r="B48" i="67"/>
  <c r="B46" i="67"/>
  <c r="B44" i="67"/>
  <c r="B42" i="67"/>
  <c r="B40" i="67"/>
  <c r="B38" i="67"/>
  <c r="F5" i="56"/>
  <c r="E5" i="56"/>
  <c r="C5" i="59"/>
  <c r="C5" i="56" s="1"/>
  <c r="E7" i="83" l="1"/>
  <c r="E8" i="83"/>
  <c r="E9" i="83"/>
  <c r="E10" i="83"/>
  <c r="E11" i="83"/>
  <c r="E12" i="83"/>
  <c r="E13" i="83"/>
  <c r="E14" i="83"/>
  <c r="E15" i="83"/>
  <c r="E16" i="83"/>
  <c r="E17" i="83"/>
  <c r="E18" i="83"/>
  <c r="E19" i="83"/>
  <c r="E20" i="83"/>
  <c r="E21" i="83"/>
  <c r="E22" i="83"/>
  <c r="E23" i="83"/>
  <c r="E24" i="83"/>
  <c r="E25" i="83"/>
  <c r="E26" i="83"/>
  <c r="E27" i="83"/>
  <c r="E6" i="83"/>
  <c r="D7" i="83"/>
  <c r="D8" i="83"/>
  <c r="D9" i="83"/>
  <c r="D10" i="83"/>
  <c r="D11" i="83"/>
  <c r="D12" i="83"/>
  <c r="D13" i="83"/>
  <c r="D14" i="83"/>
  <c r="D15" i="83"/>
  <c r="D16" i="83"/>
  <c r="D17" i="83"/>
  <c r="D18" i="83"/>
  <c r="D19" i="83"/>
  <c r="D20" i="83"/>
  <c r="D21" i="83"/>
  <c r="D22" i="83"/>
  <c r="D23" i="83"/>
  <c r="D24" i="83"/>
  <c r="D25" i="83"/>
  <c r="D26" i="83"/>
  <c r="D27" i="83"/>
  <c r="D6" i="83"/>
  <c r="C7" i="83"/>
  <c r="C8" i="83"/>
  <c r="C9" i="83"/>
  <c r="C10" i="83"/>
  <c r="C11" i="83"/>
  <c r="C12" i="83"/>
  <c r="C13" i="83"/>
  <c r="C14" i="83"/>
  <c r="C15" i="83"/>
  <c r="C16" i="83"/>
  <c r="C17" i="83"/>
  <c r="C18" i="83"/>
  <c r="C19" i="83"/>
  <c r="C20" i="83"/>
  <c r="C21" i="83"/>
  <c r="C22" i="83"/>
  <c r="C23" i="83"/>
  <c r="C24" i="83"/>
  <c r="C25" i="83"/>
  <c r="C26" i="83"/>
  <c r="C27" i="83"/>
  <c r="C6" i="83"/>
  <c r="N27" i="25" l="1"/>
  <c r="N28" i="25"/>
  <c r="N29" i="25"/>
  <c r="N30" i="25"/>
  <c r="N31" i="25"/>
  <c r="N32" i="25"/>
  <c r="N33" i="25"/>
  <c r="N34" i="25"/>
  <c r="N35" i="25"/>
  <c r="N36" i="25"/>
  <c r="N37" i="25"/>
  <c r="N38" i="25"/>
  <c r="N26" i="25"/>
  <c r="G38" i="201"/>
  <c r="D38" i="201"/>
  <c r="D37" i="201"/>
  <c r="G37" i="201" s="1"/>
  <c r="H37" i="201" s="1"/>
  <c r="I37" i="201" s="1"/>
  <c r="G36" i="201"/>
  <c r="D36" i="201"/>
  <c r="D35" i="201"/>
  <c r="G35" i="201" s="1"/>
  <c r="H35" i="201" s="1"/>
  <c r="I35" i="201" s="1"/>
  <c r="G34" i="201"/>
  <c r="H34" i="201" s="1"/>
  <c r="I34" i="201" s="1"/>
  <c r="D34" i="201"/>
  <c r="D33" i="201"/>
  <c r="G33" i="201" s="1"/>
  <c r="H33" i="201" s="1"/>
  <c r="I33" i="201" s="1"/>
  <c r="G32" i="201"/>
  <c r="H32" i="201" s="1"/>
  <c r="I32" i="201" s="1"/>
  <c r="D32" i="201"/>
  <c r="D31" i="201"/>
  <c r="G31" i="201" s="1"/>
  <c r="H31" i="201" s="1"/>
  <c r="I31" i="201" s="1"/>
  <c r="G30" i="201"/>
  <c r="D30" i="201"/>
  <c r="D29" i="201"/>
  <c r="G29" i="201" s="1"/>
  <c r="H29" i="201" s="1"/>
  <c r="I29" i="201" s="1"/>
  <c r="G28" i="201"/>
  <c r="D28" i="201"/>
  <c r="D27" i="201"/>
  <c r="G27" i="201" s="1"/>
  <c r="H27" i="201" s="1"/>
  <c r="I27" i="201" s="1"/>
  <c r="G26" i="201"/>
  <c r="H26" i="201" s="1"/>
  <c r="I26" i="201" s="1"/>
  <c r="D26" i="201"/>
  <c r="D25" i="201"/>
  <c r="G25" i="201" s="1"/>
  <c r="H25" i="201" s="1"/>
  <c r="I25" i="201" s="1"/>
  <c r="G24" i="201"/>
  <c r="H24" i="201" s="1"/>
  <c r="I24" i="201" s="1"/>
  <c r="D24" i="201"/>
  <c r="D23" i="201"/>
  <c r="G23" i="201" s="1"/>
  <c r="D22" i="201"/>
  <c r="G22" i="201" s="1"/>
  <c r="H22" i="201" s="1"/>
  <c r="I22" i="201" s="1"/>
  <c r="D21" i="201"/>
  <c r="G21" i="201" s="1"/>
  <c r="C7" i="89"/>
  <c r="C8" i="89"/>
  <c r="C9" i="89"/>
  <c r="C10" i="89"/>
  <c r="C11" i="89"/>
  <c r="C12" i="89"/>
  <c r="C13" i="89"/>
  <c r="C14" i="89"/>
  <c r="C15" i="89"/>
  <c r="C16" i="89"/>
  <c r="C17" i="89"/>
  <c r="C18" i="89"/>
  <c r="C19" i="89"/>
  <c r="C20" i="89"/>
  <c r="C21" i="89"/>
  <c r="C22" i="89"/>
  <c r="C23" i="89"/>
  <c r="C24" i="89"/>
  <c r="C25" i="89"/>
  <c r="C26" i="89"/>
  <c r="C27" i="89"/>
  <c r="C6" i="89"/>
  <c r="U5" i="44"/>
  <c r="T5" i="44"/>
  <c r="P5" i="44"/>
  <c r="O5" i="44"/>
  <c r="V3" i="44"/>
  <c r="V5" i="44" s="1"/>
  <c r="Q3" i="44"/>
  <c r="Q5" i="44" s="1"/>
  <c r="F5" i="31"/>
  <c r="E5" i="31" s="1"/>
  <c r="D5" i="31"/>
  <c r="C5" i="31"/>
  <c r="E5" i="29"/>
  <c r="D5" i="29"/>
  <c r="C5" i="29"/>
  <c r="H7" i="88"/>
  <c r="H8" i="88"/>
  <c r="H9" i="88"/>
  <c r="H10" i="88"/>
  <c r="H11" i="88"/>
  <c r="H12" i="88"/>
  <c r="H13" i="88"/>
  <c r="H14" i="88"/>
  <c r="H15" i="88"/>
  <c r="H16" i="88"/>
  <c r="H17" i="88"/>
  <c r="H18" i="88"/>
  <c r="H19" i="88"/>
  <c r="H20" i="88"/>
  <c r="H21" i="88"/>
  <c r="H22" i="88"/>
  <c r="H23" i="88"/>
  <c r="H24" i="88"/>
  <c r="H25" i="88"/>
  <c r="H26" i="88"/>
  <c r="H27" i="88"/>
  <c r="H6" i="88"/>
  <c r="J29" i="201" l="1"/>
  <c r="K29" i="201" s="1"/>
  <c r="H30" i="201"/>
  <c r="I30" i="201" s="1"/>
  <c r="J34" i="201" s="1"/>
  <c r="K34" i="201" s="1"/>
  <c r="J37" i="201"/>
  <c r="K37" i="201" s="1"/>
  <c r="H38" i="201"/>
  <c r="I38" i="201" s="1"/>
  <c r="H23" i="201"/>
  <c r="I23" i="201" s="1"/>
  <c r="J27" i="201" s="1"/>
  <c r="K27" i="201" s="1"/>
  <c r="H28" i="201"/>
  <c r="I28" i="201" s="1"/>
  <c r="J32" i="201" s="1"/>
  <c r="K32" i="201" s="1"/>
  <c r="J35" i="201"/>
  <c r="K35" i="201" s="1"/>
  <c r="H36" i="201"/>
  <c r="I36" i="201" s="1"/>
  <c r="J38" i="201" s="1"/>
  <c r="K38" i="201" s="1"/>
  <c r="J33" i="201"/>
  <c r="K33" i="201" s="1"/>
  <c r="J26" i="201"/>
  <c r="K26" i="201" s="1"/>
  <c r="J28" i="201"/>
  <c r="K28" i="201" s="1"/>
  <c r="J31" i="201"/>
  <c r="K31" i="201" s="1"/>
  <c r="J36" i="201"/>
  <c r="K36" i="201" s="1"/>
  <c r="X4" i="44"/>
  <c r="J30" i="201" l="1"/>
  <c r="K30" i="201" s="1"/>
  <c r="G6" i="83"/>
  <c r="G7" i="83" s="1"/>
  <c r="G8" i="83" s="1"/>
  <c r="G9" i="83" s="1"/>
  <c r="G10" i="83" s="1"/>
  <c r="G11" i="83" s="1"/>
  <c r="G12" i="83" s="1"/>
  <c r="G13" i="83" s="1"/>
  <c r="G14" i="83" s="1"/>
  <c r="G15" i="83" s="1"/>
  <c r="G16" i="83" s="1"/>
  <c r="G17" i="83" s="1"/>
  <c r="G18" i="83" s="1"/>
  <c r="G19" i="83" s="1"/>
  <c r="G20" i="83" s="1"/>
  <c r="G21" i="83" s="1"/>
  <c r="G22" i="83" s="1"/>
  <c r="G23" i="83" s="1"/>
  <c r="G24" i="83" s="1"/>
  <c r="G25" i="83" s="1"/>
  <c r="G26" i="83" s="1"/>
  <c r="G27" i="83" s="1"/>
  <c r="R5" i="67"/>
  <c r="R6" i="67"/>
  <c r="R7" i="67"/>
  <c r="R8" i="67"/>
  <c r="R9" i="67"/>
  <c r="R10" i="67"/>
  <c r="R11" i="67"/>
  <c r="R12" i="67"/>
  <c r="R13" i="67"/>
  <c r="R14" i="67"/>
  <c r="R15" i="67"/>
  <c r="R16" i="67"/>
  <c r="R17" i="67"/>
  <c r="R18" i="67"/>
  <c r="R19" i="67"/>
  <c r="R20" i="67"/>
  <c r="R21" i="67"/>
  <c r="R22" i="67"/>
  <c r="R23" i="67"/>
  <c r="R24" i="67"/>
  <c r="R25" i="67"/>
  <c r="R26" i="67"/>
  <c r="R27" i="67"/>
  <c r="O5" i="67"/>
  <c r="P5" i="67"/>
  <c r="Q5" i="67"/>
  <c r="O6" i="67"/>
  <c r="P6" i="67"/>
  <c r="Q6" i="67"/>
  <c r="O7" i="67"/>
  <c r="P7" i="67"/>
  <c r="Q7" i="67"/>
  <c r="O8" i="67"/>
  <c r="P8" i="67"/>
  <c r="Q8" i="67"/>
  <c r="O9" i="67"/>
  <c r="P9" i="67"/>
  <c r="Q9" i="67"/>
  <c r="O10" i="67"/>
  <c r="P10" i="67"/>
  <c r="Q10" i="67"/>
  <c r="O11" i="67"/>
  <c r="P11" i="67"/>
  <c r="Q11" i="67"/>
  <c r="O12" i="67"/>
  <c r="P12" i="67"/>
  <c r="Q12" i="67"/>
  <c r="O13" i="67"/>
  <c r="P13" i="67"/>
  <c r="Q13" i="67"/>
  <c r="O14" i="67"/>
  <c r="P14" i="67"/>
  <c r="Q14" i="67"/>
  <c r="O15" i="67"/>
  <c r="P15" i="67"/>
  <c r="Q15" i="67"/>
  <c r="O16" i="67"/>
  <c r="P16" i="67"/>
  <c r="Q16" i="67"/>
  <c r="O17" i="67"/>
  <c r="P17" i="67"/>
  <c r="Q17" i="67"/>
  <c r="O18" i="67"/>
  <c r="P18" i="67"/>
  <c r="Q18" i="67"/>
  <c r="O19" i="67"/>
  <c r="P19" i="67"/>
  <c r="Q19" i="67"/>
  <c r="O20" i="67"/>
  <c r="P20" i="67"/>
  <c r="Q20" i="67"/>
  <c r="O21" i="67"/>
  <c r="P21" i="67"/>
  <c r="Q21" i="67"/>
  <c r="O22" i="67"/>
  <c r="P22" i="67"/>
  <c r="Q22" i="67"/>
  <c r="O23" i="67"/>
  <c r="P23" i="67"/>
  <c r="Q23" i="67"/>
  <c r="O24" i="67"/>
  <c r="P24" i="67"/>
  <c r="Q24" i="67"/>
  <c r="O25" i="67"/>
  <c r="P25" i="67"/>
  <c r="Q25" i="67"/>
  <c r="O26" i="67"/>
  <c r="P26" i="67"/>
  <c r="Q26" i="67"/>
  <c r="O27" i="67"/>
  <c r="P27" i="67"/>
  <c r="Q27" i="67"/>
  <c r="G56" i="25" l="1"/>
  <c r="D19" i="201" l="1"/>
  <c r="G19" i="201" s="1"/>
  <c r="D18" i="201"/>
  <c r="G18" i="201" s="1"/>
  <c r="D17" i="201"/>
  <c r="G17" i="201" s="1"/>
  <c r="D16" i="201"/>
  <c r="G16" i="201" s="1"/>
  <c r="D15" i="201"/>
  <c r="G15" i="201" s="1"/>
  <c r="D14" i="201"/>
  <c r="G14" i="201" s="1"/>
  <c r="D13" i="201"/>
  <c r="G13" i="201" s="1"/>
  <c r="D12" i="201"/>
  <c r="G12" i="201" s="1"/>
  <c r="D11" i="201"/>
  <c r="G11" i="201" s="1"/>
  <c r="J10" i="201"/>
  <c r="K10" i="201" s="1"/>
  <c r="N16" i="25" s="1"/>
  <c r="D10" i="201"/>
  <c r="G10" i="201" s="1"/>
  <c r="J9" i="201"/>
  <c r="K9" i="201" s="1"/>
  <c r="N15" i="25" s="1"/>
  <c r="D9" i="201"/>
  <c r="G9" i="201" s="1"/>
  <c r="D8" i="201"/>
  <c r="G8" i="201" s="1"/>
  <c r="H8" i="201" s="1"/>
  <c r="D7" i="201"/>
  <c r="G7" i="201" s="1"/>
  <c r="D6" i="201"/>
  <c r="G6" i="201" s="1"/>
  <c r="D5" i="201"/>
  <c r="H10" i="201" l="1"/>
  <c r="I10" i="201" s="1"/>
  <c r="H17" i="201"/>
  <c r="I17" i="201" s="1"/>
  <c r="H13" i="201"/>
  <c r="I13" i="201" s="1"/>
  <c r="H9" i="201"/>
  <c r="I9" i="201" s="1"/>
  <c r="J13" i="201" s="1"/>
  <c r="K13" i="201" s="1"/>
  <c r="N19" i="25" s="1"/>
  <c r="H14" i="201"/>
  <c r="I14" i="201" s="1"/>
  <c r="J12" i="201"/>
  <c r="K12" i="201" s="1"/>
  <c r="N18" i="25" s="1"/>
  <c r="J11" i="201"/>
  <c r="K11" i="201" s="1"/>
  <c r="N17" i="25" s="1"/>
  <c r="H11" i="201"/>
  <c r="I11" i="201" s="1"/>
  <c r="H15" i="201"/>
  <c r="I15" i="201" s="1"/>
  <c r="H19" i="201"/>
  <c r="I19" i="201" s="1"/>
  <c r="H18" i="201"/>
  <c r="I18" i="201" s="1"/>
  <c r="H7" i="201"/>
  <c r="H12" i="201"/>
  <c r="I12" i="201" s="1"/>
  <c r="H16" i="201"/>
  <c r="I16" i="201" s="1"/>
  <c r="J17" i="201" l="1"/>
  <c r="K17" i="201" s="1"/>
  <c r="N23" i="25" s="1"/>
  <c r="J16" i="201"/>
  <c r="K16" i="201" s="1"/>
  <c r="N22" i="25" s="1"/>
  <c r="J19" i="201"/>
  <c r="K19" i="201" s="1"/>
  <c r="N25" i="25" s="1"/>
  <c r="J15" i="201"/>
  <c r="K15" i="201" s="1"/>
  <c r="N21" i="25" s="1"/>
  <c r="J18" i="201"/>
  <c r="K18" i="201" s="1"/>
  <c r="N24" i="25" s="1"/>
  <c r="J14" i="201"/>
  <c r="K14" i="201" s="1"/>
  <c r="N20" i="25" s="1"/>
  <c r="T79" i="25" l="1"/>
  <c r="T78" i="25"/>
  <c r="T77" i="25"/>
  <c r="T76" i="25"/>
  <c r="T75" i="25"/>
  <c r="T74" i="25"/>
  <c r="T73" i="25"/>
  <c r="T72" i="25"/>
  <c r="T71" i="25"/>
  <c r="T70" i="25"/>
  <c r="T69" i="25"/>
  <c r="T68" i="25"/>
  <c r="T67" i="25"/>
  <c r="T66" i="25"/>
  <c r="T65" i="25"/>
  <c r="T64" i="25"/>
  <c r="T63" i="25"/>
  <c r="T62" i="25"/>
  <c r="T61" i="25"/>
  <c r="T60" i="25"/>
  <c r="T59" i="25"/>
  <c r="T58" i="25"/>
  <c r="T57" i="25"/>
  <c r="S38" i="25"/>
  <c r="S37" i="25"/>
  <c r="S36" i="25"/>
  <c r="S35" i="25"/>
  <c r="S34" i="25"/>
  <c r="S33" i="25"/>
  <c r="S32" i="25"/>
  <c r="S31" i="25"/>
  <c r="S30" i="25"/>
  <c r="S29" i="25"/>
  <c r="S28" i="25"/>
  <c r="S27" i="25"/>
  <c r="S26" i="25"/>
  <c r="S25" i="25"/>
  <c r="S24" i="25"/>
  <c r="S23" i="25"/>
  <c r="S22" i="25"/>
  <c r="S21" i="25"/>
  <c r="S20" i="25"/>
  <c r="S19" i="25"/>
  <c r="S18" i="25"/>
  <c r="S17" i="25"/>
  <c r="S16" i="25"/>
  <c r="S15" i="25"/>
  <c r="S14" i="25"/>
  <c r="S13" i="25"/>
  <c r="V58" i="25" l="1"/>
  <c r="H56" i="89"/>
  <c r="E56" i="89"/>
  <c r="H55" i="89"/>
  <c r="E55" i="89"/>
  <c r="H54" i="89"/>
  <c r="E54" i="89"/>
  <c r="H53" i="89"/>
  <c r="E53" i="89"/>
  <c r="H52" i="89"/>
  <c r="E52" i="89"/>
  <c r="H51" i="89"/>
  <c r="E51" i="89"/>
  <c r="H50" i="89"/>
  <c r="E50" i="89"/>
  <c r="H49" i="89"/>
  <c r="E49" i="89"/>
  <c r="H48" i="89"/>
  <c r="E48" i="89"/>
  <c r="H47" i="89"/>
  <c r="E47" i="89"/>
  <c r="H46" i="89"/>
  <c r="E46" i="89"/>
  <c r="H45" i="89"/>
  <c r="E45" i="89"/>
  <c r="H44" i="89"/>
  <c r="E44" i="89"/>
  <c r="H43" i="89"/>
  <c r="E43" i="89"/>
  <c r="H42" i="89"/>
  <c r="E42" i="89"/>
  <c r="H41" i="89"/>
  <c r="E41" i="89"/>
  <c r="H40" i="89"/>
  <c r="E40" i="89"/>
  <c r="H39" i="89"/>
  <c r="E39" i="89"/>
  <c r="H38" i="89"/>
  <c r="E38" i="89"/>
  <c r="H37" i="89"/>
  <c r="E37" i="89"/>
  <c r="H36" i="89"/>
  <c r="E36" i="89"/>
  <c r="H35" i="89"/>
  <c r="E35" i="89"/>
  <c r="H34" i="89"/>
  <c r="E34" i="89"/>
  <c r="D34" i="89" l="1"/>
  <c r="D38" i="89"/>
  <c r="D42" i="89"/>
  <c r="D54" i="89"/>
  <c r="D41" i="89"/>
  <c r="D45" i="89"/>
  <c r="D49" i="89"/>
  <c r="D53" i="89"/>
  <c r="D36" i="89"/>
  <c r="D40" i="89"/>
  <c r="D44" i="89"/>
  <c r="D48" i="89"/>
  <c r="D52" i="89"/>
  <c r="D56" i="89"/>
  <c r="D46" i="89"/>
  <c r="D50" i="89"/>
  <c r="D37" i="89"/>
  <c r="D35" i="89"/>
  <c r="D39" i="89"/>
  <c r="D43" i="89"/>
  <c r="D47" i="89"/>
  <c r="D51" i="89"/>
  <c r="D55" i="89"/>
  <c r="V59" i="25"/>
  <c r="V60" i="25" l="1"/>
  <c r="V61" i="25" l="1"/>
  <c r="V62" i="25" l="1"/>
  <c r="V63" i="25" l="1"/>
  <c r="F55" i="88"/>
  <c r="B55" i="88"/>
  <c r="F54" i="88"/>
  <c r="B54" i="88"/>
  <c r="F53" i="88"/>
  <c r="E53" i="88" s="1"/>
  <c r="B53" i="88"/>
  <c r="F52" i="88"/>
  <c r="B52" i="88"/>
  <c r="F51" i="88"/>
  <c r="B51" i="88"/>
  <c r="F50" i="88"/>
  <c r="B50" i="88"/>
  <c r="F49" i="88"/>
  <c r="B49" i="88"/>
  <c r="F48" i="88"/>
  <c r="B48" i="88"/>
  <c r="F47" i="88"/>
  <c r="B47" i="88"/>
  <c r="F46" i="88"/>
  <c r="E46" i="88" s="1"/>
  <c r="B46" i="88"/>
  <c r="F45" i="88"/>
  <c r="B45" i="88"/>
  <c r="F44" i="88"/>
  <c r="E44" i="88" s="1"/>
  <c r="B44" i="88"/>
  <c r="F43" i="88"/>
  <c r="B43" i="88"/>
  <c r="F42" i="88"/>
  <c r="B42" i="88"/>
  <c r="F41" i="88"/>
  <c r="B41" i="88"/>
  <c r="F40" i="88"/>
  <c r="E40" i="88" s="1"/>
  <c r="B40" i="88"/>
  <c r="F39" i="88"/>
  <c r="E39" i="88" s="1"/>
  <c r="B39" i="88"/>
  <c r="F38" i="88"/>
  <c r="E38" i="88" s="1"/>
  <c r="B38" i="88"/>
  <c r="F37" i="88"/>
  <c r="B37" i="88"/>
  <c r="F36" i="88"/>
  <c r="E36" i="88" s="1"/>
  <c r="B36" i="88"/>
  <c r="F35" i="88"/>
  <c r="B35" i="88"/>
  <c r="F34" i="88"/>
  <c r="E34" i="88" s="1"/>
  <c r="B34" i="88"/>
  <c r="F33" i="88"/>
  <c r="B33" i="88"/>
  <c r="V64" i="25" l="1"/>
  <c r="E54" i="88"/>
  <c r="E42" i="88"/>
  <c r="E43" i="88"/>
  <c r="E49" i="88"/>
  <c r="E50" i="88"/>
  <c r="E52" i="88"/>
  <c r="E55" i="88"/>
  <c r="E33" i="88"/>
  <c r="E35" i="88"/>
  <c r="E37" i="88"/>
  <c r="E48" i="88"/>
  <c r="E45" i="88"/>
  <c r="E51" i="88"/>
  <c r="E41" i="88"/>
  <c r="E47" i="88"/>
  <c r="V65" i="25" l="1"/>
  <c r="V66" i="25" l="1"/>
  <c r="V67" i="25" l="1"/>
  <c r="V68" i="25" l="1"/>
  <c r="V69" i="25" l="1"/>
  <c r="V70" i="25" l="1"/>
  <c r="V71" i="25" l="1"/>
  <c r="V72" i="25" l="1"/>
  <c r="V73" i="25" l="1"/>
  <c r="V74" i="25" l="1"/>
  <c r="V75" i="25" l="1"/>
  <c r="V76" i="25" l="1"/>
  <c r="V77" i="25" l="1"/>
  <c r="V78" i="25" l="1"/>
  <c r="V79" i="25" l="1"/>
  <c r="F29" i="72" l="1"/>
  <c r="C8" i="72"/>
  <c r="C7" i="72"/>
  <c r="C9" i="72" l="1"/>
  <c r="C10" i="72" s="1"/>
  <c r="C11" i="72" l="1"/>
  <c r="C12" i="72" l="1"/>
  <c r="C13" i="72" l="1"/>
  <c r="C14" i="72" l="1"/>
  <c r="C15" i="72" l="1"/>
  <c r="C16" i="72" l="1"/>
  <c r="C17" i="72" l="1"/>
  <c r="C18" i="72" l="1"/>
  <c r="C19" i="72" l="1"/>
  <c r="C20" i="72" l="1"/>
  <c r="C21" i="72" l="1"/>
  <c r="C22" i="72" l="1"/>
  <c r="C23" i="72" l="1"/>
  <c r="C24" i="72" l="1"/>
  <c r="C25" i="72" l="1"/>
  <c r="C26" i="72" l="1"/>
  <c r="C27" i="72" l="1"/>
  <c r="C28" i="72" l="1"/>
  <c r="G5" i="57" l="1"/>
  <c r="G6" i="57"/>
  <c r="G7" i="57"/>
  <c r="G8" i="57"/>
  <c r="G9" i="57"/>
  <c r="G10" i="57"/>
  <c r="G11" i="57"/>
  <c r="G12" i="57"/>
  <c r="G13" i="57"/>
  <c r="G14" i="57"/>
  <c r="G15" i="57"/>
  <c r="G16" i="57"/>
  <c r="G17" i="57"/>
  <c r="G18" i="57"/>
  <c r="G19" i="57"/>
  <c r="G20" i="57"/>
  <c r="G21" i="57"/>
  <c r="G22" i="57"/>
  <c r="G23" i="57"/>
  <c r="G24" i="57"/>
  <c r="G25" i="57"/>
  <c r="G26" i="57"/>
  <c r="G27" i="57"/>
  <c r="E27" i="57" l="1"/>
  <c r="C27" i="57"/>
  <c r="F27" i="57"/>
  <c r="D27" i="57"/>
  <c r="E11" i="57"/>
  <c r="F11" i="57"/>
  <c r="D11" i="57"/>
  <c r="C11" i="57"/>
  <c r="F26" i="57"/>
  <c r="D26" i="57"/>
  <c r="E26" i="57"/>
  <c r="C26" i="57"/>
  <c r="D22" i="57"/>
  <c r="F22" i="57"/>
  <c r="C22" i="57"/>
  <c r="E22" i="57"/>
  <c r="F18" i="57"/>
  <c r="D18" i="57"/>
  <c r="E18" i="57"/>
  <c r="C18" i="57"/>
  <c r="F14" i="57"/>
  <c r="D14" i="57"/>
  <c r="E14" i="57"/>
  <c r="C14" i="57"/>
  <c r="F10" i="57"/>
  <c r="D10" i="57"/>
  <c r="E10" i="57"/>
  <c r="C10" i="57"/>
  <c r="E6" i="57"/>
  <c r="C6" i="57"/>
  <c r="D6" i="57"/>
  <c r="F6" i="57"/>
  <c r="E23" i="57"/>
  <c r="D23" i="57"/>
  <c r="C23" i="57"/>
  <c r="F23" i="57"/>
  <c r="E7" i="57"/>
  <c r="D7" i="57"/>
  <c r="C7" i="57"/>
  <c r="F7" i="57"/>
  <c r="F25" i="57"/>
  <c r="E25" i="57"/>
  <c r="C25" i="57"/>
  <c r="D25" i="57"/>
  <c r="F21" i="57"/>
  <c r="D21" i="57"/>
  <c r="C21" i="57"/>
  <c r="E21" i="57"/>
  <c r="F17" i="57"/>
  <c r="D17" i="57"/>
  <c r="C17" i="57"/>
  <c r="E17" i="57"/>
  <c r="F13" i="57"/>
  <c r="D13" i="57"/>
  <c r="C13" i="57"/>
  <c r="E13" i="57"/>
  <c r="F9" i="57"/>
  <c r="E9" i="57"/>
  <c r="D9" i="57"/>
  <c r="C9" i="57"/>
  <c r="E19" i="57"/>
  <c r="F19" i="57"/>
  <c r="C19" i="57"/>
  <c r="D19" i="57"/>
  <c r="E15" i="57"/>
  <c r="C15" i="57"/>
  <c r="D15" i="57"/>
  <c r="F15" i="57"/>
  <c r="E24" i="57"/>
  <c r="F24" i="57"/>
  <c r="D24" i="57"/>
  <c r="C24" i="57"/>
  <c r="E20" i="57"/>
  <c r="D20" i="57"/>
  <c r="C20" i="57"/>
  <c r="F20" i="57"/>
  <c r="E16" i="57"/>
  <c r="C16" i="57"/>
  <c r="F16" i="57"/>
  <c r="D16" i="57"/>
  <c r="E12" i="57"/>
  <c r="D12" i="57"/>
  <c r="C12" i="57"/>
  <c r="F12" i="57"/>
  <c r="E8" i="57"/>
  <c r="F8" i="57"/>
  <c r="C8" i="57"/>
  <c r="D8" i="57"/>
  <c r="A6" i="59"/>
  <c r="A7" i="59" s="1"/>
  <c r="A8" i="59" s="1"/>
  <c r="A9" i="59" s="1"/>
  <c r="A10" i="59" s="1"/>
  <c r="A11" i="59" s="1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B6" i="59"/>
  <c r="B7" i="59" s="1"/>
  <c r="B8" i="59" s="1"/>
  <c r="B9" i="59" s="1"/>
  <c r="B10" i="59" s="1"/>
  <c r="B11" i="59" s="1"/>
  <c r="B12" i="59" s="1"/>
  <c r="B13" i="59" s="1"/>
  <c r="B14" i="59" s="1"/>
  <c r="B15" i="59" s="1"/>
  <c r="B16" i="59" s="1"/>
  <c r="B17" i="59" s="1"/>
  <c r="B18" i="59" s="1"/>
  <c r="B19" i="59" s="1"/>
  <c r="B20" i="59" s="1"/>
  <c r="B21" i="59" s="1"/>
  <c r="B22" i="59" s="1"/>
  <c r="B23" i="59" s="1"/>
  <c r="B24" i="59" s="1"/>
  <c r="B25" i="59" s="1"/>
  <c r="B26" i="59" s="1"/>
  <c r="B27" i="59" s="1"/>
  <c r="Q27" i="25" l="1"/>
  <c r="T27" i="25" s="1"/>
  <c r="Q20" i="25"/>
  <c r="T20" i="25" s="1"/>
  <c r="Q13" i="25"/>
  <c r="Q35" i="25"/>
  <c r="T35" i="25" s="1"/>
  <c r="Q15" i="25"/>
  <c r="T15" i="25" s="1"/>
  <c r="Q32" i="25"/>
  <c r="T32" i="25" s="1"/>
  <c r="Q23" i="25"/>
  <c r="T23" i="25" s="1"/>
  <c r="Q33" i="25"/>
  <c r="T33" i="25" s="1"/>
  <c r="Q18" i="25"/>
  <c r="T18" i="25" s="1"/>
  <c r="Q30" i="25"/>
  <c r="T30" i="25" s="1"/>
  <c r="Q22" i="25"/>
  <c r="T22" i="25" s="1"/>
  <c r="Q36" i="25"/>
  <c r="T36" i="25" s="1"/>
  <c r="Q16" i="25"/>
  <c r="T16" i="25" s="1"/>
  <c r="Q26" i="25"/>
  <c r="T26" i="25" s="1"/>
  <c r="U27" i="25" s="1"/>
  <c r="Q19" i="25"/>
  <c r="T19" i="25" s="1"/>
  <c r="Q21" i="25"/>
  <c r="T21" i="25" s="1"/>
  <c r="Q28" i="25"/>
  <c r="T28" i="25" s="1"/>
  <c r="U28" i="25" s="1"/>
  <c r="Q25" i="25"/>
  <c r="T25" i="25" s="1"/>
  <c r="Q24" i="25"/>
  <c r="T24" i="25" s="1"/>
  <c r="Q12" i="25"/>
  <c r="Q14" i="25"/>
  <c r="Q37" i="25"/>
  <c r="T37" i="25" s="1"/>
  <c r="Q38" i="25"/>
  <c r="T38" i="25" s="1"/>
  <c r="Q17" i="25"/>
  <c r="T17" i="25" s="1"/>
  <c r="Q29" i="25"/>
  <c r="T29" i="25" s="1"/>
  <c r="Q31" i="25"/>
  <c r="T31" i="25" s="1"/>
  <c r="Q34" i="25"/>
  <c r="T34" i="25" s="1"/>
  <c r="U18" i="25" l="1"/>
  <c r="U16" i="25"/>
  <c r="U21" i="25"/>
  <c r="U20" i="25"/>
  <c r="U33" i="25"/>
  <c r="U32" i="25"/>
  <c r="U35" i="25"/>
  <c r="U36" i="25"/>
  <c r="U23" i="25"/>
  <c r="U24" i="25"/>
  <c r="U37" i="25"/>
  <c r="U22" i="25"/>
  <c r="U30" i="25"/>
  <c r="U38" i="25"/>
  <c r="U26" i="25"/>
  <c r="U25" i="25"/>
  <c r="U17" i="25"/>
  <c r="V17" i="25" s="1"/>
  <c r="U34" i="25"/>
  <c r="U29" i="25"/>
  <c r="U19" i="25"/>
  <c r="U31" i="25"/>
  <c r="V18" i="25" l="1"/>
  <c r="V19" i="25" l="1"/>
  <c r="V20" i="25" l="1"/>
  <c r="V21" i="25" l="1"/>
  <c r="V22" i="25" l="1"/>
  <c r="V23" i="25" l="1"/>
  <c r="V24" i="25" l="1"/>
  <c r="V25" i="25" l="1"/>
  <c r="G6" i="44"/>
  <c r="H6" i="44"/>
  <c r="G7" i="44"/>
  <c r="H7" i="44"/>
  <c r="G8" i="44"/>
  <c r="H8" i="44"/>
  <c r="G9" i="44"/>
  <c r="H9" i="44"/>
  <c r="G10" i="44"/>
  <c r="H10" i="44"/>
  <c r="G11" i="44"/>
  <c r="H11" i="44"/>
  <c r="D11" i="44" s="1"/>
  <c r="G12" i="44"/>
  <c r="H12" i="44"/>
  <c r="G13" i="44"/>
  <c r="H13" i="44"/>
  <c r="D13" i="44" s="1"/>
  <c r="G14" i="44"/>
  <c r="H14" i="44"/>
  <c r="G15" i="44"/>
  <c r="H15" i="44"/>
  <c r="D15" i="44" s="1"/>
  <c r="G16" i="44"/>
  <c r="H16" i="44"/>
  <c r="G17" i="44"/>
  <c r="H17" i="44"/>
  <c r="D17" i="44" s="1"/>
  <c r="G18" i="44"/>
  <c r="H18" i="44"/>
  <c r="G19" i="44"/>
  <c r="H19" i="44"/>
  <c r="D19" i="44" s="1"/>
  <c r="G20" i="44"/>
  <c r="H20" i="44"/>
  <c r="G21" i="44"/>
  <c r="H21" i="44"/>
  <c r="D21" i="44" s="1"/>
  <c r="G22" i="44"/>
  <c r="H22" i="44"/>
  <c r="G23" i="44"/>
  <c r="H23" i="44"/>
  <c r="D23" i="44" s="1"/>
  <c r="G24" i="44"/>
  <c r="H24" i="44"/>
  <c r="G25" i="44"/>
  <c r="H25" i="44"/>
  <c r="D25" i="44" s="1"/>
  <c r="G26" i="44"/>
  <c r="H26" i="44"/>
  <c r="G27" i="44"/>
  <c r="H27" i="44"/>
  <c r="D27" i="44" s="1"/>
  <c r="G28" i="44"/>
  <c r="H28" i="44"/>
  <c r="G29" i="44"/>
  <c r="H29" i="44"/>
  <c r="D29" i="44" s="1"/>
  <c r="G30" i="44"/>
  <c r="H30" i="44"/>
  <c r="G31" i="44"/>
  <c r="H31" i="44"/>
  <c r="D31" i="44" s="1"/>
  <c r="G32" i="44"/>
  <c r="H32" i="44"/>
  <c r="G33" i="44"/>
  <c r="H33" i="44"/>
  <c r="D33" i="44" s="1"/>
  <c r="H5" i="44"/>
  <c r="G5" i="44"/>
  <c r="C30" i="44" l="1"/>
  <c r="B30" i="44"/>
  <c r="C26" i="44"/>
  <c r="B26" i="44"/>
  <c r="C20" i="44"/>
  <c r="B20" i="44"/>
  <c r="C12" i="44"/>
  <c r="B12" i="44"/>
  <c r="C33" i="44"/>
  <c r="B33" i="44"/>
  <c r="C31" i="44"/>
  <c r="B31" i="44"/>
  <c r="C29" i="44"/>
  <c r="B29" i="44"/>
  <c r="C27" i="44"/>
  <c r="B27" i="44"/>
  <c r="C25" i="44"/>
  <c r="B25" i="44"/>
  <c r="C23" i="44"/>
  <c r="B23" i="44"/>
  <c r="C21" i="44"/>
  <c r="B21" i="44"/>
  <c r="C19" i="44"/>
  <c r="B19" i="44"/>
  <c r="C17" i="44"/>
  <c r="B17" i="44"/>
  <c r="C15" i="44"/>
  <c r="B15" i="44"/>
  <c r="C13" i="44"/>
  <c r="B13" i="44"/>
  <c r="C11" i="44"/>
  <c r="B11" i="44"/>
  <c r="C32" i="44"/>
  <c r="B32" i="44"/>
  <c r="C28" i="44"/>
  <c r="B28" i="44"/>
  <c r="C24" i="44"/>
  <c r="B24" i="44"/>
  <c r="C22" i="44"/>
  <c r="B22" i="44"/>
  <c r="C18" i="44"/>
  <c r="B18" i="44"/>
  <c r="C16" i="44"/>
  <c r="B16" i="44"/>
  <c r="C14" i="44"/>
  <c r="B14" i="44"/>
  <c r="D32" i="44"/>
  <c r="D30" i="44"/>
  <c r="D28" i="44"/>
  <c r="D26" i="44"/>
  <c r="D24" i="44"/>
  <c r="D22" i="44"/>
  <c r="D20" i="44"/>
  <c r="D18" i="44"/>
  <c r="D16" i="44"/>
  <c r="D14" i="44"/>
  <c r="D12" i="44"/>
  <c r="V26" i="25"/>
  <c r="D10" i="88" l="1"/>
  <c r="C10" i="88"/>
  <c r="B10" i="88" s="1"/>
  <c r="D10" i="29" s="1"/>
  <c r="D16" i="88"/>
  <c r="C16" i="88"/>
  <c r="D22" i="88"/>
  <c r="C22" i="88"/>
  <c r="D9" i="88"/>
  <c r="C9" i="88"/>
  <c r="B9" i="88" s="1"/>
  <c r="D9" i="29" s="1"/>
  <c r="D13" i="88"/>
  <c r="C13" i="88"/>
  <c r="D17" i="88"/>
  <c r="C17" i="88"/>
  <c r="D21" i="88"/>
  <c r="C21" i="88"/>
  <c r="B21" i="88" s="1"/>
  <c r="D21" i="29" s="1"/>
  <c r="D25" i="88"/>
  <c r="C25" i="88"/>
  <c r="B25" i="88" s="1"/>
  <c r="D25" i="29" s="1"/>
  <c r="C6" i="88"/>
  <c r="D6" i="88"/>
  <c r="C20" i="88"/>
  <c r="B20" i="88" s="1"/>
  <c r="D20" i="29" s="1"/>
  <c r="D20" i="88"/>
  <c r="C8" i="88"/>
  <c r="D8" i="88"/>
  <c r="C12" i="88"/>
  <c r="D12" i="88"/>
  <c r="C18" i="88"/>
  <c r="D18" i="88"/>
  <c r="C26" i="88"/>
  <c r="B26" i="88" s="1"/>
  <c r="D26" i="29" s="1"/>
  <c r="D26" i="88"/>
  <c r="C7" i="88"/>
  <c r="D7" i="88"/>
  <c r="C11" i="88"/>
  <c r="D11" i="88"/>
  <c r="C15" i="88"/>
  <c r="B15" i="88" s="1"/>
  <c r="D15" i="29" s="1"/>
  <c r="D15" i="88"/>
  <c r="C19" i="88"/>
  <c r="B19" i="88" s="1"/>
  <c r="D19" i="29" s="1"/>
  <c r="D19" i="88"/>
  <c r="C23" i="88"/>
  <c r="D23" i="88"/>
  <c r="C27" i="88"/>
  <c r="D27" i="88"/>
  <c r="C14" i="88"/>
  <c r="D14" i="88"/>
  <c r="D24" i="88"/>
  <c r="C24" i="88"/>
  <c r="V27" i="25"/>
  <c r="D7" i="31" l="1"/>
  <c r="D8" i="31"/>
  <c r="D9" i="31"/>
  <c r="B23" i="88"/>
  <c r="D23" i="29" s="1"/>
  <c r="D15" i="31"/>
  <c r="D11" i="31"/>
  <c r="B7" i="88"/>
  <c r="D7" i="29" s="1"/>
  <c r="B12" i="88"/>
  <c r="D12" i="29" s="1"/>
  <c r="B8" i="88"/>
  <c r="D8" i="29" s="1"/>
  <c r="D25" i="31"/>
  <c r="D13" i="31"/>
  <c r="D22" i="31"/>
  <c r="D24" i="31"/>
  <c r="B14" i="88"/>
  <c r="D14" i="29" s="1"/>
  <c r="B27" i="88"/>
  <c r="D27" i="29" s="1"/>
  <c r="B11" i="88"/>
  <c r="D11" i="29" s="1"/>
  <c r="B18" i="88"/>
  <c r="D18" i="29" s="1"/>
  <c r="D12" i="31"/>
  <c r="B6" i="88"/>
  <c r="D6" i="29" s="1"/>
  <c r="B17" i="88"/>
  <c r="D17" i="29" s="1"/>
  <c r="B13" i="88"/>
  <c r="D13" i="29" s="1"/>
  <c r="D16" i="31"/>
  <c r="D27" i="31"/>
  <c r="D26" i="31"/>
  <c r="D20" i="31"/>
  <c r="B24" i="88"/>
  <c r="D24" i="29" s="1"/>
  <c r="D14" i="31"/>
  <c r="D23" i="31"/>
  <c r="D19" i="31"/>
  <c r="D18" i="31"/>
  <c r="D6" i="31"/>
  <c r="D21" i="31"/>
  <c r="D17" i="31"/>
  <c r="B22" i="88"/>
  <c r="D22" i="29" s="1"/>
  <c r="B16" i="88"/>
  <c r="D16" i="29" s="1"/>
  <c r="D10" i="31"/>
  <c r="V28" i="25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13" i="24"/>
  <c r="V29" i="25" l="1"/>
  <c r="B6" i="22"/>
  <c r="C6" i="22"/>
  <c r="D6" i="22"/>
  <c r="E6" i="22"/>
  <c r="B7" i="22"/>
  <c r="C7" i="22"/>
  <c r="D7" i="22"/>
  <c r="E7" i="22"/>
  <c r="B8" i="22"/>
  <c r="C8" i="22"/>
  <c r="D8" i="22"/>
  <c r="E8" i="22"/>
  <c r="B9" i="22"/>
  <c r="C9" i="22"/>
  <c r="D9" i="22"/>
  <c r="E9" i="22"/>
  <c r="B10" i="22"/>
  <c r="C10" i="22"/>
  <c r="D10" i="22"/>
  <c r="E10" i="22"/>
  <c r="B11" i="22"/>
  <c r="C11" i="22"/>
  <c r="D11" i="22"/>
  <c r="E11" i="22"/>
  <c r="B12" i="22"/>
  <c r="C12" i="22"/>
  <c r="D12" i="22"/>
  <c r="E12" i="22"/>
  <c r="B13" i="22"/>
  <c r="C13" i="22"/>
  <c r="D13" i="22"/>
  <c r="E13" i="22"/>
  <c r="E5" i="22"/>
  <c r="D5" i="22"/>
  <c r="C5" i="22"/>
  <c r="B5" i="22"/>
  <c r="B6" i="24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E5" i="24"/>
  <c r="D5" i="24"/>
  <c r="C5" i="24"/>
  <c r="B5" i="24"/>
  <c r="V30" i="25" l="1"/>
  <c r="V31" i="25" l="1"/>
  <c r="V32" i="25" l="1"/>
  <c r="V33" i="25" l="1"/>
  <c r="V34" i="25" l="1"/>
  <c r="V35" i="25" l="1"/>
  <c r="D5" i="23"/>
  <c r="E5" i="23"/>
  <c r="F5" i="23"/>
  <c r="C5" i="23"/>
  <c r="H5" i="22"/>
  <c r="I5" i="22"/>
  <c r="J5" i="22"/>
  <c r="G5" i="22"/>
  <c r="O39" i="67" l="1"/>
  <c r="E11" i="59" s="1"/>
  <c r="O47" i="67"/>
  <c r="E19" i="59" s="1"/>
  <c r="O43" i="67"/>
  <c r="E15" i="59" s="1"/>
  <c r="O37" i="67"/>
  <c r="E9" i="59" s="1"/>
  <c r="O35" i="67"/>
  <c r="E7" i="59" s="1"/>
  <c r="O42" i="67"/>
  <c r="E14" i="59" s="1"/>
  <c r="O46" i="67"/>
  <c r="E18" i="59" s="1"/>
  <c r="O44" i="67"/>
  <c r="E16" i="59" s="1"/>
  <c r="O36" i="67"/>
  <c r="E8" i="59" s="1"/>
  <c r="O45" i="67"/>
  <c r="E17" i="59" s="1"/>
  <c r="O40" i="67"/>
  <c r="E12" i="59" s="1"/>
  <c r="O38" i="67"/>
  <c r="E10" i="59" s="1"/>
  <c r="O34" i="67"/>
  <c r="E6" i="59" s="1"/>
  <c r="O41" i="67"/>
  <c r="E13" i="59" s="1"/>
  <c r="V36" i="25"/>
  <c r="O48" i="67" l="1"/>
  <c r="E20" i="59" s="1"/>
  <c r="V37" i="25"/>
  <c r="D79" i="25"/>
  <c r="D78" i="25"/>
  <c r="D77" i="25"/>
  <c r="D76" i="25"/>
  <c r="D75" i="25"/>
  <c r="D74" i="25"/>
  <c r="D73" i="25"/>
  <c r="D72" i="25"/>
  <c r="D71" i="25"/>
  <c r="D69" i="25"/>
  <c r="D68" i="25"/>
  <c r="D67" i="25"/>
  <c r="D66" i="25"/>
  <c r="D65" i="25"/>
  <c r="D64" i="25"/>
  <c r="D63" i="25"/>
  <c r="D62" i="25"/>
  <c r="D61" i="25"/>
  <c r="D60" i="25"/>
  <c r="D59" i="25"/>
  <c r="D58" i="25"/>
  <c r="D57" i="25"/>
  <c r="D56" i="25"/>
  <c r="D55" i="25"/>
  <c r="D54" i="25"/>
  <c r="D53" i="25"/>
  <c r="D52" i="25"/>
  <c r="D51" i="25"/>
  <c r="D50" i="25"/>
  <c r="D49" i="25"/>
  <c r="D48" i="25"/>
  <c r="D47" i="25"/>
  <c r="A47" i="25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65" i="25" s="1"/>
  <c r="A66" i="25" s="1"/>
  <c r="A67" i="25" s="1"/>
  <c r="A68" i="25" s="1"/>
  <c r="A69" i="25" s="1"/>
  <c r="A70" i="25" s="1"/>
  <c r="A71" i="25" s="1"/>
  <c r="A72" i="25" s="1"/>
  <c r="A73" i="25" s="1"/>
  <c r="A74" i="25" s="1"/>
  <c r="A75" i="25" s="1"/>
  <c r="A76" i="25" s="1"/>
  <c r="A77" i="25" s="1"/>
  <c r="A78" i="25" s="1"/>
  <c r="A79" i="25" s="1"/>
  <c r="O49" i="67" l="1"/>
  <c r="E21" i="59" s="1"/>
  <c r="V38" i="25"/>
  <c r="E59" i="25"/>
  <c r="G62" i="25" s="1"/>
  <c r="H62" i="25" s="1"/>
  <c r="E67" i="25"/>
  <c r="G70" i="25" s="1"/>
  <c r="H70" i="25" s="1"/>
  <c r="E57" i="25"/>
  <c r="G60" i="25" s="1"/>
  <c r="H60" i="25" s="1"/>
  <c r="E61" i="25"/>
  <c r="I65" i="25" s="1"/>
  <c r="E50" i="25"/>
  <c r="I54" i="25" s="1"/>
  <c r="E78" i="25"/>
  <c r="E66" i="25"/>
  <c r="I70" i="25" s="1"/>
  <c r="E68" i="25"/>
  <c r="E52" i="25"/>
  <c r="E75" i="25"/>
  <c r="E77" i="25"/>
  <c r="E79" i="25"/>
  <c r="E56" i="25"/>
  <c r="E58" i="25"/>
  <c r="G61" i="25" s="1"/>
  <c r="H61" i="25" s="1"/>
  <c r="E60" i="25"/>
  <c r="E63" i="25"/>
  <c r="G66" i="25" s="1"/>
  <c r="H66" i="25" s="1"/>
  <c r="E55" i="25"/>
  <c r="E62" i="25"/>
  <c r="E73" i="25"/>
  <c r="G76" i="25" s="1"/>
  <c r="H76" i="25" s="1"/>
  <c r="E48" i="25"/>
  <c r="I52" i="25" s="1"/>
  <c r="E54" i="25"/>
  <c r="G57" i="25" s="1"/>
  <c r="E53" i="25"/>
  <c r="E49" i="25"/>
  <c r="I53" i="25" s="1"/>
  <c r="E74" i="25"/>
  <c r="E64" i="25"/>
  <c r="E76" i="25"/>
  <c r="E72" i="25"/>
  <c r="E51" i="25"/>
  <c r="I55" i="25" s="1"/>
  <c r="E65" i="25"/>
  <c r="D70" i="25"/>
  <c r="I71" i="25" l="1"/>
  <c r="I63" i="25"/>
  <c r="I78" i="25"/>
  <c r="I61" i="25"/>
  <c r="I77" i="25"/>
  <c r="I62" i="25"/>
  <c r="I64" i="25"/>
  <c r="I59" i="25"/>
  <c r="I60" i="25"/>
  <c r="I56" i="25"/>
  <c r="J56" i="25" s="1"/>
  <c r="G69" i="25"/>
  <c r="D28" i="22" s="1"/>
  <c r="I67" i="25"/>
  <c r="G71" i="25"/>
  <c r="H71" i="25" s="1"/>
  <c r="G64" i="25"/>
  <c r="D23" i="24" s="1"/>
  <c r="E29" i="22"/>
  <c r="E29" i="24"/>
  <c r="D29" i="24"/>
  <c r="D29" i="22"/>
  <c r="D20" i="24"/>
  <c r="D20" i="22"/>
  <c r="D25" i="24"/>
  <c r="D25" i="22"/>
  <c r="D19" i="24"/>
  <c r="D19" i="22"/>
  <c r="D35" i="24"/>
  <c r="D35" i="22"/>
  <c r="D21" i="24"/>
  <c r="D21" i="22"/>
  <c r="G55" i="25"/>
  <c r="H55" i="25" s="1"/>
  <c r="I72" i="25"/>
  <c r="G78" i="25"/>
  <c r="H78" i="25" s="1"/>
  <c r="G65" i="25"/>
  <c r="H65" i="25" s="1"/>
  <c r="I79" i="25"/>
  <c r="I66" i="25"/>
  <c r="G59" i="25"/>
  <c r="H59" i="25" s="1"/>
  <c r="G58" i="25"/>
  <c r="H58" i="25" s="1"/>
  <c r="G63" i="25"/>
  <c r="H63" i="25" s="1"/>
  <c r="I58" i="25"/>
  <c r="H57" i="25"/>
  <c r="G67" i="25"/>
  <c r="H67" i="25" s="1"/>
  <c r="I68" i="25"/>
  <c r="E70" i="25"/>
  <c r="E69" i="25"/>
  <c r="E71" i="25"/>
  <c r="G68" i="25"/>
  <c r="H68" i="25" s="1"/>
  <c r="I69" i="25"/>
  <c r="G79" i="25"/>
  <c r="H79" i="25" s="1"/>
  <c r="G75" i="25"/>
  <c r="H75" i="25" s="1"/>
  <c r="G77" i="25"/>
  <c r="H77" i="25" s="1"/>
  <c r="I76" i="25"/>
  <c r="I57" i="25"/>
  <c r="O51" i="67" l="1"/>
  <c r="E23" i="59" s="1"/>
  <c r="O50" i="67"/>
  <c r="E22" i="59" s="1"/>
  <c r="J57" i="25"/>
  <c r="D30" i="24"/>
  <c r="D30" i="22"/>
  <c r="D23" i="22"/>
  <c r="H64" i="25"/>
  <c r="E23" i="24" s="1"/>
  <c r="H69" i="25"/>
  <c r="E28" i="22" s="1"/>
  <c r="E22" i="22"/>
  <c r="D28" i="24"/>
  <c r="E24" i="22"/>
  <c r="E24" i="24"/>
  <c r="D26" i="24"/>
  <c r="D26" i="22"/>
  <c r="D24" i="24"/>
  <c r="D24" i="22"/>
  <c r="D36" i="24"/>
  <c r="D36" i="22"/>
  <c r="D37" i="22"/>
  <c r="D37" i="24"/>
  <c r="D34" i="24"/>
  <c r="D34" i="22"/>
  <c r="E35" i="22"/>
  <c r="E35" i="24"/>
  <c r="E19" i="22"/>
  <c r="E19" i="24"/>
  <c r="E37" i="22"/>
  <c r="E37" i="24"/>
  <c r="D22" i="24"/>
  <c r="D22" i="22"/>
  <c r="E30" i="22"/>
  <c r="E30" i="24"/>
  <c r="E21" i="22"/>
  <c r="E21" i="24"/>
  <c r="D38" i="24"/>
  <c r="D38" i="22"/>
  <c r="E20" i="22"/>
  <c r="E20" i="24"/>
  <c r="D27" i="24"/>
  <c r="D27" i="22"/>
  <c r="E14" i="22"/>
  <c r="E14" i="24"/>
  <c r="D18" i="22"/>
  <c r="D18" i="24"/>
  <c r="D17" i="22"/>
  <c r="D17" i="24"/>
  <c r="D16" i="22"/>
  <c r="D16" i="24"/>
  <c r="D14" i="22"/>
  <c r="D14" i="24"/>
  <c r="I75" i="25"/>
  <c r="G74" i="25"/>
  <c r="H74" i="25" s="1"/>
  <c r="G72" i="25"/>
  <c r="H72" i="25" s="1"/>
  <c r="I73" i="25"/>
  <c r="G73" i="25"/>
  <c r="H73" i="25" s="1"/>
  <c r="I74" i="25"/>
  <c r="J58" i="25" l="1"/>
  <c r="E23" i="22"/>
  <c r="E28" i="24"/>
  <c r="E22" i="24"/>
  <c r="D32" i="24"/>
  <c r="D32" i="22"/>
  <c r="D31" i="24"/>
  <c r="D31" i="22"/>
  <c r="E34" i="22"/>
  <c r="E34" i="24"/>
  <c r="D33" i="24"/>
  <c r="D33" i="22"/>
  <c r="E26" i="22"/>
  <c r="E26" i="24"/>
  <c r="E38" i="22"/>
  <c r="E38" i="24"/>
  <c r="E27" i="22"/>
  <c r="E27" i="24"/>
  <c r="E36" i="22"/>
  <c r="E36" i="24"/>
  <c r="E25" i="22"/>
  <c r="E25" i="24"/>
  <c r="E17" i="22"/>
  <c r="E17" i="24"/>
  <c r="E18" i="22"/>
  <c r="E18" i="24"/>
  <c r="E16" i="22"/>
  <c r="E16" i="24"/>
  <c r="K58" i="25"/>
  <c r="L58" i="25" s="1"/>
  <c r="L57" i="25"/>
  <c r="O53" i="67" l="1"/>
  <c r="E25" i="59" s="1"/>
  <c r="O52" i="67"/>
  <c r="E24" i="59" s="1"/>
  <c r="J59" i="25"/>
  <c r="E31" i="22"/>
  <c r="E31" i="24"/>
  <c r="E32" i="22"/>
  <c r="E32" i="24"/>
  <c r="E33" i="22"/>
  <c r="E33" i="24"/>
  <c r="K59" i="25"/>
  <c r="L59" i="25" s="1"/>
  <c r="O54" i="67" l="1"/>
  <c r="E26" i="59" s="1"/>
  <c r="J60" i="25"/>
  <c r="K60" i="25"/>
  <c r="L60" i="25" s="1"/>
  <c r="O55" i="67" l="1"/>
  <c r="E27" i="59" s="1"/>
  <c r="J61" i="25"/>
  <c r="J62" i="25" s="1"/>
  <c r="J63" i="25" s="1"/>
  <c r="J64" i="25" s="1"/>
  <c r="J65" i="25" s="1"/>
  <c r="J66" i="25" s="1"/>
  <c r="J67" i="25" s="1"/>
  <c r="J68" i="25" s="1"/>
  <c r="J69" i="25" s="1"/>
  <c r="J70" i="25" s="1"/>
  <c r="J71" i="25" s="1"/>
  <c r="J72" i="25" s="1"/>
  <c r="J73" i="25" s="1"/>
  <c r="J74" i="25" s="1"/>
  <c r="J75" i="25" s="1"/>
  <c r="J76" i="25" s="1"/>
  <c r="J77" i="25" s="1"/>
  <c r="J78" i="25" s="1"/>
  <c r="J79" i="25" s="1"/>
  <c r="K61" i="25"/>
  <c r="L61" i="25" s="1"/>
  <c r="K62" i="25" l="1"/>
  <c r="L62" i="25" s="1"/>
  <c r="K63" i="25" l="1"/>
  <c r="L63" i="25" s="1"/>
  <c r="K64" i="25" l="1"/>
  <c r="L64" i="25" s="1"/>
  <c r="K65" i="25" l="1"/>
  <c r="L65" i="25" s="1"/>
  <c r="K66" i="25" l="1"/>
  <c r="L66" i="25" s="1"/>
  <c r="K67" i="25" l="1"/>
  <c r="L67" i="25" s="1"/>
  <c r="K68" i="25" l="1"/>
  <c r="L68" i="25" s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B6" i="31"/>
  <c r="B7" i="31" s="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K69" i="25" l="1"/>
  <c r="L69" i="25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K70" i="25" l="1"/>
  <c r="L70" i="25" s="1"/>
  <c r="K71" i="25" l="1"/>
  <c r="L71" i="25" s="1"/>
  <c r="K72" i="25" l="1"/>
  <c r="L72" i="25" s="1"/>
  <c r="K73" i="25" l="1"/>
  <c r="L73" i="25" s="1"/>
  <c r="K74" i="25" l="1"/>
  <c r="L74" i="25" s="1"/>
  <c r="K75" i="25" l="1"/>
  <c r="L75" i="25" s="1"/>
  <c r="K76" i="25" l="1"/>
  <c r="L76" i="25" s="1"/>
  <c r="K77" i="25" l="1"/>
  <c r="L77" i="25" s="1"/>
  <c r="K78" i="25" l="1"/>
  <c r="L78" i="25" s="1"/>
  <c r="K79" i="25" l="1"/>
  <c r="L79" i="25" s="1"/>
  <c r="G23" i="24" l="1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D6" i="25" l="1"/>
  <c r="D7" i="25"/>
  <c r="D8" i="25"/>
  <c r="D9" i="25"/>
  <c r="D14" i="25"/>
  <c r="E7" i="25" l="1"/>
  <c r="I11" i="25" s="1"/>
  <c r="E8" i="25"/>
  <c r="I12" i="25" s="1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3" i="25"/>
  <c r="D12" i="25"/>
  <c r="D11" i="25"/>
  <c r="D10" i="25"/>
  <c r="E9" i="25" s="1"/>
  <c r="I13" i="25" s="1"/>
  <c r="E20" i="25" l="1"/>
  <c r="E28" i="25"/>
  <c r="E38" i="25"/>
  <c r="E10" i="25"/>
  <c r="I14" i="25" s="1"/>
  <c r="E18" i="25"/>
  <c r="E26" i="25"/>
  <c r="E34" i="25"/>
  <c r="E16" i="25"/>
  <c r="E24" i="25"/>
  <c r="E32" i="25"/>
  <c r="E12" i="25"/>
  <c r="E22" i="25"/>
  <c r="E30" i="25"/>
  <c r="E36" i="25"/>
  <c r="E13" i="25"/>
  <c r="E11" i="25"/>
  <c r="E14" i="25"/>
  <c r="E17" i="25"/>
  <c r="E19" i="25"/>
  <c r="E21" i="25"/>
  <c r="E23" i="25"/>
  <c r="E25" i="25"/>
  <c r="E27" i="25"/>
  <c r="E29" i="25"/>
  <c r="E31" i="25"/>
  <c r="E33" i="25"/>
  <c r="E35" i="25"/>
  <c r="E37" i="25"/>
  <c r="E15" i="25"/>
  <c r="G30" i="25" l="1"/>
  <c r="G18" i="25"/>
  <c r="H18" i="25" s="1"/>
  <c r="I19" i="25"/>
  <c r="G26" i="25"/>
  <c r="H26" i="25" s="1"/>
  <c r="I27" i="25"/>
  <c r="G29" i="25"/>
  <c r="H29" i="25" s="1"/>
  <c r="I30" i="25"/>
  <c r="G31" i="25"/>
  <c r="H31" i="25" s="1"/>
  <c r="I32" i="25"/>
  <c r="G38" i="25"/>
  <c r="H38" i="25" s="1"/>
  <c r="I31" i="25"/>
  <c r="G22" i="25"/>
  <c r="H22" i="25" s="1"/>
  <c r="I23" i="25"/>
  <c r="G16" i="25"/>
  <c r="H16" i="25" s="1"/>
  <c r="I17" i="25"/>
  <c r="G25" i="25"/>
  <c r="H25" i="25" s="1"/>
  <c r="I26" i="25"/>
  <c r="G19" i="25"/>
  <c r="H19" i="25" s="1"/>
  <c r="I20" i="25"/>
  <c r="G36" i="25"/>
  <c r="H36" i="25" s="1"/>
  <c r="I37" i="25"/>
  <c r="G28" i="25"/>
  <c r="H28" i="25" s="1"/>
  <c r="I29" i="25"/>
  <c r="G20" i="25"/>
  <c r="H20" i="25" s="1"/>
  <c r="I21" i="25"/>
  <c r="G15" i="25"/>
  <c r="H15" i="25" s="1"/>
  <c r="I16" i="25"/>
  <c r="G37" i="25"/>
  <c r="H37" i="25" s="1"/>
  <c r="I38" i="25"/>
  <c r="G34" i="25"/>
  <c r="H34" i="25" s="1"/>
  <c r="I35" i="25"/>
  <c r="G17" i="25"/>
  <c r="H17" i="25" s="1"/>
  <c r="I18" i="25"/>
  <c r="G35" i="25"/>
  <c r="H35" i="25" s="1"/>
  <c r="I36" i="25"/>
  <c r="G32" i="25"/>
  <c r="H32" i="25" s="1"/>
  <c r="I33" i="25"/>
  <c r="G24" i="25"/>
  <c r="H24" i="25" s="1"/>
  <c r="I25" i="25"/>
  <c r="G14" i="25"/>
  <c r="H14" i="25" s="1"/>
  <c r="I15" i="25"/>
  <c r="J15" i="25" s="1"/>
  <c r="G33" i="25"/>
  <c r="H33" i="25" s="1"/>
  <c r="I34" i="25"/>
  <c r="G27" i="25"/>
  <c r="H27" i="25" s="1"/>
  <c r="I28" i="25"/>
  <c r="G21" i="25"/>
  <c r="H21" i="25" s="1"/>
  <c r="I22" i="25"/>
  <c r="G23" i="25"/>
  <c r="H23" i="25" s="1"/>
  <c r="I24" i="25"/>
  <c r="J16" i="25" l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J38" i="25" s="1"/>
  <c r="B30" i="22"/>
  <c r="H30" i="25"/>
  <c r="C30" i="22" s="1"/>
  <c r="B30" i="24"/>
  <c r="C23" i="24"/>
  <c r="C23" i="22"/>
  <c r="B14" i="24"/>
  <c r="B14" i="22"/>
  <c r="B35" i="22"/>
  <c r="B35" i="24"/>
  <c r="C15" i="24"/>
  <c r="C15" i="22"/>
  <c r="B27" i="22"/>
  <c r="B27" i="24"/>
  <c r="C33" i="24"/>
  <c r="C33" i="22"/>
  <c r="B32" i="22"/>
  <c r="B32" i="24"/>
  <c r="C35" i="24"/>
  <c r="C35" i="22"/>
  <c r="C37" i="24"/>
  <c r="C37" i="22"/>
  <c r="B28" i="22"/>
  <c r="B28" i="24"/>
  <c r="C36" i="24"/>
  <c r="C36" i="22"/>
  <c r="B19" i="22"/>
  <c r="B19" i="24"/>
  <c r="C25" i="24"/>
  <c r="C25" i="22"/>
  <c r="C31" i="24"/>
  <c r="C31" i="22"/>
  <c r="B18" i="24"/>
  <c r="B18" i="22"/>
  <c r="B33" i="22"/>
  <c r="B33" i="24"/>
  <c r="B37" i="22"/>
  <c r="B37" i="24"/>
  <c r="C27" i="24"/>
  <c r="C27" i="22"/>
  <c r="C17" i="24"/>
  <c r="C17" i="22"/>
  <c r="B21" i="22"/>
  <c r="B21" i="24"/>
  <c r="B24" i="22"/>
  <c r="B24" i="24"/>
  <c r="C32" i="24"/>
  <c r="C32" i="22"/>
  <c r="B34" i="22"/>
  <c r="B34" i="24"/>
  <c r="L16" i="25"/>
  <c r="K17" i="25"/>
  <c r="L17" i="25" s="1"/>
  <c r="B20" i="22"/>
  <c r="B20" i="24"/>
  <c r="C28" i="24"/>
  <c r="C28" i="22"/>
  <c r="C19" i="24"/>
  <c r="C19" i="22"/>
  <c r="B22" i="22"/>
  <c r="B22" i="24"/>
  <c r="B38" i="22"/>
  <c r="B38" i="24"/>
  <c r="B26" i="22"/>
  <c r="B26" i="24"/>
  <c r="C18" i="22"/>
  <c r="C18" i="24"/>
  <c r="B23" i="22"/>
  <c r="B23" i="24"/>
  <c r="C21" i="24"/>
  <c r="C21" i="22"/>
  <c r="C14" i="22"/>
  <c r="C14" i="24"/>
  <c r="C24" i="24"/>
  <c r="C24" i="22"/>
  <c r="B17" i="22"/>
  <c r="B17" i="24"/>
  <c r="C34" i="24"/>
  <c r="C34" i="22"/>
  <c r="B15" i="22"/>
  <c r="B15" i="24"/>
  <c r="C20" i="24"/>
  <c r="C20" i="22"/>
  <c r="B16" i="24"/>
  <c r="B16" i="22"/>
  <c r="C22" i="24"/>
  <c r="C22" i="22"/>
  <c r="C38" i="24"/>
  <c r="C38" i="22"/>
  <c r="B29" i="22"/>
  <c r="B29" i="24"/>
  <c r="C26" i="24"/>
  <c r="C26" i="22"/>
  <c r="B36" i="22"/>
  <c r="B36" i="24"/>
  <c r="B25" i="22"/>
  <c r="B25" i="24"/>
  <c r="C16" i="22"/>
  <c r="C16" i="24"/>
  <c r="B31" i="22"/>
  <c r="B31" i="24"/>
  <c r="C29" i="24"/>
  <c r="C29" i="22"/>
  <c r="C30" i="24" l="1"/>
  <c r="K18" i="25"/>
  <c r="L18" i="25" s="1"/>
  <c r="H24" i="24"/>
  <c r="I24" i="24"/>
  <c r="K19" i="25" l="1"/>
  <c r="I25" i="24"/>
  <c r="I23" i="24"/>
  <c r="H34" i="24"/>
  <c r="H26" i="24"/>
  <c r="I34" i="24"/>
  <c r="I26" i="24"/>
  <c r="H25" i="24"/>
  <c r="H23" i="24"/>
  <c r="A6" i="25"/>
  <c r="A7" i="25" s="1"/>
  <c r="A8" i="25" s="1"/>
  <c r="A9" i="25" s="1"/>
  <c r="G22" i="24"/>
  <c r="G21" i="24"/>
  <c r="G20" i="24"/>
  <c r="G19" i="24"/>
  <c r="I19" i="24" s="1"/>
  <c r="G18" i="24"/>
  <c r="G17" i="24"/>
  <c r="G16" i="24"/>
  <c r="G15" i="24"/>
  <c r="G14" i="24"/>
  <c r="G13" i="24"/>
  <c r="I12" i="24"/>
  <c r="H12" i="24"/>
  <c r="I11" i="24"/>
  <c r="H11" i="24"/>
  <c r="I10" i="24"/>
  <c r="H10" i="24"/>
  <c r="I9" i="24"/>
  <c r="H9" i="24"/>
  <c r="I8" i="24"/>
  <c r="H8" i="24"/>
  <c r="I7" i="24"/>
  <c r="H7" i="24"/>
  <c r="A6" i="24"/>
  <c r="A7" i="24" s="1"/>
  <c r="A8" i="24" s="1"/>
  <c r="A9" i="24" s="1"/>
  <c r="I5" i="24"/>
  <c r="H5" i="24"/>
  <c r="A6" i="23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6" i="22"/>
  <c r="A7" i="22" s="1"/>
  <c r="A8" i="22" s="1"/>
  <c r="A9" i="22" s="1"/>
  <c r="A10" i="22" s="1"/>
  <c r="A11" i="22" s="1"/>
  <c r="A12" i="22" s="1"/>
  <c r="K20" i="25" l="1"/>
  <c r="L19" i="25"/>
  <c r="I13" i="24"/>
  <c r="H14" i="24"/>
  <c r="I17" i="24"/>
  <c r="H18" i="24"/>
  <c r="H22" i="24"/>
  <c r="I14" i="24"/>
  <c r="H19" i="24"/>
  <c r="N6" i="24"/>
  <c r="N7" i="24" s="1"/>
  <c r="I6" i="24"/>
  <c r="L6" i="24"/>
  <c r="H16" i="24"/>
  <c r="H20" i="24"/>
  <c r="M6" i="24"/>
  <c r="H6" i="24"/>
  <c r="H13" i="24"/>
  <c r="I16" i="24"/>
  <c r="H17" i="24"/>
  <c r="I20" i="24"/>
  <c r="I21" i="24"/>
  <c r="H21" i="24"/>
  <c r="I22" i="24"/>
  <c r="I18" i="24"/>
  <c r="K6" i="24"/>
  <c r="I28" i="24"/>
  <c r="H27" i="24"/>
  <c r="H33" i="24"/>
  <c r="H35" i="24"/>
  <c r="I29" i="24"/>
  <c r="I30" i="24"/>
  <c r="I27" i="24"/>
  <c r="H38" i="24"/>
  <c r="I33" i="24"/>
  <c r="H31" i="24"/>
  <c r="I35" i="24"/>
  <c r="H37" i="24"/>
  <c r="H32" i="24"/>
  <c r="H36" i="24"/>
  <c r="I38" i="24"/>
  <c r="I31" i="24"/>
  <c r="H29" i="24"/>
  <c r="H30" i="24"/>
  <c r="H28" i="24"/>
  <c r="I37" i="24"/>
  <c r="I32" i="24"/>
  <c r="I36" i="24"/>
  <c r="A13" i="22"/>
  <c r="A10" i="24"/>
  <c r="A10" i="25"/>
  <c r="K21" i="25" l="1"/>
  <c r="L20" i="25"/>
  <c r="F7" i="23"/>
  <c r="J7" i="22"/>
  <c r="L7" i="24"/>
  <c r="L8" i="24" s="1"/>
  <c r="H6" i="22"/>
  <c r="M6" i="22" s="1"/>
  <c r="D6" i="23"/>
  <c r="E6" i="23"/>
  <c r="J6" i="23" s="1"/>
  <c r="I6" i="22"/>
  <c r="F6" i="23"/>
  <c r="J6" i="22"/>
  <c r="O6" i="22" s="1"/>
  <c r="C6" i="23"/>
  <c r="G6" i="22"/>
  <c r="L6" i="22" s="1"/>
  <c r="M7" i="24"/>
  <c r="K7" i="24"/>
  <c r="A14" i="22"/>
  <c r="A11" i="24"/>
  <c r="A11" i="25"/>
  <c r="N8" i="24"/>
  <c r="K22" i="25" l="1"/>
  <c r="L22" i="25" s="1"/>
  <c r="L21" i="25"/>
  <c r="M8" i="24"/>
  <c r="E8" i="23" s="1"/>
  <c r="O7" i="22"/>
  <c r="I7" i="22"/>
  <c r="N7" i="22" s="1"/>
  <c r="E7" i="23"/>
  <c r="N6" i="22"/>
  <c r="H8" i="22"/>
  <c r="D8" i="23"/>
  <c r="H7" i="22"/>
  <c r="M7" i="22" s="1"/>
  <c r="D7" i="23"/>
  <c r="K7" i="23"/>
  <c r="K6" i="23"/>
  <c r="F8" i="23"/>
  <c r="J8" i="22"/>
  <c r="O8" i="22" s="1"/>
  <c r="K8" i="24"/>
  <c r="G7" i="22"/>
  <c r="C7" i="23"/>
  <c r="H7" i="23" s="1"/>
  <c r="H6" i="23"/>
  <c r="I6" i="23"/>
  <c r="A15" i="22"/>
  <c r="A12" i="24"/>
  <c r="A12" i="25"/>
  <c r="N9" i="24"/>
  <c r="L9" i="24"/>
  <c r="K23" i="25" l="1"/>
  <c r="L23" i="25" s="1"/>
  <c r="M9" i="24"/>
  <c r="M10" i="24" s="1"/>
  <c r="R10" i="24" s="1"/>
  <c r="I8" i="22"/>
  <c r="N8" i="22" s="1"/>
  <c r="I8" i="23"/>
  <c r="J8" i="23"/>
  <c r="J7" i="23"/>
  <c r="K9" i="24"/>
  <c r="C8" i="23"/>
  <c r="H8" i="23" s="1"/>
  <c r="G8" i="22"/>
  <c r="M8" i="22"/>
  <c r="L7" i="22"/>
  <c r="F9" i="23"/>
  <c r="J9" i="22"/>
  <c r="O9" i="22" s="1"/>
  <c r="I7" i="23"/>
  <c r="K8" i="23"/>
  <c r="L10" i="24"/>
  <c r="Q10" i="24" s="1"/>
  <c r="H9" i="22"/>
  <c r="M9" i="22" s="1"/>
  <c r="D9" i="23"/>
  <c r="I9" i="23" s="1"/>
  <c r="A16" i="22"/>
  <c r="A13" i="24"/>
  <c r="A13" i="25"/>
  <c r="N10" i="24"/>
  <c r="S10" i="24" s="1"/>
  <c r="K24" i="25" l="1"/>
  <c r="L24" i="25" s="1"/>
  <c r="E9" i="23"/>
  <c r="J9" i="23" s="1"/>
  <c r="I9" i="22"/>
  <c r="N9" i="22" s="1"/>
  <c r="F10" i="23"/>
  <c r="J10" i="22"/>
  <c r="O10" i="22" s="1"/>
  <c r="T10" i="22" s="1"/>
  <c r="L8" i="22"/>
  <c r="E10" i="23"/>
  <c r="I10" i="22"/>
  <c r="K10" i="24"/>
  <c r="G9" i="22"/>
  <c r="L9" i="22" s="1"/>
  <c r="C9" i="23"/>
  <c r="K9" i="23"/>
  <c r="L11" i="24"/>
  <c r="Q11" i="24" s="1"/>
  <c r="H10" i="22"/>
  <c r="M10" i="22" s="1"/>
  <c r="R10" i="22" s="1"/>
  <c r="D10" i="23"/>
  <c r="I10" i="23" s="1"/>
  <c r="N10" i="23" s="1"/>
  <c r="A17" i="22"/>
  <c r="A14" i="24"/>
  <c r="A14" i="25"/>
  <c r="N11" i="24"/>
  <c r="S11" i="24" s="1"/>
  <c r="M11" i="24"/>
  <c r="R11" i="24" s="1"/>
  <c r="K25" i="25" l="1"/>
  <c r="L25" i="25" s="1"/>
  <c r="P10" i="24"/>
  <c r="J10" i="23"/>
  <c r="O10" i="23" s="1"/>
  <c r="N10" i="22"/>
  <c r="S10" i="22" s="1"/>
  <c r="I11" i="22"/>
  <c r="N11" i="22" s="1"/>
  <c r="E11" i="23"/>
  <c r="J11" i="23" s="1"/>
  <c r="L12" i="24"/>
  <c r="H11" i="22"/>
  <c r="M11" i="22" s="1"/>
  <c r="R11" i="22" s="1"/>
  <c r="D11" i="23"/>
  <c r="I11" i="23" s="1"/>
  <c r="N11" i="23" s="1"/>
  <c r="H9" i="23"/>
  <c r="K10" i="23"/>
  <c r="F11" i="23"/>
  <c r="K11" i="23" s="1"/>
  <c r="J11" i="22"/>
  <c r="O11" i="22" s="1"/>
  <c r="T11" i="22" s="1"/>
  <c r="K11" i="24"/>
  <c r="P11" i="24" s="1"/>
  <c r="C10" i="23"/>
  <c r="G10" i="22"/>
  <c r="L10" i="22" s="1"/>
  <c r="Q10" i="22" s="1"/>
  <c r="A18" i="22"/>
  <c r="A15" i="24"/>
  <c r="A15" i="25"/>
  <c r="M12" i="24"/>
  <c r="N12" i="24"/>
  <c r="S12" i="24" s="1"/>
  <c r="R12" i="24" l="1"/>
  <c r="M13" i="24"/>
  <c r="K26" i="25"/>
  <c r="L26" i="25" s="1"/>
  <c r="Q12" i="24"/>
  <c r="L13" i="24"/>
  <c r="P11" i="23"/>
  <c r="O11" i="23"/>
  <c r="P10" i="23"/>
  <c r="S11" i="22"/>
  <c r="G11" i="22"/>
  <c r="L11" i="22" s="1"/>
  <c r="Q11" i="22" s="1"/>
  <c r="C11" i="23"/>
  <c r="H11" i="23" s="1"/>
  <c r="K12" i="24"/>
  <c r="N13" i="24"/>
  <c r="F12" i="23"/>
  <c r="J12" i="22"/>
  <c r="O12" i="22" s="1"/>
  <c r="T12" i="22" s="1"/>
  <c r="E12" i="23"/>
  <c r="J12" i="23" s="1"/>
  <c r="O12" i="23" s="1"/>
  <c r="I12" i="22"/>
  <c r="N12" i="22" s="1"/>
  <c r="S12" i="22" s="1"/>
  <c r="H10" i="23"/>
  <c r="H12" i="22"/>
  <c r="M12" i="22" s="1"/>
  <c r="R12" i="22" s="1"/>
  <c r="D12" i="23"/>
  <c r="I12" i="23" s="1"/>
  <c r="N12" i="23" s="1"/>
  <c r="A19" i="22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16" i="24"/>
  <c r="A16" i="25"/>
  <c r="K27" i="25" l="1"/>
  <c r="L27" i="25" s="1"/>
  <c r="S13" i="24"/>
  <c r="R13" i="24"/>
  <c r="L14" i="24"/>
  <c r="Q13" i="24"/>
  <c r="P12" i="24"/>
  <c r="K13" i="24"/>
  <c r="M11" i="23"/>
  <c r="M10" i="23"/>
  <c r="K12" i="23"/>
  <c r="J13" i="22"/>
  <c r="O13" i="22" s="1"/>
  <c r="T13" i="22" s="1"/>
  <c r="F13" i="23"/>
  <c r="K13" i="23" s="1"/>
  <c r="E13" i="23"/>
  <c r="J13" i="23" s="1"/>
  <c r="O13" i="23" s="1"/>
  <c r="I13" i="22"/>
  <c r="N13" i="22" s="1"/>
  <c r="S13" i="22" s="1"/>
  <c r="C12" i="23"/>
  <c r="H12" i="23" s="1"/>
  <c r="G12" i="22"/>
  <c r="L12" i="22" s="1"/>
  <c r="Q12" i="22" s="1"/>
  <c r="H13" i="22"/>
  <c r="M13" i="22" s="1"/>
  <c r="R13" i="22" s="1"/>
  <c r="D13" i="23"/>
  <c r="I13" i="23" s="1"/>
  <c r="N13" i="23" s="1"/>
  <c r="A17" i="24"/>
  <c r="A17" i="25"/>
  <c r="N14" i="24"/>
  <c r="S14" i="24" s="1"/>
  <c r="M14" i="24"/>
  <c r="R14" i="24" s="1"/>
  <c r="K28" i="25" l="1"/>
  <c r="L28" i="25" s="1"/>
  <c r="K14" i="24"/>
  <c r="P13" i="24"/>
  <c r="L15" i="24"/>
  <c r="Q14" i="24"/>
  <c r="M12" i="23"/>
  <c r="P12" i="23"/>
  <c r="P13" i="23"/>
  <c r="C13" i="23"/>
  <c r="H13" i="23" s="1"/>
  <c r="G13" i="22"/>
  <c r="L13" i="22" s="1"/>
  <c r="Q13" i="22" s="1"/>
  <c r="H14" i="22"/>
  <c r="M14" i="22" s="1"/>
  <c r="R14" i="22" s="1"/>
  <c r="D14" i="23"/>
  <c r="I14" i="23" s="1"/>
  <c r="N14" i="23" s="1"/>
  <c r="F14" i="23"/>
  <c r="K14" i="23" s="1"/>
  <c r="P14" i="23" s="1"/>
  <c r="J14" i="22"/>
  <c r="O14" i="22" s="1"/>
  <c r="T14" i="22" s="1"/>
  <c r="E14" i="23"/>
  <c r="J14" i="23" s="1"/>
  <c r="O14" i="23" s="1"/>
  <c r="I14" i="22"/>
  <c r="N14" i="22" s="1"/>
  <c r="S14" i="22" s="1"/>
  <c r="A18" i="24"/>
  <c r="A18" i="25"/>
  <c r="K29" i="25" l="1"/>
  <c r="L29" i="25" s="1"/>
  <c r="L16" i="24"/>
  <c r="Q15" i="24"/>
  <c r="K15" i="24"/>
  <c r="P14" i="24"/>
  <c r="M13" i="23"/>
  <c r="C14" i="23"/>
  <c r="H14" i="23" s="1"/>
  <c r="G14" i="22"/>
  <c r="L14" i="22" s="1"/>
  <c r="Q14" i="22" s="1"/>
  <c r="D15" i="23"/>
  <c r="I15" i="23" s="1"/>
  <c r="N15" i="23" s="1"/>
  <c r="H15" i="22"/>
  <c r="M15" i="22" s="1"/>
  <c r="R15" i="22" s="1"/>
  <c r="A19" i="24"/>
  <c r="A19" i="25"/>
  <c r="K30" i="25" l="1"/>
  <c r="L30" i="25" s="1"/>
  <c r="K16" i="24"/>
  <c r="C16" i="23" s="1"/>
  <c r="P15" i="24"/>
  <c r="Q16" i="24"/>
  <c r="L17" i="24"/>
  <c r="M14" i="23"/>
  <c r="C15" i="23"/>
  <c r="H15" i="23" s="1"/>
  <c r="G15" i="22"/>
  <c r="L15" i="22" s="1"/>
  <c r="Q15" i="22" s="1"/>
  <c r="H16" i="22"/>
  <c r="M16" i="22" s="1"/>
  <c r="R16" i="22" s="1"/>
  <c r="D16" i="23"/>
  <c r="I16" i="23" s="1"/>
  <c r="N16" i="23" s="1"/>
  <c r="A20" i="24"/>
  <c r="A20" i="25"/>
  <c r="K31" i="25" l="1"/>
  <c r="L31" i="25" s="1"/>
  <c r="L18" i="24"/>
  <c r="Q17" i="24"/>
  <c r="K17" i="24"/>
  <c r="C17" i="23" s="1"/>
  <c r="H17" i="23" s="1"/>
  <c r="P16" i="24"/>
  <c r="M15" i="23"/>
  <c r="G16" i="22"/>
  <c r="L16" i="22" s="1"/>
  <c r="Q16" i="22" s="1"/>
  <c r="H16" i="23"/>
  <c r="D17" i="23"/>
  <c r="I17" i="23" s="1"/>
  <c r="N17" i="23" s="1"/>
  <c r="H17" i="22"/>
  <c r="M17" i="22" s="1"/>
  <c r="R17" i="22" s="1"/>
  <c r="A21" i="24"/>
  <c r="A21" i="25"/>
  <c r="K32" i="25" l="1"/>
  <c r="K18" i="24"/>
  <c r="G18" i="22" s="1"/>
  <c r="P17" i="24"/>
  <c r="L19" i="24"/>
  <c r="H19" i="22" s="1"/>
  <c r="Q18" i="24"/>
  <c r="M17" i="23"/>
  <c r="M16" i="23"/>
  <c r="G17" i="22"/>
  <c r="L17" i="22" s="1"/>
  <c r="Q17" i="22" s="1"/>
  <c r="H18" i="22"/>
  <c r="D18" i="23"/>
  <c r="I18" i="23" s="1"/>
  <c r="N18" i="23" s="1"/>
  <c r="A22" i="24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22" i="25"/>
  <c r="K33" i="25" l="1"/>
  <c r="L33" i="25" s="1"/>
  <c r="L32" i="25"/>
  <c r="K19" i="24"/>
  <c r="P18" i="24"/>
  <c r="L20" i="24"/>
  <c r="H20" i="22" s="1"/>
  <c r="Q19" i="24"/>
  <c r="M18" i="22"/>
  <c r="R18" i="22" s="1"/>
  <c r="L18" i="22"/>
  <c r="Q18" i="22" s="1"/>
  <c r="C18" i="23"/>
  <c r="H18" i="23" s="1"/>
  <c r="D19" i="23"/>
  <c r="I19" i="23" s="1"/>
  <c r="N19" i="23" s="1"/>
  <c r="M19" i="22"/>
  <c r="A23" i="25"/>
  <c r="G19" i="22" l="1"/>
  <c r="L19" i="22" s="1"/>
  <c r="Q19" i="22" s="1"/>
  <c r="C19" i="23"/>
  <c r="H19" i="23" s="1"/>
  <c r="R19" i="22"/>
  <c r="K34" i="25"/>
  <c r="L34" i="25" s="1"/>
  <c r="L21" i="24"/>
  <c r="H21" i="22" s="1"/>
  <c r="Q20" i="24"/>
  <c r="K20" i="24"/>
  <c r="P19" i="24"/>
  <c r="M18" i="23"/>
  <c r="D20" i="23"/>
  <c r="I20" i="23" s="1"/>
  <c r="N20" i="23" s="1"/>
  <c r="A24" i="25"/>
  <c r="C20" i="23" l="1"/>
  <c r="H20" i="23" s="1"/>
  <c r="M20" i="23" s="1"/>
  <c r="G20" i="22"/>
  <c r="L20" i="22" s="1"/>
  <c r="Q20" i="22" s="1"/>
  <c r="K35" i="25"/>
  <c r="L35" i="25" s="1"/>
  <c r="K21" i="24"/>
  <c r="G21" i="22" s="1"/>
  <c r="P20" i="24"/>
  <c r="L22" i="24"/>
  <c r="H22" i="22" s="1"/>
  <c r="Q21" i="24"/>
  <c r="M19" i="23"/>
  <c r="M20" i="22"/>
  <c r="R20" i="22" s="1"/>
  <c r="D21" i="23"/>
  <c r="I21" i="23" s="1"/>
  <c r="N21" i="23" s="1"/>
  <c r="A25" i="25"/>
  <c r="L21" i="22" l="1"/>
  <c r="Q21" i="22" s="1"/>
  <c r="K36" i="25"/>
  <c r="L36" i="25" s="1"/>
  <c r="K22" i="24"/>
  <c r="G22" i="22" s="1"/>
  <c r="L22" i="22" s="1"/>
  <c r="Q22" i="22" s="1"/>
  <c r="P21" i="24"/>
  <c r="C21" i="23"/>
  <c r="H21" i="23" s="1"/>
  <c r="M21" i="23" s="1"/>
  <c r="L23" i="24"/>
  <c r="H23" i="22" s="1"/>
  <c r="Q22" i="24"/>
  <c r="D22" i="23"/>
  <c r="I22" i="23" s="1"/>
  <c r="N22" i="23" s="1"/>
  <c r="M22" i="22"/>
  <c r="M21" i="22"/>
  <c r="R21" i="22" s="1"/>
  <c r="A26" i="25"/>
  <c r="K37" i="25" l="1"/>
  <c r="L37" i="25" s="1"/>
  <c r="L24" i="24"/>
  <c r="H24" i="22" s="1"/>
  <c r="Q23" i="24"/>
  <c r="K23" i="24"/>
  <c r="P22" i="24"/>
  <c r="C22" i="23"/>
  <c r="H22" i="23" s="1"/>
  <c r="M22" i="23" s="1"/>
  <c r="R22" i="22"/>
  <c r="D23" i="23"/>
  <c r="I23" i="23" s="1"/>
  <c r="N23" i="23" s="1"/>
  <c r="M23" i="22"/>
  <c r="R23" i="22" s="1"/>
  <c r="A27" i="25"/>
  <c r="C23" i="23" l="1"/>
  <c r="H23" i="23" s="1"/>
  <c r="M23" i="23" s="1"/>
  <c r="G23" i="22"/>
  <c r="L23" i="22" s="1"/>
  <c r="Q23" i="22" s="1"/>
  <c r="K38" i="25"/>
  <c r="L38" i="25" s="1"/>
  <c r="K24" i="24"/>
  <c r="P23" i="24"/>
  <c r="L25" i="24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Q24" i="24"/>
  <c r="D24" i="23"/>
  <c r="I24" i="23" s="1"/>
  <c r="N24" i="23" s="1"/>
  <c r="M24" i="22"/>
  <c r="R24" i="22" s="1"/>
  <c r="A28" i="25"/>
  <c r="C24" i="23" l="1"/>
  <c r="H24" i="23" s="1"/>
  <c r="M24" i="23" s="1"/>
  <c r="G24" i="22"/>
  <c r="L24" i="22" s="1"/>
  <c r="Q24" i="22" s="1"/>
  <c r="L26" i="24"/>
  <c r="Q25" i="24"/>
  <c r="K25" i="24"/>
  <c r="P24" i="24"/>
  <c r="D25" i="23"/>
  <c r="I25" i="23" s="1"/>
  <c r="N25" i="23" s="1"/>
  <c r="M25" i="22"/>
  <c r="R25" i="22" s="1"/>
  <c r="A29" i="25"/>
  <c r="G25" i="22" l="1"/>
  <c r="C25" i="23"/>
  <c r="H25" i="23" s="1"/>
  <c r="M25" i="23" s="1"/>
  <c r="K26" i="24"/>
  <c r="P25" i="24"/>
  <c r="L27" i="24"/>
  <c r="Q26" i="24"/>
  <c r="M26" i="22"/>
  <c r="R26" i="22" s="1"/>
  <c r="D26" i="23"/>
  <c r="I26" i="23" s="1"/>
  <c r="N26" i="23" s="1"/>
  <c r="A30" i="25"/>
  <c r="G26" i="22" l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L25" i="22"/>
  <c r="Q25" i="22" s="1"/>
  <c r="K27" i="24"/>
  <c r="P26" i="24"/>
  <c r="C26" i="23"/>
  <c r="H26" i="23" s="1"/>
  <c r="M26" i="23" s="1"/>
  <c r="L28" i="24"/>
  <c r="Q27" i="24"/>
  <c r="D27" i="23"/>
  <c r="I27" i="23" s="1"/>
  <c r="N27" i="23" s="1"/>
  <c r="M27" i="22"/>
  <c r="R27" i="22" s="1"/>
  <c r="A31" i="25"/>
  <c r="L26" i="22" l="1"/>
  <c r="Q26" i="22"/>
  <c r="C27" i="23"/>
  <c r="H27" i="23" s="1"/>
  <c r="M27" i="23" s="1"/>
  <c r="L29" i="24"/>
  <c r="Q28" i="24"/>
  <c r="K28" i="24"/>
  <c r="C28" i="23" s="1"/>
  <c r="P27" i="24"/>
  <c r="D28" i="23"/>
  <c r="I28" i="23" s="1"/>
  <c r="N28" i="23" s="1"/>
  <c r="L28" i="22"/>
  <c r="M28" i="22"/>
  <c r="R28" i="22" s="1"/>
  <c r="L27" i="22"/>
  <c r="A32" i="25"/>
  <c r="Q27" i="22" l="1"/>
  <c r="H28" i="23"/>
  <c r="M28" i="23" s="1"/>
  <c r="K29" i="24"/>
  <c r="P28" i="24"/>
  <c r="L30" i="24"/>
  <c r="Q29" i="24"/>
  <c r="Q28" i="22"/>
  <c r="D29" i="23"/>
  <c r="I29" i="23" s="1"/>
  <c r="N29" i="23" s="1"/>
  <c r="M29" i="22"/>
  <c r="R29" i="22" s="1"/>
  <c r="A33" i="25"/>
  <c r="C29" i="23" l="1"/>
  <c r="H29" i="23" s="1"/>
  <c r="M29" i="23" s="1"/>
  <c r="L31" i="24"/>
  <c r="Q30" i="24"/>
  <c r="K30" i="24"/>
  <c r="C30" i="23" s="1"/>
  <c r="P29" i="24"/>
  <c r="D30" i="23"/>
  <c r="I30" i="23" s="1"/>
  <c r="N30" i="23" s="1"/>
  <c r="M30" i="22"/>
  <c r="R30" i="22" s="1"/>
  <c r="L29" i="22"/>
  <c r="Q29" i="22" s="1"/>
  <c r="A34" i="25"/>
  <c r="H30" i="23" l="1"/>
  <c r="M30" i="23" s="1"/>
  <c r="K31" i="24"/>
  <c r="C31" i="23" s="1"/>
  <c r="H31" i="23" s="1"/>
  <c r="P30" i="24"/>
  <c r="L32" i="24"/>
  <c r="Q31" i="24"/>
  <c r="D31" i="23"/>
  <c r="I31" i="23" s="1"/>
  <c r="N31" i="23" s="1"/>
  <c r="L31" i="22"/>
  <c r="M31" i="22"/>
  <c r="R31" i="22" s="1"/>
  <c r="L30" i="22"/>
  <c r="Q30" i="22" s="1"/>
  <c r="A35" i="25"/>
  <c r="M31" i="23" l="1"/>
  <c r="L33" i="24"/>
  <c r="Q32" i="24"/>
  <c r="K32" i="24"/>
  <c r="C32" i="23" s="1"/>
  <c r="H32" i="23" s="1"/>
  <c r="M32" i="23" s="1"/>
  <c r="P31" i="24"/>
  <c r="Q31" i="22"/>
  <c r="D32" i="23"/>
  <c r="I32" i="23" s="1"/>
  <c r="N32" i="23" s="1"/>
  <c r="M32" i="22"/>
  <c r="R32" i="22" s="1"/>
  <c r="A36" i="25"/>
  <c r="K33" i="24" l="1"/>
  <c r="C33" i="23" s="1"/>
  <c r="H33" i="23" s="1"/>
  <c r="M33" i="23" s="1"/>
  <c r="P32" i="24"/>
  <c r="L34" i="24"/>
  <c r="Q33" i="24"/>
  <c r="D33" i="23"/>
  <c r="I33" i="23" s="1"/>
  <c r="N33" i="23" s="1"/>
  <c r="L32" i="22"/>
  <c r="Q32" i="22" s="1"/>
  <c r="L33" i="22"/>
  <c r="A37" i="25"/>
  <c r="A38" i="25" s="1"/>
  <c r="L35" i="24" l="1"/>
  <c r="Q34" i="24"/>
  <c r="K34" i="24"/>
  <c r="P33" i="24"/>
  <c r="Q33" i="22"/>
  <c r="M34" i="22"/>
  <c r="D34" i="23"/>
  <c r="I34" i="23" s="1"/>
  <c r="N34" i="23" s="1"/>
  <c r="L34" i="22"/>
  <c r="Q34" i="22" s="1"/>
  <c r="M33" i="22"/>
  <c r="R33" i="22" s="1"/>
  <c r="K35" i="24" l="1"/>
  <c r="P34" i="24"/>
  <c r="C34" i="23"/>
  <c r="H34" i="23" s="1"/>
  <c r="M34" i="23" s="1"/>
  <c r="L36" i="24"/>
  <c r="Q35" i="24"/>
  <c r="R34" i="22"/>
  <c r="D35" i="23"/>
  <c r="M35" i="22"/>
  <c r="R35" i="22" s="1"/>
  <c r="L35" i="22"/>
  <c r="Q35" i="22" s="1"/>
  <c r="C35" i="23" l="1"/>
  <c r="H35" i="23" s="1"/>
  <c r="M35" i="23" s="1"/>
  <c r="L37" i="24"/>
  <c r="Q36" i="24"/>
  <c r="K36" i="24"/>
  <c r="P35" i="24"/>
  <c r="L36" i="22"/>
  <c r="Q36" i="22" s="1"/>
  <c r="I35" i="23"/>
  <c r="N35" i="23" s="1"/>
  <c r="M36" i="22"/>
  <c r="R36" i="22" s="1"/>
  <c r="D36" i="23"/>
  <c r="I36" i="23" s="1"/>
  <c r="C36" i="23" l="1"/>
  <c r="H36" i="23" s="1"/>
  <c r="M36" i="23" s="1"/>
  <c r="K37" i="24"/>
  <c r="C37" i="23" s="1"/>
  <c r="P36" i="24"/>
  <c r="L38" i="24"/>
  <c r="Q38" i="24" s="1"/>
  <c r="Q37" i="24"/>
  <c r="N36" i="23"/>
  <c r="L37" i="22"/>
  <c r="Q37" i="22" s="1"/>
  <c r="D37" i="23"/>
  <c r="I37" i="23" s="1"/>
  <c r="N37" i="23" s="1"/>
  <c r="H37" i="23" l="1"/>
  <c r="M37" i="23" s="1"/>
  <c r="K38" i="24"/>
  <c r="P38" i="24" s="1"/>
  <c r="P37" i="24"/>
  <c r="D38" i="23"/>
  <c r="I38" i="23" s="1"/>
  <c r="N38" i="23" s="1"/>
  <c r="L38" i="22"/>
  <c r="Q38" i="22" s="1"/>
  <c r="M38" i="22"/>
  <c r="M37" i="22"/>
  <c r="R37" i="22" s="1"/>
  <c r="C38" i="23" l="1"/>
  <c r="H38" i="23" s="1"/>
  <c r="M38" i="23" s="1"/>
  <c r="R38" i="22"/>
  <c r="D15" i="22" l="1"/>
  <c r="H56" i="25"/>
  <c r="E15" i="22" s="1"/>
  <c r="D15" i="24"/>
  <c r="H15" i="24" l="1"/>
  <c r="M15" i="24"/>
  <c r="M16" i="24" s="1"/>
  <c r="M17" i="24" s="1"/>
  <c r="M18" i="24" s="1"/>
  <c r="M19" i="24" s="1"/>
  <c r="M20" i="24" s="1"/>
  <c r="M21" i="24" s="1"/>
  <c r="M22" i="24" s="1"/>
  <c r="M23" i="24" s="1"/>
  <c r="M24" i="24" s="1"/>
  <c r="M25" i="24" s="1"/>
  <c r="M26" i="24" s="1"/>
  <c r="M27" i="24" s="1"/>
  <c r="M28" i="24" s="1"/>
  <c r="M29" i="24" s="1"/>
  <c r="M30" i="24" s="1"/>
  <c r="M31" i="24" s="1"/>
  <c r="M32" i="24" s="1"/>
  <c r="M33" i="24" s="1"/>
  <c r="M34" i="24" s="1"/>
  <c r="M35" i="24" s="1"/>
  <c r="M36" i="24" s="1"/>
  <c r="M37" i="24" s="1"/>
  <c r="M38" i="24" s="1"/>
  <c r="E15" i="24"/>
  <c r="N15" i="24" s="1"/>
  <c r="N16" i="24" s="1"/>
  <c r="N17" i="24" s="1"/>
  <c r="N18" i="24" s="1"/>
  <c r="N19" i="24" s="1"/>
  <c r="N20" i="24" s="1"/>
  <c r="N21" i="24" s="1"/>
  <c r="N22" i="24" s="1"/>
  <c r="N23" i="24" s="1"/>
  <c r="N24" i="24" s="1"/>
  <c r="N25" i="24" s="1"/>
  <c r="N26" i="24" s="1"/>
  <c r="N27" i="24" s="1"/>
  <c r="N28" i="24" s="1"/>
  <c r="N29" i="24" s="1"/>
  <c r="N30" i="24" s="1"/>
  <c r="N31" i="24" s="1"/>
  <c r="N32" i="24" s="1"/>
  <c r="N33" i="24" s="1"/>
  <c r="N34" i="24" s="1"/>
  <c r="N35" i="24" s="1"/>
  <c r="N36" i="24" s="1"/>
  <c r="N37" i="24" s="1"/>
  <c r="N38" i="24" s="1"/>
  <c r="E15" i="23" l="1"/>
  <c r="R15" i="24"/>
  <c r="I15" i="22"/>
  <c r="I15" i="24"/>
  <c r="J15" i="23" l="1"/>
  <c r="O15" i="23" s="1"/>
  <c r="F15" i="23"/>
  <c r="S15" i="24"/>
  <c r="J15" i="22"/>
  <c r="E16" i="23"/>
  <c r="R16" i="24"/>
  <c r="I16" i="22"/>
  <c r="N16" i="22" s="1"/>
  <c r="N15" i="22"/>
  <c r="S15" i="22" s="1"/>
  <c r="S16" i="22" l="1"/>
  <c r="F16" i="23"/>
  <c r="S16" i="24"/>
  <c r="J16" i="22"/>
  <c r="O16" i="22" s="1"/>
  <c r="E17" i="23"/>
  <c r="J17" i="23" s="1"/>
  <c r="I17" i="22"/>
  <c r="N17" i="22" s="1"/>
  <c r="S17" i="22" s="1"/>
  <c r="R17" i="24"/>
  <c r="J16" i="23"/>
  <c r="O16" i="23" s="1"/>
  <c r="O15" i="22"/>
  <c r="T15" i="22" s="1"/>
  <c r="K15" i="23"/>
  <c r="P15" i="23" s="1"/>
  <c r="O17" i="23" l="1"/>
  <c r="T16" i="22"/>
  <c r="E18" i="23"/>
  <c r="J18" i="23" s="1"/>
  <c r="O18" i="23" s="1"/>
  <c r="R18" i="24"/>
  <c r="I18" i="22"/>
  <c r="K16" i="23"/>
  <c r="P16" i="23" s="1"/>
  <c r="F17" i="23"/>
  <c r="S17" i="24"/>
  <c r="J17" i="22"/>
  <c r="O17" i="22" s="1"/>
  <c r="T17" i="22" s="1"/>
  <c r="E19" i="23" l="1"/>
  <c r="J19" i="23" s="1"/>
  <c r="O19" i="23" s="1"/>
  <c r="R19" i="24"/>
  <c r="I19" i="22"/>
  <c r="N19" i="22" s="1"/>
  <c r="K17" i="23"/>
  <c r="P17" i="23" s="1"/>
  <c r="F18" i="23"/>
  <c r="S18" i="24"/>
  <c r="J18" i="22"/>
  <c r="O18" i="22" s="1"/>
  <c r="T18" i="22" s="1"/>
  <c r="N18" i="22"/>
  <c r="S18" i="22" s="1"/>
  <c r="S19" i="22" l="1"/>
  <c r="K18" i="23"/>
  <c r="P18" i="23" s="1"/>
  <c r="F19" i="23"/>
  <c r="K19" i="23" s="1"/>
  <c r="S19" i="24"/>
  <c r="J19" i="22"/>
  <c r="E20" i="23"/>
  <c r="R20" i="24"/>
  <c r="I20" i="22"/>
  <c r="N20" i="22" s="1"/>
  <c r="S20" i="22" s="1"/>
  <c r="P19" i="23" l="1"/>
  <c r="E21" i="23"/>
  <c r="J21" i="23" s="1"/>
  <c r="R21" i="24"/>
  <c r="I21" i="22"/>
  <c r="N21" i="22" s="1"/>
  <c r="S21" i="22" s="1"/>
  <c r="F20" i="23"/>
  <c r="K20" i="23" s="1"/>
  <c r="P20" i="23" s="1"/>
  <c r="J20" i="22"/>
  <c r="O20" i="22" s="1"/>
  <c r="S20" i="24"/>
  <c r="J20" i="23"/>
  <c r="O20" i="23" s="1"/>
  <c r="O19" i="22"/>
  <c r="T19" i="22" s="1"/>
  <c r="V16" i="24" l="1"/>
  <c r="V17" i="24"/>
  <c r="L6" i="88" s="1"/>
  <c r="E22" i="23"/>
  <c r="I22" i="22"/>
  <c r="N22" i="22" s="1"/>
  <c r="S22" i="22" s="1"/>
  <c r="R22" i="24"/>
  <c r="T20" i="22"/>
  <c r="O21" i="23"/>
  <c r="F21" i="23"/>
  <c r="K21" i="23" s="1"/>
  <c r="P21" i="23" s="1"/>
  <c r="S21" i="24"/>
  <c r="J21" i="22"/>
  <c r="W16" i="22"/>
  <c r="M6" i="89" l="1"/>
  <c r="K6" i="88"/>
  <c r="G6" i="88" s="1"/>
  <c r="J6" i="88"/>
  <c r="K6" i="89"/>
  <c r="AD6" i="67" s="1"/>
  <c r="S16" i="23"/>
  <c r="S18" i="23"/>
  <c r="J7" i="89" s="1"/>
  <c r="AC7" i="67" s="1"/>
  <c r="F22" i="23"/>
  <c r="K22" i="23" s="1"/>
  <c r="P22" i="23" s="1"/>
  <c r="S22" i="24"/>
  <c r="J22" i="22"/>
  <c r="O22" i="22" s="1"/>
  <c r="W17" i="22"/>
  <c r="I6" i="89" s="1"/>
  <c r="O21" i="22"/>
  <c r="T21" i="22" s="1"/>
  <c r="J22" i="23"/>
  <c r="O22" i="23" s="1"/>
  <c r="S17" i="23"/>
  <c r="J6" i="89" s="1"/>
  <c r="AC6" i="67" s="1"/>
  <c r="E23" i="23"/>
  <c r="R23" i="24"/>
  <c r="I23" i="22"/>
  <c r="AB6" i="67" l="1"/>
  <c r="AA6" i="67"/>
  <c r="I6" i="88"/>
  <c r="C6" i="29" s="1"/>
  <c r="F6" i="88"/>
  <c r="E6" i="88" s="1"/>
  <c r="E6" i="29" s="1"/>
  <c r="P6" i="89"/>
  <c r="R6" i="89"/>
  <c r="O6" i="89"/>
  <c r="Q6" i="89"/>
  <c r="F6" i="31" s="1"/>
  <c r="F6" i="56" s="1"/>
  <c r="G6" i="89"/>
  <c r="Z6" i="67" s="1"/>
  <c r="H6" i="89"/>
  <c r="C6" i="31" s="1"/>
  <c r="E6" i="89"/>
  <c r="W6" i="67" s="1"/>
  <c r="W18" i="22"/>
  <c r="I7" i="89" s="1"/>
  <c r="J23" i="23"/>
  <c r="O23" i="23" s="1"/>
  <c r="N23" i="22"/>
  <c r="S23" i="22" s="1"/>
  <c r="T22" i="22"/>
  <c r="F23" i="23"/>
  <c r="K23" i="23" s="1"/>
  <c r="P23" i="23" s="1"/>
  <c r="S23" i="24"/>
  <c r="J23" i="22"/>
  <c r="E24" i="23"/>
  <c r="J24" i="23" s="1"/>
  <c r="R24" i="24"/>
  <c r="I24" i="22"/>
  <c r="V18" i="24"/>
  <c r="L7" i="88" s="1"/>
  <c r="AA7" i="67" l="1"/>
  <c r="AB7" i="67"/>
  <c r="H34" i="67"/>
  <c r="D34" i="67"/>
  <c r="C34" i="67"/>
  <c r="I34" i="67"/>
  <c r="M34" i="67"/>
  <c r="E34" i="67"/>
  <c r="J34" i="67"/>
  <c r="O24" i="23"/>
  <c r="S19" i="23"/>
  <c r="J8" i="89" s="1"/>
  <c r="AC8" i="67" s="1"/>
  <c r="F6" i="89"/>
  <c r="X6" i="67" s="1"/>
  <c r="K7" i="88"/>
  <c r="G7" i="88" s="1"/>
  <c r="J7" i="88"/>
  <c r="K7" i="89"/>
  <c r="M7" i="89"/>
  <c r="O7" i="89"/>
  <c r="Q7" i="89"/>
  <c r="F7" i="31" s="1"/>
  <c r="F7" i="56" s="1"/>
  <c r="R7" i="89"/>
  <c r="P7" i="89"/>
  <c r="V19" i="24"/>
  <c r="L8" i="88" s="1"/>
  <c r="N24" i="22"/>
  <c r="S24" i="22" s="1"/>
  <c r="E25" i="23"/>
  <c r="J25" i="23" s="1"/>
  <c r="O25" i="23" s="1"/>
  <c r="R25" i="24"/>
  <c r="I25" i="22"/>
  <c r="F24" i="23"/>
  <c r="J24" i="22"/>
  <c r="O24" i="22" s="1"/>
  <c r="S24" i="24"/>
  <c r="W19" i="22"/>
  <c r="I8" i="89" s="1"/>
  <c r="O23" i="22"/>
  <c r="T23" i="22" s="1"/>
  <c r="H7" i="89" l="1"/>
  <c r="C7" i="31" s="1"/>
  <c r="AD7" i="67"/>
  <c r="AA8" i="67"/>
  <c r="AB8" i="67"/>
  <c r="E35" i="67"/>
  <c r="J35" i="67"/>
  <c r="M35" i="67"/>
  <c r="G7" i="89"/>
  <c r="Z7" i="67" s="1"/>
  <c r="D6" i="89"/>
  <c r="V6" i="67" s="1"/>
  <c r="P8" i="89"/>
  <c r="Q8" i="89"/>
  <c r="O8" i="89"/>
  <c r="R8" i="89"/>
  <c r="I7" i="88"/>
  <c r="C7" i="29" s="1"/>
  <c r="F7" i="88"/>
  <c r="E7" i="88" s="1"/>
  <c r="E7" i="29" s="1"/>
  <c r="M8" i="89"/>
  <c r="K8" i="88"/>
  <c r="G8" i="88" s="1"/>
  <c r="J8" i="88"/>
  <c r="K8" i="89"/>
  <c r="F7" i="89"/>
  <c r="X7" i="67" s="1"/>
  <c r="E7" i="89"/>
  <c r="W7" i="67" s="1"/>
  <c r="S20" i="23"/>
  <c r="J9" i="89" s="1"/>
  <c r="AC9" i="67" s="1"/>
  <c r="S21" i="23"/>
  <c r="J10" i="89" s="1"/>
  <c r="AC10" i="67" s="1"/>
  <c r="T24" i="22"/>
  <c r="W20" i="22"/>
  <c r="I9" i="89" s="1"/>
  <c r="F25" i="23"/>
  <c r="K25" i="23" s="1"/>
  <c r="S25" i="24"/>
  <c r="J25" i="22"/>
  <c r="I26" i="22"/>
  <c r="K24" i="23"/>
  <c r="P24" i="23" s="1"/>
  <c r="V20" i="24"/>
  <c r="L9" i="88" s="1"/>
  <c r="N25" i="22"/>
  <c r="S25" i="22" s="1"/>
  <c r="E26" i="23"/>
  <c r="J26" i="23" s="1"/>
  <c r="O26" i="23" s="1"/>
  <c r="R26" i="24"/>
  <c r="H8" i="89" l="1"/>
  <c r="C8" i="31" s="1"/>
  <c r="AD8" i="67"/>
  <c r="I35" i="67"/>
  <c r="H35" i="67"/>
  <c r="D35" i="67"/>
  <c r="C35" i="67"/>
  <c r="AB9" i="67"/>
  <c r="AA9" i="67"/>
  <c r="M36" i="67"/>
  <c r="J36" i="67"/>
  <c r="E36" i="67"/>
  <c r="E6" i="31"/>
  <c r="D7" i="89"/>
  <c r="V7" i="67" s="1"/>
  <c r="K9" i="88"/>
  <c r="G9" i="88" s="1"/>
  <c r="J9" i="88"/>
  <c r="M9" i="89"/>
  <c r="K9" i="89"/>
  <c r="E8" i="89"/>
  <c r="W8" i="67" s="1"/>
  <c r="G8" i="89"/>
  <c r="Z8" i="67" s="1"/>
  <c r="F8" i="31"/>
  <c r="F8" i="56" s="1"/>
  <c r="Q9" i="89"/>
  <c r="O9" i="89"/>
  <c r="P9" i="89"/>
  <c r="R9" i="89"/>
  <c r="I8" i="88"/>
  <c r="C8" i="29" s="1"/>
  <c r="F8" i="88"/>
  <c r="E8" i="88" s="1"/>
  <c r="E8" i="29" s="1"/>
  <c r="F8" i="89"/>
  <c r="X8" i="67" s="1"/>
  <c r="R34" i="67"/>
  <c r="E27" i="23"/>
  <c r="J27" i="23" s="1"/>
  <c r="O27" i="23" s="1"/>
  <c r="R27" i="24"/>
  <c r="F26" i="23"/>
  <c r="K26" i="23" s="1"/>
  <c r="P26" i="23" s="1"/>
  <c r="S26" i="24"/>
  <c r="P25" i="23"/>
  <c r="V21" i="24"/>
  <c r="L10" i="88" s="1"/>
  <c r="I27" i="22"/>
  <c r="W21" i="22"/>
  <c r="I10" i="89" s="1"/>
  <c r="J26" i="22"/>
  <c r="O26" i="22" s="1"/>
  <c r="O25" i="22"/>
  <c r="T25" i="22" s="1"/>
  <c r="N26" i="22"/>
  <c r="S26" i="22" s="1"/>
  <c r="G9" i="89" l="1"/>
  <c r="Z9" i="67" s="1"/>
  <c r="C37" i="67" s="1"/>
  <c r="AD9" i="67"/>
  <c r="E37" i="67"/>
  <c r="M37" i="67"/>
  <c r="J37" i="67"/>
  <c r="D37" i="67"/>
  <c r="AB10" i="67"/>
  <c r="AA10" i="67"/>
  <c r="I36" i="67"/>
  <c r="D36" i="67"/>
  <c r="C36" i="67"/>
  <c r="H36" i="67"/>
  <c r="H9" i="89"/>
  <c r="C9" i="31" s="1"/>
  <c r="F9" i="31"/>
  <c r="F9" i="56" s="1"/>
  <c r="E9" i="89"/>
  <c r="W9" i="67" s="1"/>
  <c r="K10" i="89"/>
  <c r="J10" i="88"/>
  <c r="M10" i="89"/>
  <c r="K10" i="88"/>
  <c r="G10" i="88" s="1"/>
  <c r="E7" i="31"/>
  <c r="O10" i="89"/>
  <c r="P10" i="89"/>
  <c r="Q10" i="89"/>
  <c r="R10" i="89"/>
  <c r="F9" i="89"/>
  <c r="X9" i="67" s="1"/>
  <c r="D8" i="89"/>
  <c r="V8" i="67" s="1"/>
  <c r="I9" i="88"/>
  <c r="C9" i="29" s="1"/>
  <c r="F9" i="88"/>
  <c r="E9" i="88" s="1"/>
  <c r="E9" i="29" s="1"/>
  <c r="P34" i="67"/>
  <c r="Q34" i="67"/>
  <c r="R35" i="67"/>
  <c r="S23" i="23"/>
  <c r="J12" i="89" s="1"/>
  <c r="AC12" i="67" s="1"/>
  <c r="S22" i="23"/>
  <c r="J11" i="89" s="1"/>
  <c r="AC11" i="67" s="1"/>
  <c r="T26" i="22"/>
  <c r="V22" i="24"/>
  <c r="L11" i="88" s="1"/>
  <c r="W22" i="22"/>
  <c r="I11" i="89" s="1"/>
  <c r="I28" i="22"/>
  <c r="F27" i="23"/>
  <c r="S27" i="24"/>
  <c r="J27" i="22"/>
  <c r="N27" i="22"/>
  <c r="S27" i="22" s="1"/>
  <c r="E28" i="23"/>
  <c r="J28" i="23" s="1"/>
  <c r="O28" i="23" s="1"/>
  <c r="R28" i="24"/>
  <c r="H10" i="89" l="1"/>
  <c r="C10" i="31" s="1"/>
  <c r="AD10" i="67"/>
  <c r="I37" i="67"/>
  <c r="H37" i="67"/>
  <c r="AA11" i="67"/>
  <c r="AB11" i="67"/>
  <c r="E38" i="67"/>
  <c r="M38" i="67"/>
  <c r="J38" i="67"/>
  <c r="G6" i="59"/>
  <c r="H6" i="59"/>
  <c r="C6" i="59"/>
  <c r="E10" i="89"/>
  <c r="W10" i="67" s="1"/>
  <c r="F10" i="89"/>
  <c r="X10" i="67" s="1"/>
  <c r="F10" i="31"/>
  <c r="F10" i="56" s="1"/>
  <c r="D9" i="89"/>
  <c r="V9" i="67" s="1"/>
  <c r="P11" i="89"/>
  <c r="R11" i="89"/>
  <c r="Q11" i="89"/>
  <c r="O11" i="89"/>
  <c r="I10" i="88"/>
  <c r="C10" i="29" s="1"/>
  <c r="F10" i="88"/>
  <c r="E10" i="88" s="1"/>
  <c r="E10" i="29" s="1"/>
  <c r="K11" i="88"/>
  <c r="G11" i="88" s="1"/>
  <c r="K11" i="89"/>
  <c r="AD11" i="67" s="1"/>
  <c r="M11" i="89"/>
  <c r="J11" i="88"/>
  <c r="E8" i="31"/>
  <c r="G10" i="89"/>
  <c r="Z10" i="67" s="1"/>
  <c r="R36" i="67"/>
  <c r="V23" i="24"/>
  <c r="L12" i="88" s="1"/>
  <c r="W23" i="22"/>
  <c r="I12" i="89" s="1"/>
  <c r="V24" i="24"/>
  <c r="L13" i="88" s="1"/>
  <c r="S24" i="23"/>
  <c r="J13" i="89" s="1"/>
  <c r="AC13" i="67" s="1"/>
  <c r="J28" i="22"/>
  <c r="F28" i="23"/>
  <c r="K28" i="23" s="1"/>
  <c r="S28" i="24"/>
  <c r="I29" i="22"/>
  <c r="N29" i="22" s="1"/>
  <c r="E29" i="23"/>
  <c r="R29" i="24"/>
  <c r="K27" i="23"/>
  <c r="P27" i="23" s="1"/>
  <c r="O27" i="22"/>
  <c r="T27" i="22" s="1"/>
  <c r="N28" i="22"/>
  <c r="S28" i="22" s="1"/>
  <c r="H38" i="67" l="1"/>
  <c r="C38" i="67"/>
  <c r="I38" i="67"/>
  <c r="D38" i="67"/>
  <c r="AA12" i="67"/>
  <c r="AB12" i="67"/>
  <c r="J39" i="67"/>
  <c r="M39" i="67"/>
  <c r="E39" i="67"/>
  <c r="C6" i="56"/>
  <c r="E6" i="56"/>
  <c r="D6" i="59"/>
  <c r="D6" i="56" s="1"/>
  <c r="F11" i="89"/>
  <c r="X11" i="67" s="1"/>
  <c r="K13" i="88"/>
  <c r="G13" i="88" s="1"/>
  <c r="K13" i="89"/>
  <c r="AD13" i="67" s="1"/>
  <c r="J13" i="88"/>
  <c r="M13" i="89"/>
  <c r="O12" i="89"/>
  <c r="R12" i="89"/>
  <c r="P12" i="89"/>
  <c r="Q12" i="89"/>
  <c r="M12" i="89"/>
  <c r="K12" i="88"/>
  <c r="G12" i="88" s="1"/>
  <c r="J12" i="88"/>
  <c r="K12" i="89"/>
  <c r="F11" i="31"/>
  <c r="F11" i="56" s="1"/>
  <c r="E11" i="89"/>
  <c r="W11" i="67" s="1"/>
  <c r="H11" i="89"/>
  <c r="C11" i="31" s="1"/>
  <c r="E9" i="31"/>
  <c r="D10" i="89"/>
  <c r="V10" i="67" s="1"/>
  <c r="I11" i="88"/>
  <c r="C11" i="29" s="1"/>
  <c r="F11" i="88"/>
  <c r="E11" i="88" s="1"/>
  <c r="E11" i="29" s="1"/>
  <c r="G11" i="89"/>
  <c r="Z11" i="67" s="1"/>
  <c r="Q36" i="67"/>
  <c r="R37" i="67"/>
  <c r="P35" i="67"/>
  <c r="P36" i="67"/>
  <c r="G5" i="59"/>
  <c r="D5" i="59" s="1"/>
  <c r="D5" i="56" s="1"/>
  <c r="Q35" i="67"/>
  <c r="W24" i="22"/>
  <c r="I13" i="89" s="1"/>
  <c r="V25" i="24"/>
  <c r="L14" i="88" s="1"/>
  <c r="S29" i="24"/>
  <c r="F29" i="23"/>
  <c r="K29" i="23" s="1"/>
  <c r="P29" i="23" s="1"/>
  <c r="J29" i="22"/>
  <c r="O29" i="22" s="1"/>
  <c r="R30" i="24"/>
  <c r="E30" i="23"/>
  <c r="J30" i="23" s="1"/>
  <c r="S29" i="22"/>
  <c r="P28" i="23"/>
  <c r="J29" i="23"/>
  <c r="O29" i="23" s="1"/>
  <c r="I30" i="22"/>
  <c r="O28" i="22"/>
  <c r="T28" i="22" s="1"/>
  <c r="G12" i="89" l="1"/>
  <c r="Z12" i="67" s="1"/>
  <c r="D40" i="67" s="1"/>
  <c r="AD12" i="67"/>
  <c r="M40" i="67"/>
  <c r="J40" i="67"/>
  <c r="E40" i="67"/>
  <c r="I39" i="67"/>
  <c r="H39" i="67"/>
  <c r="D39" i="67"/>
  <c r="C39" i="67"/>
  <c r="C40" i="67"/>
  <c r="H40" i="67"/>
  <c r="AA13" i="67"/>
  <c r="AB13" i="67"/>
  <c r="H8" i="59"/>
  <c r="C8" i="59"/>
  <c r="G7" i="59"/>
  <c r="H7" i="59"/>
  <c r="C7" i="59"/>
  <c r="I13" i="88"/>
  <c r="C13" i="29" s="1"/>
  <c r="F13" i="88"/>
  <c r="E13" i="88" s="1"/>
  <c r="E13" i="29" s="1"/>
  <c r="K14" i="89"/>
  <c r="AD14" i="67" s="1"/>
  <c r="J14" i="88"/>
  <c r="M14" i="89"/>
  <c r="K14" i="88"/>
  <c r="G14" i="88" s="1"/>
  <c r="Q13" i="89"/>
  <c r="F13" i="31" s="1"/>
  <c r="F13" i="56" s="1"/>
  <c r="R13" i="89"/>
  <c r="O13" i="89"/>
  <c r="P13" i="89"/>
  <c r="G13" i="89"/>
  <c r="Z13" i="67" s="1"/>
  <c r="H13" i="89"/>
  <c r="C13" i="31" s="1"/>
  <c r="F12" i="31"/>
  <c r="F12" i="56" s="1"/>
  <c r="F12" i="89"/>
  <c r="X12" i="67" s="1"/>
  <c r="E13" i="89"/>
  <c r="W13" i="67" s="1"/>
  <c r="E10" i="31"/>
  <c r="E12" i="89"/>
  <c r="W12" i="67" s="1"/>
  <c r="D11" i="89"/>
  <c r="V11" i="67" s="1"/>
  <c r="I12" i="88"/>
  <c r="C12" i="29" s="1"/>
  <c r="F12" i="88"/>
  <c r="E12" i="88" s="1"/>
  <c r="E12" i="29" s="1"/>
  <c r="H12" i="89"/>
  <c r="C12" i="31" s="1"/>
  <c r="G8" i="59"/>
  <c r="R38" i="67"/>
  <c r="T29" i="22"/>
  <c r="V26" i="24"/>
  <c r="L15" i="88" s="1"/>
  <c r="W26" i="22"/>
  <c r="I15" i="89" s="1"/>
  <c r="I31" i="22"/>
  <c r="N31" i="22" s="1"/>
  <c r="S25" i="23"/>
  <c r="J14" i="89" s="1"/>
  <c r="AC14" i="67" s="1"/>
  <c r="F30" i="23"/>
  <c r="K30" i="23" s="1"/>
  <c r="P30" i="23" s="1"/>
  <c r="S30" i="24"/>
  <c r="R31" i="24"/>
  <c r="E31" i="23"/>
  <c r="N30" i="22"/>
  <c r="S30" i="22" s="1"/>
  <c r="O30" i="23"/>
  <c r="W25" i="22"/>
  <c r="I14" i="89" s="1"/>
  <c r="J30" i="22"/>
  <c r="I40" i="67" l="1"/>
  <c r="AA15" i="67"/>
  <c r="AB15" i="67"/>
  <c r="J41" i="67"/>
  <c r="E41" i="67"/>
  <c r="M41" i="67"/>
  <c r="D41" i="67"/>
  <c r="H41" i="67"/>
  <c r="C41" i="67"/>
  <c r="I41" i="67"/>
  <c r="AB14" i="67"/>
  <c r="AA14" i="67"/>
  <c r="C8" i="56"/>
  <c r="E7" i="56"/>
  <c r="D7" i="59"/>
  <c r="D8" i="59"/>
  <c r="C7" i="56"/>
  <c r="E8" i="56"/>
  <c r="F13" i="89"/>
  <c r="X13" i="67" s="1"/>
  <c r="D12" i="89"/>
  <c r="V12" i="67" s="1"/>
  <c r="E14" i="89"/>
  <c r="W14" i="67" s="1"/>
  <c r="R14" i="89"/>
  <c r="Q14" i="89"/>
  <c r="F14" i="31" s="1"/>
  <c r="F14" i="56" s="1"/>
  <c r="O14" i="89"/>
  <c r="P14" i="89"/>
  <c r="G14" i="89"/>
  <c r="Z14" i="67" s="1"/>
  <c r="H14" i="89"/>
  <c r="C14" i="31" s="1"/>
  <c r="K15" i="88"/>
  <c r="G15" i="88" s="1"/>
  <c r="M15" i="89"/>
  <c r="K15" i="89"/>
  <c r="AD15" i="67" s="1"/>
  <c r="J15" i="88"/>
  <c r="E11" i="31"/>
  <c r="I14" i="88"/>
  <c r="C14" i="29" s="1"/>
  <c r="F14" i="88"/>
  <c r="E14" i="88" s="1"/>
  <c r="E14" i="29" s="1"/>
  <c r="Q37" i="67"/>
  <c r="R40" i="67"/>
  <c r="P37" i="67"/>
  <c r="R39" i="67"/>
  <c r="W27" i="22"/>
  <c r="I16" i="89" s="1"/>
  <c r="S26" i="23"/>
  <c r="J15" i="89" s="1"/>
  <c r="AC15" i="67" s="1"/>
  <c r="I32" i="22"/>
  <c r="N32" i="22" s="1"/>
  <c r="S32" i="22" s="1"/>
  <c r="J31" i="22"/>
  <c r="O31" i="22" s="1"/>
  <c r="F31" i="23"/>
  <c r="K31" i="23" s="1"/>
  <c r="P31" i="23" s="1"/>
  <c r="S31" i="24"/>
  <c r="J31" i="23"/>
  <c r="O31" i="23" s="1"/>
  <c r="S31" i="22"/>
  <c r="O30" i="22"/>
  <c r="T30" i="22" s="1"/>
  <c r="E32" i="23"/>
  <c r="R32" i="24"/>
  <c r="C42" i="67" l="1"/>
  <c r="D42" i="67"/>
  <c r="H42" i="67"/>
  <c r="I42" i="67"/>
  <c r="AA16" i="67"/>
  <c r="AB16" i="67"/>
  <c r="J42" i="67"/>
  <c r="E42" i="67"/>
  <c r="M42" i="67"/>
  <c r="E43" i="67"/>
  <c r="J43" i="67"/>
  <c r="M43" i="67"/>
  <c r="D8" i="56"/>
  <c r="D7" i="56"/>
  <c r="H9" i="59"/>
  <c r="C9" i="59"/>
  <c r="D13" i="89"/>
  <c r="F14" i="89"/>
  <c r="X14" i="67" s="1"/>
  <c r="H15" i="89"/>
  <c r="C15" i="31" s="1"/>
  <c r="R15" i="89"/>
  <c r="I15" i="88"/>
  <c r="C15" i="29" s="1"/>
  <c r="F15" i="88"/>
  <c r="E15" i="88" s="1"/>
  <c r="E15" i="29" s="1"/>
  <c r="G15" i="89"/>
  <c r="Z15" i="67" s="1"/>
  <c r="Q15" i="89"/>
  <c r="F15" i="31" s="1"/>
  <c r="F15" i="56" s="1"/>
  <c r="E15" i="89"/>
  <c r="W15" i="67" s="1"/>
  <c r="E12" i="31"/>
  <c r="O15" i="89"/>
  <c r="P15" i="89"/>
  <c r="G9" i="59"/>
  <c r="Q40" i="67"/>
  <c r="Q38" i="67"/>
  <c r="Q39" i="67"/>
  <c r="P39" i="67"/>
  <c r="P40" i="67"/>
  <c r="P38" i="67"/>
  <c r="S27" i="23"/>
  <c r="J16" i="89" s="1"/>
  <c r="AC16" i="67" s="1"/>
  <c r="V27" i="24"/>
  <c r="L16" i="88" s="1"/>
  <c r="J32" i="23"/>
  <c r="O32" i="23" s="1"/>
  <c r="S32" i="24"/>
  <c r="F32" i="23"/>
  <c r="K32" i="23" s="1"/>
  <c r="P32" i="23" s="1"/>
  <c r="E33" i="23"/>
  <c r="J33" i="23" s="1"/>
  <c r="O33" i="23" s="1"/>
  <c r="R33" i="24"/>
  <c r="J32" i="22"/>
  <c r="O32" i="22" s="1"/>
  <c r="T32" i="22" s="1"/>
  <c r="I33" i="22"/>
  <c r="T31" i="22"/>
  <c r="H43" i="67" l="1"/>
  <c r="D43" i="67"/>
  <c r="C43" i="67"/>
  <c r="I43" i="67"/>
  <c r="E13" i="31"/>
  <c r="V13" i="67"/>
  <c r="M44" i="67"/>
  <c r="E44" i="67"/>
  <c r="J44" i="67"/>
  <c r="C9" i="56"/>
  <c r="D9" i="59"/>
  <c r="E9" i="56"/>
  <c r="G11" i="59"/>
  <c r="C11" i="59"/>
  <c r="H11" i="59"/>
  <c r="H10" i="59"/>
  <c r="C10" i="59"/>
  <c r="H12" i="59"/>
  <c r="C12" i="59"/>
  <c r="D14" i="89"/>
  <c r="V14" i="67" s="1"/>
  <c r="W28" i="22"/>
  <c r="I17" i="89" s="1"/>
  <c r="O16" i="89"/>
  <c r="P16" i="89"/>
  <c r="F15" i="89"/>
  <c r="X15" i="67" s="1"/>
  <c r="R16" i="89"/>
  <c r="M16" i="89"/>
  <c r="K16" i="88"/>
  <c r="G16" i="88" s="1"/>
  <c r="J16" i="88"/>
  <c r="K16" i="89"/>
  <c r="AD16" i="67" s="1"/>
  <c r="Q16" i="89"/>
  <c r="G12" i="59"/>
  <c r="G10" i="59"/>
  <c r="R41" i="67"/>
  <c r="V29" i="24"/>
  <c r="L18" i="88" s="1"/>
  <c r="V28" i="24"/>
  <c r="L17" i="88" s="1"/>
  <c r="S28" i="23"/>
  <c r="J17" i="89" s="1"/>
  <c r="AC17" i="67" s="1"/>
  <c r="S29" i="23"/>
  <c r="J18" i="89" s="1"/>
  <c r="AC18" i="67" s="1"/>
  <c r="W29" i="22"/>
  <c r="I18" i="89" s="1"/>
  <c r="I34" i="22"/>
  <c r="N34" i="22" s="1"/>
  <c r="R34" i="24"/>
  <c r="E34" i="23"/>
  <c r="J34" i="23" s="1"/>
  <c r="O34" i="23" s="1"/>
  <c r="F33" i="23"/>
  <c r="K33" i="23" s="1"/>
  <c r="P33" i="23" s="1"/>
  <c r="S33" i="24"/>
  <c r="J33" i="22"/>
  <c r="O33" i="22" s="1"/>
  <c r="T33" i="22" s="1"/>
  <c r="N33" i="22"/>
  <c r="S33" i="22" s="1"/>
  <c r="AB18" i="67" l="1"/>
  <c r="AA18" i="67"/>
  <c r="E14" i="31"/>
  <c r="AB17" i="67"/>
  <c r="AA17" i="67"/>
  <c r="D10" i="59"/>
  <c r="E12" i="56"/>
  <c r="D12" i="59"/>
  <c r="D9" i="56"/>
  <c r="E10" i="56"/>
  <c r="C11" i="56"/>
  <c r="C10" i="56"/>
  <c r="D11" i="59"/>
  <c r="C12" i="56"/>
  <c r="E11" i="56"/>
  <c r="F16" i="31"/>
  <c r="F16" i="56" s="1"/>
  <c r="D15" i="89"/>
  <c r="K18" i="89"/>
  <c r="J18" i="88"/>
  <c r="M18" i="89"/>
  <c r="K18" i="88"/>
  <c r="G18" i="88" s="1"/>
  <c r="E16" i="89"/>
  <c r="W16" i="67" s="1"/>
  <c r="H16" i="89"/>
  <c r="C16" i="31" s="1"/>
  <c r="Q17" i="89"/>
  <c r="O18" i="89"/>
  <c r="R18" i="89"/>
  <c r="P18" i="89"/>
  <c r="Q18" i="89"/>
  <c r="I16" i="88"/>
  <c r="C16" i="29" s="1"/>
  <c r="F16" i="88"/>
  <c r="E16" i="88" s="1"/>
  <c r="E16" i="29" s="1"/>
  <c r="P17" i="89"/>
  <c r="F16" i="89"/>
  <c r="X16" i="67" s="1"/>
  <c r="O17" i="89"/>
  <c r="K17" i="88"/>
  <c r="G17" i="88" s="1"/>
  <c r="J17" i="88"/>
  <c r="M17" i="89"/>
  <c r="K17" i="89"/>
  <c r="G16" i="89"/>
  <c r="Z16" i="67" s="1"/>
  <c r="R17" i="89"/>
  <c r="P41" i="67"/>
  <c r="Q41" i="67"/>
  <c r="R43" i="67"/>
  <c r="R42" i="67"/>
  <c r="S34" i="22"/>
  <c r="V30" i="24"/>
  <c r="L19" i="88" s="1"/>
  <c r="E35" i="23"/>
  <c r="R35" i="24"/>
  <c r="F34" i="23"/>
  <c r="S34" i="24"/>
  <c r="I35" i="22"/>
  <c r="N35" i="22" s="1"/>
  <c r="S35" i="22" s="1"/>
  <c r="J34" i="22"/>
  <c r="G17" i="89" l="1"/>
  <c r="Z17" i="67" s="1"/>
  <c r="C45" i="67" s="1"/>
  <c r="AD17" i="67"/>
  <c r="G18" i="89"/>
  <c r="Z18" i="67" s="1"/>
  <c r="AD18" i="67"/>
  <c r="H44" i="67"/>
  <c r="D44" i="67"/>
  <c r="C44" i="67"/>
  <c r="I44" i="67"/>
  <c r="C46" i="67"/>
  <c r="D46" i="67"/>
  <c r="H46" i="67"/>
  <c r="I46" i="67"/>
  <c r="J45" i="67"/>
  <c r="M45" i="67"/>
  <c r="E45" i="67"/>
  <c r="H45" i="67"/>
  <c r="I45" i="67"/>
  <c r="E15" i="31"/>
  <c r="V15" i="67"/>
  <c r="E46" i="67"/>
  <c r="J46" i="67"/>
  <c r="M46" i="67"/>
  <c r="D11" i="56"/>
  <c r="D12" i="56"/>
  <c r="D10" i="56"/>
  <c r="G13" i="59"/>
  <c r="H13" i="59"/>
  <c r="C13" i="59"/>
  <c r="P42" i="67"/>
  <c r="F17" i="31"/>
  <c r="F17" i="56" s="1"/>
  <c r="H18" i="89"/>
  <c r="C18" i="31" s="1"/>
  <c r="S30" i="23"/>
  <c r="J19" i="89" s="1"/>
  <c r="AC19" i="67" s="1"/>
  <c r="F18" i="31"/>
  <c r="F18" i="56" s="1"/>
  <c r="K19" i="88"/>
  <c r="G19" i="88" s="1"/>
  <c r="K19" i="89"/>
  <c r="AD19" i="67" s="1"/>
  <c r="M19" i="89"/>
  <c r="J19" i="88"/>
  <c r="E17" i="89"/>
  <c r="W17" i="67" s="1"/>
  <c r="F17" i="89"/>
  <c r="X17" i="67" s="1"/>
  <c r="H17" i="89"/>
  <c r="C17" i="31" s="1"/>
  <c r="D16" i="89"/>
  <c r="V16" i="67" s="1"/>
  <c r="I18" i="88"/>
  <c r="C18" i="29" s="1"/>
  <c r="F18" i="88"/>
  <c r="E18" i="88" s="1"/>
  <c r="E18" i="29" s="1"/>
  <c r="I17" i="88"/>
  <c r="C17" i="29" s="1"/>
  <c r="F17" i="88"/>
  <c r="E17" i="88" s="1"/>
  <c r="E17" i="29" s="1"/>
  <c r="F18" i="89"/>
  <c r="X18" i="67" s="1"/>
  <c r="E18" i="89"/>
  <c r="W18" i="67" s="1"/>
  <c r="Q42" i="67"/>
  <c r="R44" i="67"/>
  <c r="W30" i="22"/>
  <c r="I19" i="89" s="1"/>
  <c r="V31" i="24"/>
  <c r="L20" i="88" s="1"/>
  <c r="J35" i="22"/>
  <c r="O34" i="22"/>
  <c r="T34" i="22" s="1"/>
  <c r="F35" i="23"/>
  <c r="S35" i="24"/>
  <c r="K34" i="23"/>
  <c r="P34" i="23" s="1"/>
  <c r="J35" i="23"/>
  <c r="O35" i="23" s="1"/>
  <c r="I36" i="22"/>
  <c r="N36" i="22"/>
  <c r="S36" i="22" s="1"/>
  <c r="E36" i="23"/>
  <c r="J36" i="23" s="1"/>
  <c r="R36" i="24"/>
  <c r="D45" i="67" l="1"/>
  <c r="AA19" i="67"/>
  <c r="AB19" i="67"/>
  <c r="E13" i="56"/>
  <c r="D13" i="59"/>
  <c r="C13" i="56"/>
  <c r="H14" i="59"/>
  <c r="C14" i="59"/>
  <c r="G14" i="59"/>
  <c r="O36" i="23"/>
  <c r="Q19" i="89"/>
  <c r="F19" i="31" s="1"/>
  <c r="F19" i="56" s="1"/>
  <c r="P19" i="89"/>
  <c r="O19" i="89"/>
  <c r="R19" i="89"/>
  <c r="G19" i="89"/>
  <c r="Z19" i="67" s="1"/>
  <c r="H19" i="89"/>
  <c r="C19" i="31" s="1"/>
  <c r="E16" i="31"/>
  <c r="D17" i="89"/>
  <c r="V17" i="67" s="1"/>
  <c r="M20" i="89"/>
  <c r="K20" i="88"/>
  <c r="G20" i="88" s="1"/>
  <c r="J20" i="88"/>
  <c r="K20" i="89"/>
  <c r="AD20" i="67" s="1"/>
  <c r="D18" i="89"/>
  <c r="V18" i="67" s="1"/>
  <c r="E19" i="89"/>
  <c r="W19" i="67" s="1"/>
  <c r="I19" i="88"/>
  <c r="C19" i="29" s="1"/>
  <c r="F19" i="88"/>
  <c r="E19" i="88" s="1"/>
  <c r="E19" i="29" s="1"/>
  <c r="R45" i="67"/>
  <c r="P43" i="67"/>
  <c r="Q43" i="67"/>
  <c r="E37" i="23"/>
  <c r="J37" i="23" s="1"/>
  <c r="O37" i="23" s="1"/>
  <c r="R37" i="24"/>
  <c r="F36" i="23"/>
  <c r="K36" i="23" s="1"/>
  <c r="S36" i="24"/>
  <c r="J36" i="22"/>
  <c r="O36" i="22" s="1"/>
  <c r="S31" i="23"/>
  <c r="J20" i="89" s="1"/>
  <c r="AC20" i="67" s="1"/>
  <c r="I37" i="22"/>
  <c r="N37" i="22" s="1"/>
  <c r="S37" i="22" s="1"/>
  <c r="W31" i="22"/>
  <c r="I20" i="89" s="1"/>
  <c r="O35" i="22"/>
  <c r="T35" i="22" s="1"/>
  <c r="K35" i="23"/>
  <c r="P35" i="23" s="1"/>
  <c r="H47" i="67" l="1"/>
  <c r="D47" i="67"/>
  <c r="C47" i="67"/>
  <c r="I47" i="67"/>
  <c r="AA20" i="67"/>
  <c r="AB20" i="67"/>
  <c r="E47" i="67"/>
  <c r="J47" i="67"/>
  <c r="M47" i="67"/>
  <c r="C14" i="56"/>
  <c r="D13" i="56"/>
  <c r="D14" i="59"/>
  <c r="E14" i="56"/>
  <c r="H15" i="59"/>
  <c r="C15" i="59"/>
  <c r="V32" i="24"/>
  <c r="I20" i="88"/>
  <c r="C20" i="29" s="1"/>
  <c r="F20" i="88"/>
  <c r="E20" i="88" s="1"/>
  <c r="E20" i="29" s="1"/>
  <c r="E17" i="31"/>
  <c r="E18" i="31"/>
  <c r="P20" i="89"/>
  <c r="O20" i="89"/>
  <c r="Q20" i="89"/>
  <c r="F20" i="31" s="1"/>
  <c r="F20" i="56" s="1"/>
  <c r="R20" i="89"/>
  <c r="G20" i="89"/>
  <c r="Z20" i="67" s="1"/>
  <c r="H20" i="89"/>
  <c r="C20" i="31" s="1"/>
  <c r="E20" i="89"/>
  <c r="W20" i="67" s="1"/>
  <c r="F19" i="89"/>
  <c r="X19" i="67" s="1"/>
  <c r="Q44" i="67"/>
  <c r="G15" i="59"/>
  <c r="R46" i="67"/>
  <c r="P44" i="67"/>
  <c r="W32" i="22"/>
  <c r="I21" i="89" s="1"/>
  <c r="P36" i="23"/>
  <c r="I38" i="22"/>
  <c r="N38" i="22" s="1"/>
  <c r="S38" i="22" s="1"/>
  <c r="F37" i="23"/>
  <c r="K37" i="23" s="1"/>
  <c r="P37" i="23" s="1"/>
  <c r="S37" i="24"/>
  <c r="E38" i="23"/>
  <c r="J38" i="23" s="1"/>
  <c r="O38" i="23" s="1"/>
  <c r="R38" i="24"/>
  <c r="S32" i="23"/>
  <c r="J21" i="89" s="1"/>
  <c r="AC21" i="67" s="1"/>
  <c r="T36" i="22"/>
  <c r="J37" i="22"/>
  <c r="O37" i="22" s="1"/>
  <c r="T37" i="22" s="1"/>
  <c r="K21" i="88" l="1"/>
  <c r="G21" i="88" s="1"/>
  <c r="L21" i="88"/>
  <c r="M48" i="67"/>
  <c r="E48" i="67"/>
  <c r="J48" i="67"/>
  <c r="AA21" i="67"/>
  <c r="AB21" i="67"/>
  <c r="C48" i="67"/>
  <c r="H48" i="67"/>
  <c r="I48" i="67"/>
  <c r="D48" i="67"/>
  <c r="D15" i="59"/>
  <c r="C15" i="56"/>
  <c r="E15" i="56"/>
  <c r="D14" i="56"/>
  <c r="H16" i="59"/>
  <c r="C16" i="59"/>
  <c r="M21" i="89"/>
  <c r="J21" i="88"/>
  <c r="F21" i="88" s="1"/>
  <c r="K21" i="89"/>
  <c r="AD21" i="67" s="1"/>
  <c r="Q21" i="89"/>
  <c r="R21" i="89"/>
  <c r="O21" i="89"/>
  <c r="P21" i="89"/>
  <c r="D19" i="89"/>
  <c r="V19" i="67" s="1"/>
  <c r="F20" i="89"/>
  <c r="X20" i="67" s="1"/>
  <c r="P45" i="67"/>
  <c r="Q45" i="67"/>
  <c r="G16" i="59"/>
  <c r="S33" i="23"/>
  <c r="J22" i="89" s="1"/>
  <c r="AC22" i="67" s="1"/>
  <c r="W33" i="22"/>
  <c r="I22" i="89" s="1"/>
  <c r="J38" i="22"/>
  <c r="O38" i="22" s="1"/>
  <c r="T38" i="22" s="1"/>
  <c r="F38" i="23"/>
  <c r="K38" i="23" s="1"/>
  <c r="P38" i="23" s="1"/>
  <c r="S38" i="24"/>
  <c r="V33" i="24"/>
  <c r="L22" i="88" s="1"/>
  <c r="F21" i="31" l="1"/>
  <c r="F21" i="56" s="1"/>
  <c r="E21" i="88"/>
  <c r="E21" i="29" s="1"/>
  <c r="AB22" i="67"/>
  <c r="AA22" i="67"/>
  <c r="J49" i="67"/>
  <c r="M49" i="67"/>
  <c r="E49" i="67"/>
  <c r="C16" i="56"/>
  <c r="D16" i="59"/>
  <c r="E16" i="56"/>
  <c r="D15" i="56"/>
  <c r="G17" i="59"/>
  <c r="H17" i="59"/>
  <c r="C17" i="59"/>
  <c r="G21" i="89"/>
  <c r="Z21" i="67" s="1"/>
  <c r="H21" i="89"/>
  <c r="C21" i="31" s="1"/>
  <c r="E21" i="89"/>
  <c r="W21" i="67" s="1"/>
  <c r="I21" i="88"/>
  <c r="C21" i="29" s="1"/>
  <c r="K22" i="89"/>
  <c r="J22" i="88"/>
  <c r="M22" i="89"/>
  <c r="K22" i="88"/>
  <c r="G22" i="88" s="1"/>
  <c r="R22" i="89"/>
  <c r="Q22" i="89"/>
  <c r="O22" i="89"/>
  <c r="P22" i="89"/>
  <c r="D20" i="89"/>
  <c r="V20" i="67" s="1"/>
  <c r="F21" i="89"/>
  <c r="X21" i="67" s="1"/>
  <c r="E19" i="31"/>
  <c r="Q46" i="67"/>
  <c r="R47" i="67"/>
  <c r="P46" i="67"/>
  <c r="V34" i="24"/>
  <c r="L23" i="88" s="1"/>
  <c r="S34" i="23"/>
  <c r="J23" i="89" s="1"/>
  <c r="AC23" i="67" s="1"/>
  <c r="W34" i="22"/>
  <c r="I23" i="89" s="1"/>
  <c r="G22" i="89" l="1"/>
  <c r="Z22" i="67" s="1"/>
  <c r="I50" i="67" s="1"/>
  <c r="AD22" i="67"/>
  <c r="M50" i="67"/>
  <c r="J50" i="67"/>
  <c r="E50" i="67"/>
  <c r="C50" i="67"/>
  <c r="AA23" i="67"/>
  <c r="AB23" i="67"/>
  <c r="H49" i="67"/>
  <c r="I49" i="67"/>
  <c r="D49" i="67"/>
  <c r="C49" i="67"/>
  <c r="E17" i="56"/>
  <c r="C17" i="56"/>
  <c r="D16" i="56"/>
  <c r="D17" i="59"/>
  <c r="H18" i="59"/>
  <c r="C18" i="59"/>
  <c r="D21" i="89"/>
  <c r="H22" i="89"/>
  <c r="C22" i="31" s="1"/>
  <c r="K23" i="88"/>
  <c r="G23" i="88" s="1"/>
  <c r="M23" i="89"/>
  <c r="K23" i="89"/>
  <c r="J23" i="88"/>
  <c r="F22" i="31"/>
  <c r="F22" i="56" s="1"/>
  <c r="I22" i="88"/>
  <c r="C22" i="29" s="1"/>
  <c r="F22" i="88"/>
  <c r="E22" i="88" s="1"/>
  <c r="E22" i="29" s="1"/>
  <c r="E20" i="31"/>
  <c r="R23" i="89"/>
  <c r="Q23" i="89"/>
  <c r="O23" i="89"/>
  <c r="P23" i="89"/>
  <c r="F22" i="89"/>
  <c r="X22" i="67" s="1"/>
  <c r="E22" i="89"/>
  <c r="W22" i="67" s="1"/>
  <c r="R49" i="67"/>
  <c r="G18" i="59"/>
  <c r="Q47" i="67"/>
  <c r="R48" i="67"/>
  <c r="P47" i="67"/>
  <c r="V35" i="24"/>
  <c r="L24" i="88" s="1"/>
  <c r="S35" i="23"/>
  <c r="J24" i="89" s="1"/>
  <c r="AC24" i="67" s="1"/>
  <c r="S36" i="23"/>
  <c r="J25" i="89" s="1"/>
  <c r="AC25" i="67" s="1"/>
  <c r="V36" i="24"/>
  <c r="L25" i="88" s="1"/>
  <c r="W35" i="22"/>
  <c r="I24" i="89" s="1"/>
  <c r="G23" i="89" l="1"/>
  <c r="Z23" i="67" s="1"/>
  <c r="D51" i="67" s="1"/>
  <c r="AD23" i="67"/>
  <c r="D50" i="67"/>
  <c r="H50" i="67"/>
  <c r="AA24" i="67"/>
  <c r="AB24" i="67"/>
  <c r="H51" i="67"/>
  <c r="C51" i="67"/>
  <c r="E21" i="31"/>
  <c r="V21" i="67"/>
  <c r="E51" i="67"/>
  <c r="M51" i="67"/>
  <c r="J51" i="67"/>
  <c r="D17" i="56"/>
  <c r="C18" i="56"/>
  <c r="D18" i="59"/>
  <c r="E18" i="56"/>
  <c r="H19" i="59"/>
  <c r="C19" i="59"/>
  <c r="F23" i="89"/>
  <c r="X23" i="67" s="1"/>
  <c r="F23" i="31"/>
  <c r="F23" i="56" s="1"/>
  <c r="H23" i="89"/>
  <c r="C23" i="31" s="1"/>
  <c r="Q24" i="89"/>
  <c r="O24" i="89"/>
  <c r="P24" i="89"/>
  <c r="R24" i="89"/>
  <c r="M24" i="89"/>
  <c r="K24" i="89"/>
  <c r="K24" i="88"/>
  <c r="G24" i="88" s="1"/>
  <c r="J24" i="88"/>
  <c r="D22" i="89"/>
  <c r="V22" i="67" s="1"/>
  <c r="E23" i="89"/>
  <c r="W23" i="67" s="1"/>
  <c r="K25" i="88"/>
  <c r="G25" i="88" s="1"/>
  <c r="J25" i="88"/>
  <c r="M25" i="89"/>
  <c r="K25" i="89"/>
  <c r="AD25" i="67" s="1"/>
  <c r="I23" i="88"/>
  <c r="C23" i="29" s="1"/>
  <c r="F23" i="88"/>
  <c r="E23" i="88" s="1"/>
  <c r="E23" i="29" s="1"/>
  <c r="P48" i="67"/>
  <c r="G19" i="59"/>
  <c r="Q48" i="67"/>
  <c r="V37" i="24"/>
  <c r="L26" i="88" s="1"/>
  <c r="S38" i="23"/>
  <c r="J27" i="89" s="1"/>
  <c r="AC27" i="67" s="1"/>
  <c r="W36" i="22"/>
  <c r="I25" i="89" s="1"/>
  <c r="I51" i="67" l="1"/>
  <c r="H24" i="89"/>
  <c r="C24" i="31" s="1"/>
  <c r="AD24" i="67"/>
  <c r="AB25" i="67"/>
  <c r="AA25" i="67"/>
  <c r="M52" i="67"/>
  <c r="E52" i="67"/>
  <c r="J52" i="67"/>
  <c r="D19" i="59"/>
  <c r="C19" i="56"/>
  <c r="E19" i="56"/>
  <c r="D18" i="56"/>
  <c r="H20" i="59"/>
  <c r="C20" i="59"/>
  <c r="G24" i="89"/>
  <c r="Z24" i="67" s="1"/>
  <c r="F24" i="31"/>
  <c r="F24" i="56" s="1"/>
  <c r="I24" i="88"/>
  <c r="C24" i="29" s="1"/>
  <c r="F24" i="88"/>
  <c r="E24" i="88" s="1"/>
  <c r="E24" i="29" s="1"/>
  <c r="E25" i="89"/>
  <c r="W25" i="67" s="1"/>
  <c r="E24" i="89"/>
  <c r="W24" i="67" s="1"/>
  <c r="K26" i="89"/>
  <c r="AD26" i="67" s="1"/>
  <c r="M26" i="89"/>
  <c r="J26" i="88"/>
  <c r="K26" i="88"/>
  <c r="G26" i="88" s="1"/>
  <c r="I25" i="88"/>
  <c r="C25" i="29" s="1"/>
  <c r="F25" i="88"/>
  <c r="E25" i="88" s="1"/>
  <c r="E25" i="29" s="1"/>
  <c r="Q25" i="89"/>
  <c r="F25" i="31" s="1"/>
  <c r="F25" i="56" s="1"/>
  <c r="R25" i="89"/>
  <c r="O25" i="89"/>
  <c r="P25" i="89"/>
  <c r="G25" i="89"/>
  <c r="Z25" i="67" s="1"/>
  <c r="H25" i="89"/>
  <c r="C25" i="31" s="1"/>
  <c r="E22" i="31"/>
  <c r="F24" i="89"/>
  <c r="X24" i="67" s="1"/>
  <c r="D23" i="89"/>
  <c r="V23" i="67" s="1"/>
  <c r="R50" i="67"/>
  <c r="G20" i="59"/>
  <c r="Q49" i="67"/>
  <c r="P49" i="67"/>
  <c r="V38" i="24"/>
  <c r="L27" i="88" s="1"/>
  <c r="W37" i="22"/>
  <c r="I26" i="89" s="1"/>
  <c r="W38" i="22"/>
  <c r="I27" i="89" s="1"/>
  <c r="S37" i="23"/>
  <c r="J26" i="89" s="1"/>
  <c r="AC26" i="67" s="1"/>
  <c r="D53" i="67" l="1"/>
  <c r="H53" i="67"/>
  <c r="I53" i="67"/>
  <c r="C53" i="67"/>
  <c r="H52" i="67"/>
  <c r="D52" i="67"/>
  <c r="C52" i="67"/>
  <c r="I52" i="67"/>
  <c r="AA27" i="67"/>
  <c r="AB27" i="67"/>
  <c r="J53" i="67"/>
  <c r="M53" i="67"/>
  <c r="E53" i="67"/>
  <c r="AB26" i="67"/>
  <c r="AA26" i="67"/>
  <c r="D20" i="59"/>
  <c r="C20" i="56"/>
  <c r="E20" i="56"/>
  <c r="D19" i="56"/>
  <c r="H21" i="59"/>
  <c r="C21" i="59"/>
  <c r="Q27" i="89"/>
  <c r="R27" i="89"/>
  <c r="O27" i="89"/>
  <c r="P27" i="89"/>
  <c r="Q26" i="89"/>
  <c r="F26" i="31" s="1"/>
  <c r="F26" i="56" s="1"/>
  <c r="O26" i="89"/>
  <c r="P26" i="89"/>
  <c r="R26" i="89"/>
  <c r="G26" i="89"/>
  <c r="Z26" i="67" s="1"/>
  <c r="H26" i="89"/>
  <c r="C26" i="31" s="1"/>
  <c r="F25" i="89"/>
  <c r="X25" i="67" s="1"/>
  <c r="K27" i="88"/>
  <c r="G27" i="88" s="1"/>
  <c r="M27" i="89"/>
  <c r="K27" i="89"/>
  <c r="J27" i="88"/>
  <c r="E26" i="89"/>
  <c r="W26" i="67" s="1"/>
  <c r="E23" i="31"/>
  <c r="I26" i="88"/>
  <c r="C26" i="29" s="1"/>
  <c r="F26" i="88"/>
  <c r="E26" i="88" s="1"/>
  <c r="E26" i="29" s="1"/>
  <c r="D24" i="89"/>
  <c r="V24" i="67" s="1"/>
  <c r="G21" i="59"/>
  <c r="R51" i="67"/>
  <c r="H27" i="89" l="1"/>
  <c r="C27" i="31" s="1"/>
  <c r="AD27" i="67"/>
  <c r="C54" i="67"/>
  <c r="D54" i="67"/>
  <c r="I54" i="67"/>
  <c r="H54" i="67"/>
  <c r="J55" i="67"/>
  <c r="E55" i="67"/>
  <c r="M55" i="67"/>
  <c r="E54" i="67"/>
  <c r="J54" i="67"/>
  <c r="M54" i="67"/>
  <c r="E21" i="56"/>
  <c r="D20" i="56"/>
  <c r="D21" i="59"/>
  <c r="C21" i="56"/>
  <c r="F27" i="31"/>
  <c r="F27" i="56" s="1"/>
  <c r="F26" i="89"/>
  <c r="X26" i="67" s="1"/>
  <c r="D25" i="89"/>
  <c r="E27" i="89"/>
  <c r="W27" i="67" s="1"/>
  <c r="G27" i="89"/>
  <c r="Z27" i="67" s="1"/>
  <c r="E24" i="31"/>
  <c r="I27" i="88"/>
  <c r="C27" i="29" s="1"/>
  <c r="F27" i="88"/>
  <c r="E27" i="88" s="1"/>
  <c r="E27" i="29" s="1"/>
  <c r="F27" i="89"/>
  <c r="X27" i="67" s="1"/>
  <c r="P50" i="67"/>
  <c r="R52" i="67"/>
  <c r="Q50" i="67"/>
  <c r="E25" i="31" l="1"/>
  <c r="V25" i="67"/>
  <c r="D55" i="67"/>
  <c r="C55" i="67"/>
  <c r="H55" i="67"/>
  <c r="I55" i="67"/>
  <c r="D21" i="56"/>
  <c r="G22" i="59"/>
  <c r="H22" i="59"/>
  <c r="C22" i="59"/>
  <c r="D26" i="89"/>
  <c r="V26" i="67" s="1"/>
  <c r="D27" i="89"/>
  <c r="V27" i="67" s="1"/>
  <c r="P52" i="67"/>
  <c r="R53" i="67"/>
  <c r="Q52" i="67"/>
  <c r="P51" i="67"/>
  <c r="Q51" i="67"/>
  <c r="E22" i="56" l="1"/>
  <c r="D22" i="59"/>
  <c r="C22" i="56"/>
  <c r="H23" i="59"/>
  <c r="C23" i="59"/>
  <c r="G24" i="59"/>
  <c r="H24" i="59"/>
  <c r="C24" i="59"/>
  <c r="E26" i="31"/>
  <c r="E27" i="31"/>
  <c r="Q53" i="67"/>
  <c r="R55" i="67"/>
  <c r="G23" i="59"/>
  <c r="P53" i="67"/>
  <c r="R54" i="67"/>
  <c r="E24" i="56" l="1"/>
  <c r="D23" i="59"/>
  <c r="D24" i="59"/>
  <c r="C23" i="56"/>
  <c r="C24" i="56"/>
  <c r="E23" i="56"/>
  <c r="D22" i="56"/>
  <c r="H25" i="59"/>
  <c r="C25" i="59"/>
  <c r="P54" i="67"/>
  <c r="P55" i="67"/>
  <c r="Q55" i="67"/>
  <c r="G25" i="59"/>
  <c r="Q54" i="67"/>
  <c r="D24" i="56" l="1"/>
  <c r="D25" i="59"/>
  <c r="C25" i="56"/>
  <c r="E25" i="56"/>
  <c r="D23" i="56"/>
  <c r="H27" i="59"/>
  <c r="C27" i="59"/>
  <c r="G26" i="59"/>
  <c r="H26" i="59"/>
  <c r="C26" i="59"/>
  <c r="G27" i="59"/>
  <c r="E26" i="56" l="1"/>
  <c r="D26" i="59"/>
  <c r="D27" i="59"/>
  <c r="C27" i="56"/>
  <c r="C26" i="56"/>
  <c r="E27" i="56"/>
  <c r="D25" i="56"/>
  <c r="D27" i="56" l="1"/>
  <c r="D26" i="56"/>
</calcChain>
</file>

<file path=xl/sharedStrings.xml><?xml version="1.0" encoding="utf-8"?>
<sst xmlns="http://schemas.openxmlformats.org/spreadsheetml/2006/main" count="494" uniqueCount="189">
  <si>
    <t>比例</t>
    <rPh sb="0" eb="2">
      <t>ヒレイ</t>
    </rPh>
    <phoneticPr fontId="1"/>
  </si>
  <si>
    <t>既裁</t>
    <rPh sb="0" eb="2">
      <t>キサイ</t>
    </rPh>
    <phoneticPr fontId="1"/>
  </si>
  <si>
    <t>年度間値</t>
    <rPh sb="0" eb="2">
      <t>ネンド</t>
    </rPh>
    <rPh sb="2" eb="3">
      <t>アイダ</t>
    </rPh>
    <rPh sb="3" eb="4">
      <t>チ</t>
    </rPh>
    <phoneticPr fontId="1"/>
  </si>
  <si>
    <t>調整率</t>
    <rPh sb="0" eb="2">
      <t>チョウセイ</t>
    </rPh>
    <rPh sb="2" eb="3">
      <t>リツ</t>
    </rPh>
    <phoneticPr fontId="1"/>
  </si>
  <si>
    <t>物価</t>
    <rPh sb="0" eb="2">
      <t>ブッカ</t>
    </rPh>
    <phoneticPr fontId="1"/>
  </si>
  <si>
    <t>賃金</t>
    <rPh sb="0" eb="2">
      <t>チンギン</t>
    </rPh>
    <phoneticPr fontId="1"/>
  </si>
  <si>
    <t>保険料</t>
    <rPh sb="0" eb="3">
      <t>ホケンリョウ</t>
    </rPh>
    <phoneticPr fontId="1"/>
  </si>
  <si>
    <t>改定率</t>
    <rPh sb="0" eb="2">
      <t>カイテイ</t>
    </rPh>
    <rPh sb="2" eb="3">
      <t>リツ</t>
    </rPh>
    <phoneticPr fontId="1"/>
  </si>
  <si>
    <t>（国年）</t>
    <rPh sb="1" eb="3">
      <t>コクネン</t>
    </rPh>
    <phoneticPr fontId="1"/>
  </si>
  <si>
    <t>【厚年比例】</t>
    <rPh sb="1" eb="3">
      <t>コウネン</t>
    </rPh>
    <rPh sb="3" eb="5">
      <t>ヒレイ</t>
    </rPh>
    <phoneticPr fontId="1"/>
  </si>
  <si>
    <t>スライド</t>
    <phoneticPr fontId="1"/>
  </si>
  <si>
    <t>財政検証</t>
    <rPh sb="0" eb="2">
      <t>ザイセイ</t>
    </rPh>
    <rPh sb="2" eb="4">
      <t>ケンショウ</t>
    </rPh>
    <phoneticPr fontId="1"/>
  </si>
  <si>
    <t>億円</t>
    <rPh sb="0" eb="2">
      <t>オクエン</t>
    </rPh>
    <phoneticPr fontId="1"/>
  </si>
  <si>
    <t>国庫負担</t>
  </si>
  <si>
    <t>(2018)</t>
  </si>
  <si>
    <t>(2019)</t>
  </si>
  <si>
    <t>(2020)</t>
  </si>
  <si>
    <t>(2021)</t>
  </si>
  <si>
    <t>(2022)</t>
  </si>
  <si>
    <t>(2023)</t>
  </si>
  <si>
    <t>(2024)</t>
  </si>
  <si>
    <t>(2025)</t>
  </si>
  <si>
    <t>(2026)</t>
  </si>
  <si>
    <t>(2027)</t>
  </si>
  <si>
    <t>(2028)</t>
  </si>
  <si>
    <t>保険料収入</t>
    <rPh sb="0" eb="3">
      <t>ホケンリョウ</t>
    </rPh>
    <rPh sb="3" eb="5">
      <t>シュウニュウ</t>
    </rPh>
    <phoneticPr fontId="1"/>
  </si>
  <si>
    <t>国庫負担</t>
    <rPh sb="0" eb="2">
      <t>コッコ</t>
    </rPh>
    <rPh sb="2" eb="4">
      <t>フタン</t>
    </rPh>
    <phoneticPr fontId="1"/>
  </si>
  <si>
    <t>基礎年金分</t>
    <rPh sb="0" eb="2">
      <t>キソ</t>
    </rPh>
    <rPh sb="2" eb="4">
      <t>ネンキン</t>
    </rPh>
    <rPh sb="4" eb="5">
      <t>ブン</t>
    </rPh>
    <phoneticPr fontId="1"/>
  </si>
  <si>
    <t>その他</t>
    <rPh sb="2" eb="3">
      <t>タ</t>
    </rPh>
    <phoneticPr fontId="1"/>
  </si>
  <si>
    <t>支出計</t>
    <rPh sb="0" eb="2">
      <t>シシュツ</t>
    </rPh>
    <rPh sb="2" eb="3">
      <t>ケイ</t>
    </rPh>
    <phoneticPr fontId="1"/>
  </si>
  <si>
    <t>独自給付</t>
    <rPh sb="0" eb="2">
      <t>ドクジ</t>
    </rPh>
    <rPh sb="2" eb="4">
      <t>キュウフ</t>
    </rPh>
    <phoneticPr fontId="1"/>
  </si>
  <si>
    <t>拠出金</t>
    <rPh sb="0" eb="3">
      <t>キョシュツキン</t>
    </rPh>
    <phoneticPr fontId="1"/>
  </si>
  <si>
    <t>基礎年金</t>
    <rPh sb="0" eb="2">
      <t>キソ</t>
    </rPh>
    <rPh sb="2" eb="4">
      <t>ネンキン</t>
    </rPh>
    <phoneticPr fontId="1"/>
  </si>
  <si>
    <t>付加</t>
    <rPh sb="0" eb="2">
      <t>フカ</t>
    </rPh>
    <phoneticPr fontId="1"/>
  </si>
  <si>
    <t>本体</t>
    <rPh sb="0" eb="2">
      <t>ホンタイ</t>
    </rPh>
    <phoneticPr fontId="1"/>
  </si>
  <si>
    <t>特別国庫</t>
    <rPh sb="0" eb="2">
      <t>トクベツ</t>
    </rPh>
    <rPh sb="2" eb="4">
      <t>コッコ</t>
    </rPh>
    <phoneticPr fontId="1"/>
  </si>
  <si>
    <t>【基礎年金拠出金】</t>
    <rPh sb="1" eb="3">
      <t>キソ</t>
    </rPh>
    <rPh sb="3" eb="5">
      <t>ネンキン</t>
    </rPh>
    <rPh sb="5" eb="8">
      <t>キョシュツキン</t>
    </rPh>
    <phoneticPr fontId="1"/>
  </si>
  <si>
    <t>給付費</t>
    <rPh sb="0" eb="3">
      <t>キュウフヒ</t>
    </rPh>
    <phoneticPr fontId="1"/>
  </si>
  <si>
    <t>実質</t>
    <rPh sb="0" eb="2">
      <t>ジッシツ</t>
    </rPh>
    <phoneticPr fontId="1"/>
  </si>
  <si>
    <t>３年平均</t>
    <rPh sb="1" eb="2">
      <t>ネン</t>
    </rPh>
    <rPh sb="2" eb="4">
      <t>ヘイキン</t>
    </rPh>
    <phoneticPr fontId="1"/>
  </si>
  <si>
    <t>可処分所得変化割合</t>
    <rPh sb="0" eb="3">
      <t>カショブン</t>
    </rPh>
    <rPh sb="3" eb="5">
      <t>ショトク</t>
    </rPh>
    <rPh sb="5" eb="7">
      <t>ヘンカ</t>
    </rPh>
    <rPh sb="7" eb="9">
      <t>ワリアイ</t>
    </rPh>
    <phoneticPr fontId="1"/>
  </si>
  <si>
    <t>名目賃金</t>
    <rPh sb="0" eb="2">
      <t>メイモク</t>
    </rPh>
    <rPh sb="2" eb="4">
      <t>チンギン</t>
    </rPh>
    <phoneticPr fontId="1"/>
  </si>
  <si>
    <t>単年度保険料</t>
    <rPh sb="0" eb="3">
      <t>タンネンド</t>
    </rPh>
    <rPh sb="3" eb="6">
      <t>ホケンリョウ</t>
    </rPh>
    <phoneticPr fontId="1"/>
  </si>
  <si>
    <t>(2029)</t>
  </si>
  <si>
    <t>(2030)</t>
  </si>
  <si>
    <t>(2031)</t>
  </si>
  <si>
    <t>(2032)</t>
  </si>
  <si>
    <t>(2033)</t>
  </si>
  <si>
    <t>(2034)</t>
  </si>
  <si>
    <t>(2035)</t>
  </si>
  <si>
    <t>(2036)</t>
  </si>
  <si>
    <t>(2037)</t>
  </si>
  <si>
    <t>(2038)</t>
  </si>
  <si>
    <t>(2039)</t>
  </si>
  <si>
    <t>(2040)</t>
  </si>
  <si>
    <t>年  度</t>
  </si>
  <si>
    <t>社会保障</t>
  </si>
  <si>
    <t>社会保障負担</t>
    <rPh sb="4" eb="6">
      <t>フタン</t>
    </rPh>
    <phoneticPr fontId="3"/>
  </si>
  <si>
    <t>地方負担</t>
  </si>
  <si>
    <t>給付費</t>
  </si>
  <si>
    <t>本人負担</t>
    <rPh sb="0" eb="2">
      <t>ホンニン</t>
    </rPh>
    <rPh sb="2" eb="4">
      <t>フタン</t>
    </rPh>
    <phoneticPr fontId="3"/>
  </si>
  <si>
    <t>追加費用</t>
    <rPh sb="0" eb="2">
      <t>ツイカ</t>
    </rPh>
    <rPh sb="2" eb="4">
      <t>ヒヨウ</t>
    </rPh>
    <phoneticPr fontId="3"/>
  </si>
  <si>
    <t>西暦</t>
    <rPh sb="0" eb="2">
      <t>セイレキ</t>
    </rPh>
    <phoneticPr fontId="1"/>
  </si>
  <si>
    <t>（暦年）</t>
    <rPh sb="1" eb="3">
      <t>レキネン</t>
    </rPh>
    <phoneticPr fontId="1"/>
  </si>
  <si>
    <t>65-</t>
  </si>
  <si>
    <t>足下に</t>
    <rPh sb="0" eb="2">
      <t>アシモト</t>
    </rPh>
    <phoneticPr fontId="1"/>
  </si>
  <si>
    <t>年度間値</t>
    <rPh sb="0" eb="2">
      <t>ネンド</t>
    </rPh>
    <rPh sb="2" eb="3">
      <t>アイダ</t>
    </rPh>
    <rPh sb="3" eb="4">
      <t>アタイ</t>
    </rPh>
    <phoneticPr fontId="1"/>
  </si>
  <si>
    <t>年金改定率</t>
    <rPh sb="0" eb="2">
      <t>ネンキン</t>
    </rPh>
    <rPh sb="2" eb="4">
      <t>カイテイ</t>
    </rPh>
    <rPh sb="4" eb="5">
      <t>リツ</t>
    </rPh>
    <phoneticPr fontId="1"/>
  </si>
  <si>
    <t>人口修正</t>
    <rPh sb="0" eb="2">
      <t>ジンコウ</t>
    </rPh>
    <rPh sb="2" eb="4">
      <t>シュウセイ</t>
    </rPh>
    <phoneticPr fontId="1"/>
  </si>
  <si>
    <t>検証時</t>
    <rPh sb="0" eb="2">
      <t>ケンショウ</t>
    </rPh>
    <rPh sb="2" eb="3">
      <t>ジ</t>
    </rPh>
    <phoneticPr fontId="1"/>
  </si>
  <si>
    <t>年金額改定率（単年度）</t>
    <rPh sb="0" eb="3">
      <t>ネンキンガク</t>
    </rPh>
    <rPh sb="3" eb="6">
      <t>カイテイリツ</t>
    </rPh>
    <rPh sb="7" eb="10">
      <t>タンネンド</t>
    </rPh>
    <phoneticPr fontId="1"/>
  </si>
  <si>
    <t>H26検証</t>
    <rPh sb="3" eb="5">
      <t>ケンショウ</t>
    </rPh>
    <phoneticPr fontId="1"/>
  </si>
  <si>
    <t>内閣府ベース</t>
    <rPh sb="0" eb="3">
      <t>ナイカクフ</t>
    </rPh>
    <phoneticPr fontId="1"/>
  </si>
  <si>
    <t>新裁</t>
    <rPh sb="0" eb="2">
      <t>シンサイ</t>
    </rPh>
    <phoneticPr fontId="1"/>
  </si>
  <si>
    <t>20-64</t>
    <phoneticPr fontId="1"/>
  </si>
  <si>
    <t>20-64</t>
  </si>
  <si>
    <t>伸び</t>
    <rPh sb="0" eb="1">
      <t>ノ</t>
    </rPh>
    <phoneticPr fontId="1"/>
  </si>
  <si>
    <t>基準</t>
    <rPh sb="0" eb="2">
      <t>キジュン</t>
    </rPh>
    <phoneticPr fontId="1"/>
  </si>
  <si>
    <t>マクロ経済スライド後の年金額改定率</t>
    <rPh sb="3" eb="5">
      <t>ケイザイ</t>
    </rPh>
    <rPh sb="9" eb="10">
      <t>ゴ</t>
    </rPh>
    <rPh sb="11" eb="14">
      <t>ネンキンガク</t>
    </rPh>
    <rPh sb="14" eb="16">
      <t>カイテイ</t>
    </rPh>
    <rPh sb="16" eb="17">
      <t>リツ</t>
    </rPh>
    <phoneticPr fontId="1"/>
  </si>
  <si>
    <t>人口補正</t>
    <rPh sb="0" eb="2">
      <t>ジンコウ</t>
    </rPh>
    <rPh sb="2" eb="4">
      <t>ホセイ</t>
    </rPh>
    <phoneticPr fontId="1"/>
  </si>
  <si>
    <t>【厚年定額】</t>
    <rPh sb="1" eb="3">
      <t>コウネン</t>
    </rPh>
    <rPh sb="3" eb="5">
      <t>テイガク</t>
    </rPh>
    <phoneticPr fontId="1"/>
  </si>
  <si>
    <t>新裁</t>
    <rPh sb="0" eb="1">
      <t>アタラシ</t>
    </rPh>
    <rPh sb="1" eb="2">
      <t>サイ</t>
    </rPh>
    <phoneticPr fontId="1"/>
  </si>
  <si>
    <t>26検証</t>
    <rPh sb="2" eb="4">
      <t>ケンショウ</t>
    </rPh>
    <phoneticPr fontId="1"/>
  </si>
  <si>
    <t>マクロ経済スライド</t>
    <rPh sb="3" eb="5">
      <t>ケイザイ</t>
    </rPh>
    <phoneticPr fontId="1"/>
  </si>
  <si>
    <t>新裁</t>
    <rPh sb="0" eb="1">
      <t>シン</t>
    </rPh>
    <rPh sb="1" eb="2">
      <t>サイ</t>
    </rPh>
    <phoneticPr fontId="1"/>
  </si>
  <si>
    <t>２６検証</t>
    <rPh sb="2" eb="4">
      <t>ケンショウ</t>
    </rPh>
    <phoneticPr fontId="1"/>
  </si>
  <si>
    <t>累積改定率</t>
    <rPh sb="0" eb="2">
      <t>ルイセキ</t>
    </rPh>
    <rPh sb="2" eb="4">
      <t>カイテイ</t>
    </rPh>
    <rPh sb="4" eb="5">
      <t>リツ</t>
    </rPh>
    <phoneticPr fontId="1"/>
  </si>
  <si>
    <t>【平成26年財政検証　ケースF】</t>
    <rPh sb="1" eb="3">
      <t>ヘイセイ</t>
    </rPh>
    <rPh sb="5" eb="6">
      <t>ネン</t>
    </rPh>
    <rPh sb="6" eb="8">
      <t>ザイセイ</t>
    </rPh>
    <rPh sb="8" eb="10">
      <t>ケンショウ</t>
    </rPh>
    <phoneticPr fontId="1"/>
  </si>
  <si>
    <t>ケースF</t>
    <phoneticPr fontId="1"/>
  </si>
  <si>
    <t>財政検証（ケースF）</t>
    <rPh sb="0" eb="2">
      <t>ザイセイ</t>
    </rPh>
    <rPh sb="2" eb="4">
      <t>ケンショウ</t>
    </rPh>
    <phoneticPr fontId="1"/>
  </si>
  <si>
    <t>財政検証（ケースF)</t>
    <rPh sb="0" eb="2">
      <t>ザイセイ</t>
    </rPh>
    <rPh sb="2" eb="4">
      <t>ケンショウ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</si>
  <si>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</si>
  <si>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</si>
  <si>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</si>
  <si>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</si>
  <si>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補正率</t>
    <rPh sb="0" eb="2">
      <t>ホセイ</t>
    </rPh>
    <rPh sb="2" eb="3">
      <t>リツ</t>
    </rPh>
    <phoneticPr fontId="1"/>
  </si>
  <si>
    <t>単年度</t>
    <rPh sb="0" eb="3">
      <t>タンネンド</t>
    </rPh>
    <phoneticPr fontId="1"/>
  </si>
  <si>
    <t>３ヵ年</t>
    <rPh sb="2" eb="3">
      <t>ネン</t>
    </rPh>
    <phoneticPr fontId="1"/>
  </si>
  <si>
    <t>-0.3付与</t>
    <rPh sb="4" eb="6">
      <t>フヨ</t>
    </rPh>
    <phoneticPr fontId="1"/>
  </si>
  <si>
    <t>①/②</t>
    <phoneticPr fontId="1"/>
  </si>
  <si>
    <t>公的被保険者数</t>
    <rPh sb="0" eb="2">
      <t>コウテキ</t>
    </rPh>
    <rPh sb="2" eb="6">
      <t>ヒホケンシャ</t>
    </rPh>
    <rPh sb="6" eb="7">
      <t>スウ</t>
    </rPh>
    <phoneticPr fontId="1"/>
  </si>
  <si>
    <t>減少率</t>
    <rPh sb="0" eb="3">
      <t>ゲンショウリツ</t>
    </rPh>
    <phoneticPr fontId="1"/>
  </si>
  <si>
    <t>平均</t>
    <rPh sb="0" eb="2">
      <t>ヘイキン</t>
    </rPh>
    <phoneticPr fontId="1"/>
  </si>
  <si>
    <t>調整率</t>
    <rPh sb="0" eb="3">
      <t>チョウセイリツ</t>
    </rPh>
    <phoneticPr fontId="1"/>
  </si>
  <si>
    <t>（単位：百万）</t>
    <rPh sb="1" eb="3">
      <t>タンイ</t>
    </rPh>
    <rPh sb="4" eb="6">
      <t>ヒャクマン</t>
    </rPh>
    <phoneticPr fontId="1"/>
  </si>
  <si>
    <t>実績反映</t>
    <rPh sb="0" eb="2">
      <t>ジッセキ</t>
    </rPh>
    <rPh sb="2" eb="4">
      <t>ハンエイ</t>
    </rPh>
    <phoneticPr fontId="1"/>
  </si>
  <si>
    <t>西暦</t>
    <rPh sb="0" eb="2">
      <t>セイレキ</t>
    </rPh>
    <phoneticPr fontId="8"/>
  </si>
  <si>
    <t>社会保障負担</t>
    <rPh sb="4" eb="6">
      <t>フタン</t>
    </rPh>
    <phoneticPr fontId="24"/>
  </si>
  <si>
    <t>GDP</t>
    <phoneticPr fontId="3"/>
  </si>
  <si>
    <t>（億円）</t>
    <rPh sb="1" eb="3">
      <t>オクエン</t>
    </rPh>
    <phoneticPr fontId="3"/>
  </si>
  <si>
    <t>西暦</t>
    <rPh sb="0" eb="2">
      <t>セイレキ</t>
    </rPh>
    <phoneticPr fontId="3"/>
  </si>
  <si>
    <t>旧３階</t>
    <rPh sb="0" eb="1">
      <t>キュウ</t>
    </rPh>
    <rPh sb="2" eb="3">
      <t>カイ</t>
    </rPh>
    <phoneticPr fontId="3"/>
  </si>
  <si>
    <t>計</t>
    <rPh sb="0" eb="1">
      <t>ケイ</t>
    </rPh>
    <phoneticPr fontId="3"/>
  </si>
  <si>
    <t>財政再計算結果ケースF</t>
    <rPh sb="0" eb="2">
      <t>ザイセイ</t>
    </rPh>
    <rPh sb="2" eb="5">
      <t>サイケイサン</t>
    </rPh>
    <rPh sb="5" eb="7">
      <t>ケッカ</t>
    </rPh>
    <phoneticPr fontId="3"/>
  </si>
  <si>
    <t>国共済</t>
    <rPh sb="0" eb="1">
      <t>クニ</t>
    </rPh>
    <rPh sb="1" eb="3">
      <t>キョウサイ</t>
    </rPh>
    <phoneticPr fontId="1"/>
  </si>
  <si>
    <t>収入</t>
    <rPh sb="0" eb="2">
      <t>シュウニュウ</t>
    </rPh>
    <phoneticPr fontId="1"/>
  </si>
  <si>
    <t>追加費用</t>
    <rPh sb="0" eb="2">
      <t>ツイカ</t>
    </rPh>
    <rPh sb="2" eb="4">
      <t>ヒヨウ</t>
    </rPh>
    <phoneticPr fontId="1"/>
  </si>
  <si>
    <t>支出</t>
    <rPh sb="0" eb="2">
      <t>シシュツ</t>
    </rPh>
    <phoneticPr fontId="1"/>
  </si>
  <si>
    <t>基礎年金拠出金</t>
    <rPh sb="0" eb="2">
      <t>キソ</t>
    </rPh>
    <rPh sb="2" eb="4">
      <t>ネンキン</t>
    </rPh>
    <rPh sb="4" eb="7">
      <t>キョシュツキン</t>
    </rPh>
    <phoneticPr fontId="1"/>
  </si>
  <si>
    <t>和暦</t>
    <rPh sb="0" eb="2">
      <t>ワレキ</t>
    </rPh>
    <phoneticPr fontId="1"/>
  </si>
  <si>
    <t>年金生活者支援給付金</t>
    <rPh sb="0" eb="2">
      <t>ネンキン</t>
    </rPh>
    <rPh sb="2" eb="5">
      <t>セイカツシャ</t>
    </rPh>
    <rPh sb="5" eb="7">
      <t>シエン</t>
    </rPh>
    <rPh sb="7" eb="10">
      <t>キュウフキン</t>
    </rPh>
    <phoneticPr fontId="1"/>
  </si>
  <si>
    <t>人口（65歳以上）</t>
    <rPh sb="0" eb="2">
      <t>ジンコウ</t>
    </rPh>
    <rPh sb="5" eb="6">
      <t>サイ</t>
    </rPh>
    <rPh sb="6" eb="8">
      <t>イジョウ</t>
    </rPh>
    <phoneticPr fontId="1"/>
  </si>
  <si>
    <t>（億円）</t>
    <rPh sb="1" eb="3">
      <t>オクエン</t>
    </rPh>
    <phoneticPr fontId="1"/>
  </si>
  <si>
    <t>（％）</t>
    <phoneticPr fontId="1"/>
  </si>
  <si>
    <t>(万人）</t>
    <rPh sb="1" eb="3">
      <t>マンニン</t>
    </rPh>
    <phoneticPr fontId="1"/>
  </si>
  <si>
    <t>平成29</t>
    <rPh sb="0" eb="2">
      <t>ヘイセイ</t>
    </rPh>
    <phoneticPr fontId="1"/>
  </si>
  <si>
    <t>(2017)</t>
    <phoneticPr fontId="1"/>
  </si>
  <si>
    <t>(2018)</t>
    <phoneticPr fontId="1"/>
  </si>
  <si>
    <t>厚年保険料
（２６年検証ケースE）</t>
    <rPh sb="0" eb="2">
      <t>コウネン</t>
    </rPh>
    <rPh sb="2" eb="5">
      <t>ホケンリョウ</t>
    </rPh>
    <rPh sb="9" eb="10">
      <t>ネン</t>
    </rPh>
    <rPh sb="10" eb="12">
      <t>ケンショウ</t>
    </rPh>
    <phoneticPr fontId="48"/>
  </si>
  <si>
    <t>厚年被保険者数
（２６年検証ケースE）</t>
    <rPh sb="0" eb="2">
      <t>コウネン</t>
    </rPh>
    <rPh sb="2" eb="6">
      <t>ヒホケンシャ</t>
    </rPh>
    <rPh sb="6" eb="7">
      <t>スウ</t>
    </rPh>
    <rPh sb="11" eb="12">
      <t>ネン</t>
    </rPh>
    <rPh sb="12" eb="14">
      <t>ケンショウ</t>
    </rPh>
    <phoneticPr fontId="48"/>
  </si>
  <si>
    <t>（億円）</t>
    <rPh sb="1" eb="3">
      <t>オクエン</t>
    </rPh>
    <phoneticPr fontId="48"/>
  </si>
  <si>
    <t>伸び率
(B)</t>
    <rPh sb="0" eb="1">
      <t>ノ</t>
    </rPh>
    <rPh sb="2" eb="3">
      <t>リツ</t>
    </rPh>
    <phoneticPr fontId="48"/>
  </si>
  <si>
    <t>（百万人）</t>
    <rPh sb="1" eb="3">
      <t>ヒャクマン</t>
    </rPh>
    <rPh sb="3" eb="4">
      <t>ニン</t>
    </rPh>
    <phoneticPr fontId="48"/>
  </si>
  <si>
    <t>国庫負担（その他）</t>
    <rPh sb="0" eb="2">
      <t>コッコ</t>
    </rPh>
    <rPh sb="2" eb="4">
      <t>フタン</t>
    </rPh>
    <rPh sb="7" eb="8">
      <t>タ</t>
    </rPh>
    <phoneticPr fontId="1"/>
  </si>
  <si>
    <t>旧厚年</t>
    <rPh sb="0" eb="1">
      <t>キュウ</t>
    </rPh>
    <rPh sb="1" eb="3">
      <t>コウネン</t>
    </rPh>
    <phoneticPr fontId="1"/>
  </si>
  <si>
    <t>地方共済</t>
    <rPh sb="0" eb="2">
      <t>チホウ</t>
    </rPh>
    <rPh sb="2" eb="4">
      <t>キョウサイ</t>
    </rPh>
    <phoneticPr fontId="1"/>
  </si>
  <si>
    <t>私学</t>
    <rPh sb="0" eb="2">
      <t>シガク</t>
    </rPh>
    <phoneticPr fontId="1"/>
  </si>
  <si>
    <t>物価上昇</t>
    <rPh sb="0" eb="2">
      <t>ブッカ</t>
    </rPh>
    <rPh sb="2" eb="4">
      <t>ジョウショウ</t>
    </rPh>
    <phoneticPr fontId="3"/>
  </si>
  <si>
    <t>2018年</t>
    <rPh sb="4" eb="5">
      <t>ネン</t>
    </rPh>
    <phoneticPr fontId="1"/>
  </si>
  <si>
    <t>2018年を足下に</t>
    <rPh sb="4" eb="5">
      <t>ネン</t>
    </rPh>
    <rPh sb="6" eb="8">
      <t>アシモト</t>
    </rPh>
    <phoneticPr fontId="1"/>
  </si>
  <si>
    <t>2018年度</t>
    <rPh sb="4" eb="6">
      <t>ネンド</t>
    </rPh>
    <phoneticPr fontId="1"/>
  </si>
  <si>
    <t>事業主負担</t>
    <rPh sb="0" eb="3">
      <t>ジギョウヌシ</t>
    </rPh>
    <rPh sb="3" eb="5">
      <t>フタン</t>
    </rPh>
    <phoneticPr fontId="1"/>
  </si>
  <si>
    <t>計</t>
    <rPh sb="0" eb="1">
      <t>ケイ</t>
    </rPh>
    <phoneticPr fontId="1"/>
  </si>
  <si>
    <t>年金全体(経済ベースラインケース）</t>
    <rPh sb="0" eb="2">
      <t>ネンキン</t>
    </rPh>
    <rPh sb="2" eb="4">
      <t>ゼンタイ</t>
    </rPh>
    <rPh sb="5" eb="7">
      <t>ケイザイ</t>
    </rPh>
    <phoneticPr fontId="3"/>
  </si>
  <si>
    <t>その他（恩給除く）（経済ベースラインケース）</t>
    <rPh sb="2" eb="3">
      <t>ホカ</t>
    </rPh>
    <rPh sb="4" eb="6">
      <t>オンキュウ</t>
    </rPh>
    <rPh sb="6" eb="7">
      <t>ノゾ</t>
    </rPh>
    <phoneticPr fontId="3"/>
  </si>
  <si>
    <t>【経済ベースラインケース】</t>
    <phoneticPr fontId="1"/>
  </si>
  <si>
    <t>ベース</t>
    <phoneticPr fontId="1"/>
  </si>
  <si>
    <t>成長</t>
    <rPh sb="0" eb="2">
      <t>セイチョウ</t>
    </rPh>
    <phoneticPr fontId="1"/>
  </si>
  <si>
    <t>2027年補正率</t>
    <rPh sb="4" eb="5">
      <t>ネン</t>
    </rPh>
    <rPh sb="5" eb="7">
      <t>ホセイ</t>
    </rPh>
    <rPh sb="7" eb="8">
      <t>リツ</t>
    </rPh>
    <phoneticPr fontId="1"/>
  </si>
  <si>
    <t>2013年度 労働力需給の推計 就業者数（万人）</t>
    <rPh sb="16" eb="19">
      <t>シュウギョウシャ</t>
    </rPh>
    <rPh sb="19" eb="20">
      <t>スウ</t>
    </rPh>
    <rPh sb="21" eb="23">
      <t>マンニン</t>
    </rPh>
    <phoneticPr fontId="1"/>
  </si>
  <si>
    <t>2015年度 労働力需給の推計　就業者数（万人）</t>
    <rPh sb="16" eb="19">
      <t>シュウギョウシャ</t>
    </rPh>
    <rPh sb="19" eb="20">
      <t>スウ</t>
    </rPh>
    <rPh sb="21" eb="23">
      <t>マンニン</t>
    </rPh>
    <phoneticPr fontId="1"/>
  </si>
  <si>
    <t>恩給</t>
    <rPh sb="0" eb="2">
      <t>オンキュウ</t>
    </rPh>
    <phoneticPr fontId="3"/>
  </si>
  <si>
    <t>④×③</t>
    <phoneticPr fontId="1"/>
  </si>
  <si>
    <t>年金額の水準（スライド調整あり）</t>
    <rPh sb="0" eb="2">
      <t>ネンキン</t>
    </rPh>
    <rPh sb="2" eb="3">
      <t>ガク</t>
    </rPh>
    <rPh sb="4" eb="6">
      <t>スイジュン</t>
    </rPh>
    <rPh sb="11" eb="13">
      <t>チョウセイ</t>
    </rPh>
    <phoneticPr fontId="1"/>
  </si>
  <si>
    <t>←</t>
    <phoneticPr fontId="1"/>
  </si>
  <si>
    <t>20-64</t>
    <phoneticPr fontId="1"/>
  </si>
  <si>
    <t>厚生年金（経済ベースラインケース）</t>
    <rPh sb="5" eb="7">
      <t>ケイザイ</t>
    </rPh>
    <phoneticPr fontId="1"/>
  </si>
  <si>
    <t>（兆円）</t>
    <rPh sb="1" eb="3">
      <t>チョウエン</t>
    </rPh>
    <phoneticPr fontId="1"/>
  </si>
  <si>
    <t>（億円）</t>
    <rPh sb="1" eb="3">
      <t>オクエン</t>
    </rPh>
    <phoneticPr fontId="1"/>
  </si>
  <si>
    <t>給付費計</t>
    <rPh sb="0" eb="3">
      <t>キュウフヒ</t>
    </rPh>
    <rPh sb="3" eb="4">
      <t>ケイ</t>
    </rPh>
    <phoneticPr fontId="1"/>
  </si>
  <si>
    <t>基礎年金
拠出金</t>
    <rPh sb="0" eb="2">
      <t>キソ</t>
    </rPh>
    <rPh sb="2" eb="4">
      <t>ネンキン</t>
    </rPh>
    <rPh sb="5" eb="8">
      <t>キョシュツキン</t>
    </rPh>
    <phoneticPr fontId="1"/>
  </si>
  <si>
    <t>保険料収入</t>
    <rPh sb="0" eb="3">
      <t>ホケンリョウ</t>
    </rPh>
    <rPh sb="3" eb="5">
      <t>シュウニュウ</t>
    </rPh>
    <phoneticPr fontId="1"/>
  </si>
  <si>
    <t>国庫負担</t>
    <rPh sb="0" eb="2">
      <t>コッコ</t>
    </rPh>
    <rPh sb="2" eb="4">
      <t>フタン</t>
    </rPh>
    <phoneticPr fontId="1"/>
  </si>
  <si>
    <t>平成26年財政検証結果</t>
    <rPh sb="0" eb="2">
      <t>ヘイセイ</t>
    </rPh>
    <rPh sb="4" eb="5">
      <t>ネン</t>
    </rPh>
    <rPh sb="5" eb="7">
      <t>ザイセイ</t>
    </rPh>
    <rPh sb="7" eb="9">
      <t>ケンショウ</t>
    </rPh>
    <rPh sb="9" eb="11">
      <t>ケッカ</t>
    </rPh>
    <phoneticPr fontId="1"/>
  </si>
  <si>
    <t>国共</t>
    <rPh sb="0" eb="2">
      <t>コッキョウ</t>
    </rPh>
    <phoneticPr fontId="1"/>
  </si>
  <si>
    <t>地共</t>
    <rPh sb="0" eb="1">
      <t>チ</t>
    </rPh>
    <rPh sb="1" eb="2">
      <t>ドモ</t>
    </rPh>
    <phoneticPr fontId="1"/>
  </si>
  <si>
    <t>うち旧３階</t>
    <rPh sb="2" eb="3">
      <t>キュウ</t>
    </rPh>
    <rPh sb="4" eb="5">
      <t>カイ</t>
    </rPh>
    <phoneticPr fontId="3"/>
  </si>
  <si>
    <t>累積(年度）</t>
    <rPh sb="0" eb="2">
      <t>ルイセキ</t>
    </rPh>
    <rPh sb="3" eb="4">
      <t>ネン</t>
    </rPh>
    <rPh sb="4" eb="5">
      <t>ド</t>
    </rPh>
    <phoneticPr fontId="1"/>
  </si>
  <si>
    <t>年金生活者支援給付金</t>
    <rPh sb="0" eb="10">
      <t>ネンキンセイカツシャシエンキュウフキン</t>
    </rPh>
    <phoneticPr fontId="1"/>
  </si>
  <si>
    <t>物価上昇率（年度）</t>
    <rPh sb="0" eb="2">
      <t>ブッカ</t>
    </rPh>
    <rPh sb="2" eb="4">
      <t>ジョウショウ</t>
    </rPh>
    <rPh sb="4" eb="5">
      <t>リツ</t>
    </rPh>
    <rPh sb="6" eb="8">
      <t>ネンド</t>
    </rPh>
    <phoneticPr fontId="1"/>
  </si>
  <si>
    <t>推計</t>
    <rPh sb="0" eb="2">
      <t>スイケイ</t>
    </rPh>
    <phoneticPr fontId="1"/>
  </si>
  <si>
    <t>（再掲）</t>
    <rPh sb="1" eb="3">
      <t>サイケイ</t>
    </rPh>
    <phoneticPr fontId="1"/>
  </si>
  <si>
    <t>保険料</t>
    <rPh sb="0" eb="3">
      <t>ホケンリョウ</t>
    </rPh>
    <phoneticPr fontId="1"/>
  </si>
  <si>
    <t>厚年</t>
    <rPh sb="0" eb="2">
      <t>コウネン</t>
    </rPh>
    <phoneticPr fontId="1"/>
  </si>
  <si>
    <t>国年</t>
    <rPh sb="0" eb="1">
      <t>コク</t>
    </rPh>
    <rPh sb="1" eb="2">
      <t>ネン</t>
    </rPh>
    <phoneticPr fontId="1"/>
  </si>
  <si>
    <t>補正</t>
    <rPh sb="0" eb="2">
      <t>ホセイ</t>
    </rPh>
    <phoneticPr fontId="1"/>
  </si>
  <si>
    <t>調整率減</t>
    <rPh sb="0" eb="3">
      <t>チョウセイリツ</t>
    </rPh>
    <rPh sb="3" eb="4">
      <t>ゲン</t>
    </rPh>
    <phoneticPr fontId="1"/>
  </si>
  <si>
    <t>推計</t>
    <rPh sb="0" eb="2">
      <t>スイケイ</t>
    </rPh>
    <phoneticPr fontId="1"/>
  </si>
  <si>
    <t>受給者数</t>
    <rPh sb="0" eb="3">
      <t>ジュキュウシャ</t>
    </rPh>
    <rPh sb="3" eb="4">
      <t>スウ</t>
    </rPh>
    <phoneticPr fontId="1"/>
  </si>
  <si>
    <t>国民年金（経済ベースラインケース）</t>
    <rPh sb="5" eb="7">
      <t>ケイザイ</t>
    </rPh>
    <phoneticPr fontId="1"/>
  </si>
  <si>
    <t>差</t>
    <rPh sb="0" eb="1">
      <t>サ</t>
    </rPh>
    <phoneticPr fontId="1"/>
  </si>
  <si>
    <t>伸び率
(A)</t>
    <rPh sb="0" eb="1">
      <t>ノ</t>
    </rPh>
    <rPh sb="2" eb="3">
      <t>リツ</t>
    </rPh>
    <phoneticPr fontId="48"/>
  </si>
  <si>
    <t>(A)-(B)</t>
    <phoneticPr fontId="1"/>
  </si>
  <si>
    <t>三共済（国共地共私学）・旧３公社等（経済ベースラインケース）</t>
    <rPh sb="0" eb="1">
      <t>サン</t>
    </rPh>
    <rPh sb="1" eb="3">
      <t>キョウサイ</t>
    </rPh>
    <rPh sb="4" eb="5">
      <t>クニ</t>
    </rPh>
    <rPh sb="6" eb="7">
      <t>チ</t>
    </rPh>
    <rPh sb="7" eb="8">
      <t>トモ</t>
    </rPh>
    <rPh sb="8" eb="10">
      <t>シガク</t>
    </rPh>
    <rPh sb="12" eb="13">
      <t>キュウ</t>
    </rPh>
    <rPh sb="14" eb="16">
      <t>コウシャ</t>
    </rPh>
    <rPh sb="16" eb="17">
      <t>ナド</t>
    </rPh>
    <phoneticPr fontId="3"/>
  </si>
  <si>
    <t>平成29年推計※</t>
    <rPh sb="0" eb="2">
      <t>ヘイセイ</t>
    </rPh>
    <rPh sb="4" eb="5">
      <t>ネン</t>
    </rPh>
    <rPh sb="5" eb="7">
      <t>スイケイ</t>
    </rPh>
    <phoneticPr fontId="1"/>
  </si>
  <si>
    <t>平成24年推計※</t>
    <rPh sb="0" eb="2">
      <t>ヘイセイ</t>
    </rPh>
    <rPh sb="4" eb="5">
      <t>ネン</t>
    </rPh>
    <rPh sb="5" eb="7">
      <t>スイケイ</t>
    </rPh>
    <phoneticPr fontId="1"/>
  </si>
  <si>
    <t>※　出典：国立社会保障・人口問題研究所「日本の将来推計人口」</t>
    <rPh sb="2" eb="4">
      <t>シュッテン</t>
    </rPh>
    <rPh sb="5" eb="7">
      <t>コクリツ</t>
    </rPh>
    <rPh sb="7" eb="9">
      <t>シャカイ</t>
    </rPh>
    <rPh sb="9" eb="11">
      <t>ホショウ</t>
    </rPh>
    <rPh sb="12" eb="14">
      <t>ジンコウ</t>
    </rPh>
    <rPh sb="14" eb="16">
      <t>モンダイ</t>
    </rPh>
    <rPh sb="16" eb="19">
      <t>ケンキュウショ</t>
    </rPh>
    <rPh sb="20" eb="22">
      <t>ニホン</t>
    </rPh>
    <rPh sb="23" eb="25">
      <t>ショウライ</t>
    </rPh>
    <rPh sb="25" eb="27">
      <t>スイケイ</t>
    </rPh>
    <rPh sb="27" eb="29">
      <t>ジンコウ</t>
    </rPh>
    <phoneticPr fontId="1"/>
  </si>
  <si>
    <t>平成29年推計</t>
    <rPh sb="0" eb="2">
      <t>ヘイセイ</t>
    </rPh>
    <rPh sb="4" eb="5">
      <t>ネン</t>
    </rPh>
    <rPh sb="5" eb="7">
      <t>スイケイ</t>
    </rPh>
    <phoneticPr fontId="1"/>
  </si>
  <si>
    <t>平成24年推計</t>
    <rPh sb="0" eb="2">
      <t>ヘイセイ</t>
    </rPh>
    <rPh sb="4" eb="5">
      <t>ネン</t>
    </rPh>
    <rPh sb="5" eb="7">
      <t>スイケイ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</si>
</sst>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176" formatCode="0.00;&quot;▲ &quot;0.00"/>
    <numFmt numFmtId="177" formatCode="0.000;&quot;▲ &quot;0.000"/>
    <numFmt numFmtId="178" formatCode="#,##0_ "/>
    <numFmt numFmtId="179" formatCode="0.00_);[Red]\(0.00\)"/>
    <numFmt numFmtId="180" formatCode="0.000_);[Red]\(0.000\)"/>
    <numFmt numFmtId="181" formatCode="0.0"/>
    <numFmt numFmtId="182" formatCode="#,##0_);[Red]\(#,##0\)"/>
    <numFmt numFmtId="183" formatCode="0.00_ "/>
    <numFmt numFmtId="184" formatCode="0.0%"/>
    <numFmt numFmtId="185" formatCode="#,##0.0;[Red]\-#,##0.0"/>
    <numFmt numFmtId="186" formatCode="#,##0.000;[Red]\-#,##0.000"/>
    <numFmt numFmtId="187" formatCode="#,##0;\-#,##0;&quot;-&quot;"/>
    <numFmt numFmtId="188" formatCode="General_)"/>
    <numFmt numFmtId="189" formatCode="0_);[Red]\(0\)"/>
    <numFmt numFmtId="190" formatCode="\(General\)"/>
    <numFmt numFmtId="191" formatCode="\(0.0\)"/>
    <numFmt numFmtId="192" formatCode="mm/dd/yyyy\ hh:mm:ss"/>
    <numFmt numFmtId="193" formatCode="_(&quot;$&quot;* #,##0_);_(&quot;$&quot;* \(#,##0\);_(&quot;$&quot;* &quot;-&quot;_);_(@_)"/>
    <numFmt numFmtId="194" formatCode="0.0;&quot;▲ &quot;0.0"/>
  </numFmts>
  <fonts count="5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4"/>
      <name val="System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Arial"/>
      <family val="2"/>
    </font>
    <font>
      <sz val="9"/>
      <color indexed="12"/>
      <name val="ＭＳ 明朝"/>
      <family val="1"/>
      <charset val="128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.5"/>
      <color indexed="8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12"/>
      <color indexed="2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b/>
      <sz val="11"/>
      <name val="ＭＳ Ｐゴシック"/>
      <family val="3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10"/>
      <name val="丸ｺﾞｼｯｸ体Ca-B(GT)"/>
      <family val="3"/>
      <charset val="128"/>
    </font>
    <font>
      <sz val="14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・団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name val="Arial"/>
      <family val="2"/>
    </font>
    <font>
      <u/>
      <sz val="9.35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69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8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/>
    <xf numFmtId="0" fontId="8" fillId="0" borderId="0">
      <alignment vertical="center"/>
    </xf>
    <xf numFmtId="0" fontId="14" fillId="2" borderId="16"/>
    <xf numFmtId="0" fontId="15" fillId="3" borderId="17">
      <alignment horizontal="right" vertical="top" wrapText="1"/>
    </xf>
    <xf numFmtId="187" fontId="16" fillId="0" borderId="0" applyFill="0" applyBorder="0" applyAlignment="0"/>
    <xf numFmtId="0" fontId="17" fillId="0" borderId="5" applyFill="0" applyBorder="0">
      <protection locked="0"/>
    </xf>
    <xf numFmtId="0" fontId="18" fillId="4" borderId="0">
      <alignment horizontal="center"/>
    </xf>
    <xf numFmtId="0" fontId="19" fillId="4" borderId="0">
      <alignment horizontal="center" vertical="center"/>
    </xf>
    <xf numFmtId="0" fontId="20" fillId="5" borderId="0">
      <alignment horizontal="center" wrapText="1"/>
    </xf>
    <xf numFmtId="0" fontId="21" fillId="4" borderId="0">
      <alignment horizontal="center"/>
    </xf>
    <xf numFmtId="0" fontId="22" fillId="6" borderId="16" applyBorder="0">
      <protection locked="0"/>
    </xf>
    <xf numFmtId="0" fontId="23" fillId="6" borderId="16">
      <protection locked="0"/>
    </xf>
    <xf numFmtId="0" fontId="20" fillId="6" borderId="4"/>
    <xf numFmtId="0" fontId="20" fillId="4" borderId="0"/>
    <xf numFmtId="0" fontId="24" fillId="4" borderId="4">
      <alignment horizontal="left"/>
    </xf>
    <xf numFmtId="0" fontId="16" fillId="4" borderId="0">
      <alignment horizontal="left"/>
    </xf>
    <xf numFmtId="0" fontId="15" fillId="7" borderId="0">
      <alignment horizontal="right" vertical="top" wrapText="1"/>
    </xf>
    <xf numFmtId="0" fontId="25" fillId="0" borderId="15" applyNumberFormat="0" applyAlignment="0" applyProtection="0">
      <alignment horizontal="left" vertical="center"/>
    </xf>
    <xf numFmtId="0" fontId="25" fillId="0" borderId="18">
      <alignment horizontal="left" vertical="center"/>
    </xf>
    <xf numFmtId="0" fontId="26" fillId="5" borderId="0">
      <alignment horizontal="center"/>
    </xf>
    <xf numFmtId="0" fontId="20" fillId="4" borderId="4">
      <alignment horizontal="centerContinuous" wrapText="1"/>
    </xf>
    <xf numFmtId="0" fontId="27" fillId="8" borderId="0">
      <alignment horizontal="center" wrapText="1"/>
    </xf>
    <xf numFmtId="0" fontId="20" fillId="4" borderId="4">
      <alignment horizontal="centerContinuous" wrapText="1"/>
    </xf>
    <xf numFmtId="0" fontId="14" fillId="4" borderId="18">
      <alignment wrapText="1"/>
    </xf>
    <xf numFmtId="0" fontId="14" fillId="4" borderId="11"/>
    <xf numFmtId="0" fontId="14" fillId="4" borderId="7"/>
    <xf numFmtId="0" fontId="14" fillId="4" borderId="12">
      <alignment horizontal="center" wrapText="1"/>
    </xf>
    <xf numFmtId="0" fontId="20" fillId="0" borderId="0"/>
    <xf numFmtId="0" fontId="14" fillId="4" borderId="4"/>
    <xf numFmtId="0" fontId="19" fillId="4" borderId="0">
      <alignment horizontal="right"/>
    </xf>
    <xf numFmtId="0" fontId="28" fillId="8" borderId="0">
      <alignment horizontal="center"/>
    </xf>
    <xf numFmtId="0" fontId="29" fillId="7" borderId="4">
      <alignment horizontal="left" vertical="top" wrapText="1"/>
    </xf>
    <xf numFmtId="0" fontId="30" fillId="7" borderId="14">
      <alignment horizontal="left" vertical="top" wrapText="1"/>
    </xf>
    <xf numFmtId="0" fontId="29" fillId="7" borderId="13">
      <alignment horizontal="left" vertical="top" wrapText="1"/>
    </xf>
    <xf numFmtId="0" fontId="29" fillId="7" borderId="14">
      <alignment horizontal="left" vertical="top"/>
    </xf>
    <xf numFmtId="188" fontId="31" fillId="0" borderId="0"/>
    <xf numFmtId="188" fontId="32" fillId="0" borderId="0" applyNumberFormat="0" applyBorder="0" applyAlignment="0"/>
    <xf numFmtId="188" fontId="32" fillId="0" borderId="0" applyNumberFormat="0" applyBorder="0" applyAlignment="0"/>
    <xf numFmtId="0" fontId="18" fillId="4" borderId="0">
      <alignment horizontal="center"/>
    </xf>
    <xf numFmtId="0" fontId="33" fillId="4" borderId="0"/>
    <xf numFmtId="3" fontId="34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34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7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4" fillId="0" borderId="19" applyNumberFormat="0" applyFont="0" applyFill="0" applyAlignment="0" applyProtection="0"/>
    <xf numFmtId="2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37" fillId="0" borderId="0"/>
    <xf numFmtId="0" fontId="41" fillId="0" borderId="0"/>
    <xf numFmtId="0" fontId="36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5" fillId="0" borderId="0"/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6" fillId="0" borderId="0">
      <alignment vertical="center"/>
    </xf>
    <xf numFmtId="0" fontId="35" fillId="0" borderId="0"/>
    <xf numFmtId="0" fontId="35" fillId="0" borderId="0"/>
    <xf numFmtId="0" fontId="42" fillId="0" borderId="0"/>
    <xf numFmtId="0" fontId="2" fillId="0" borderId="0"/>
    <xf numFmtId="0" fontId="8" fillId="0" borderId="0">
      <alignment vertical="center"/>
    </xf>
    <xf numFmtId="0" fontId="3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3" fillId="0" borderId="0">
      <alignment horizontal="left"/>
      <protection locked="0"/>
    </xf>
    <xf numFmtId="0" fontId="11" fillId="0" borderId="7" applyFill="0" applyBorder="0" applyAlignment="0" applyProtection="0"/>
    <xf numFmtId="0" fontId="44" fillId="0" borderId="0"/>
    <xf numFmtId="0" fontId="42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8" fillId="0" borderId="0">
      <alignment vertical="center"/>
    </xf>
    <xf numFmtId="0" fontId="2" fillId="0" borderId="0"/>
    <xf numFmtId="0" fontId="13" fillId="0" borderId="0"/>
    <xf numFmtId="0" fontId="8" fillId="0" borderId="0">
      <alignment vertical="center"/>
    </xf>
    <xf numFmtId="0" fontId="51" fillId="0" borderId="0" applyNumberFormat="0" applyFont="0" applyFill="0" applyBorder="0" applyProtection="0">
      <alignment wrapText="1"/>
    </xf>
    <xf numFmtId="192" fontId="51" fillId="0" borderId="0" applyFont="0" applyFill="0" applyBorder="0" applyProtection="0">
      <alignment wrapText="1"/>
    </xf>
    <xf numFmtId="0" fontId="51" fillId="4" borderId="0" applyNumberFormat="0" applyFont="0" applyBorder="0" applyProtection="0">
      <alignment wrapText="1"/>
    </xf>
    <xf numFmtId="0" fontId="51" fillId="0" borderId="0" applyNumberFormat="0" applyFont="0" applyFill="0" applyBorder="0" applyProtection="0">
      <alignment wrapText="1"/>
    </xf>
    <xf numFmtId="0" fontId="51" fillId="0" borderId="0" applyNumberFormat="0" applyFont="0" applyFill="0" applyBorder="0" applyProtection="0">
      <alignment wrapText="1"/>
    </xf>
    <xf numFmtId="0" fontId="2" fillId="0" borderId="0">
      <alignment vertical="center"/>
    </xf>
    <xf numFmtId="41" fontId="52" fillId="0" borderId="0" applyFont="0" applyFill="0" applyBorder="0" applyAlignment="0" applyProtection="0"/>
    <xf numFmtId="193" fontId="5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49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2" fillId="0" borderId="0"/>
    <xf numFmtId="0" fontId="7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1"/>
    <xf numFmtId="0" fontId="2" fillId="0" borderId="2" xfId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2" fillId="0" borderId="1" xfId="1" applyBorder="1" applyAlignment="1">
      <alignment horizontal="center"/>
    </xf>
    <xf numFmtId="182" fontId="2" fillId="0" borderId="10" xfId="1" applyNumberFormat="1" applyBorder="1" applyAlignment="1">
      <alignment horizontal="center"/>
    </xf>
    <xf numFmtId="0" fontId="2" fillId="0" borderId="9" xfId="1" applyBorder="1" applyAlignment="1">
      <alignment horizontal="center"/>
    </xf>
    <xf numFmtId="0" fontId="2" fillId="0" borderId="5" xfId="1" applyFill="1" applyBorder="1"/>
    <xf numFmtId="38" fontId="2" fillId="0" borderId="6" xfId="2" applyFont="1" applyFill="1" applyBorder="1"/>
    <xf numFmtId="38" fontId="2" fillId="0" borderId="0" xfId="2"/>
    <xf numFmtId="38" fontId="2" fillId="0" borderId="3" xfId="2" applyBorder="1" applyAlignment="1">
      <alignment horizontal="center"/>
    </xf>
    <xf numFmtId="38" fontId="2" fillId="0" borderId="8" xfId="2" applyBorder="1" applyAlignment="1">
      <alignment horizontal="center"/>
    </xf>
    <xf numFmtId="38" fontId="0" fillId="0" borderId="0" xfId="2" applyFont="1"/>
    <xf numFmtId="38" fontId="2" fillId="0" borderId="6" xfId="3" applyFont="1" applyFill="1" applyBorder="1" applyAlignment="1">
      <alignment vertical="center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0" fillId="0" borderId="0" xfId="0" applyFill="1" applyBorder="1">
      <alignment vertical="center"/>
    </xf>
    <xf numFmtId="38" fontId="0" fillId="0" borderId="0" xfId="3" applyFont="1" applyFill="1" applyBorder="1">
      <alignment vertical="center"/>
    </xf>
    <xf numFmtId="185" fontId="0" fillId="0" borderId="0" xfId="3" applyNumberFormat="1" applyFont="1" applyFill="1" applyBorder="1">
      <alignment vertical="center"/>
    </xf>
    <xf numFmtId="0" fontId="2" fillId="0" borderId="0" xfId="1" applyFill="1"/>
    <xf numFmtId="0" fontId="2" fillId="0" borderId="5" xfId="116" applyFill="1" applyBorder="1"/>
    <xf numFmtId="38" fontId="2" fillId="0" borderId="6" xfId="70" applyFont="1" applyFill="1" applyBorder="1"/>
    <xf numFmtId="38" fontId="2" fillId="0" borderId="0" xfId="59" applyFont="1"/>
    <xf numFmtId="38" fontId="0" fillId="0" borderId="0" xfId="59" applyFont="1" applyAlignment="1">
      <alignment horizontal="right"/>
    </xf>
    <xf numFmtId="0" fontId="2" fillId="0" borderId="3" xfId="1" applyBorder="1" applyAlignment="1">
      <alignment horizontal="center"/>
    </xf>
    <xf numFmtId="38" fontId="2" fillId="0" borderId="3" xfId="59" applyFont="1" applyBorder="1" applyAlignment="1">
      <alignment horizontal="center"/>
    </xf>
    <xf numFmtId="38" fontId="2" fillId="0" borderId="0" xfId="1" applyNumberFormat="1"/>
    <xf numFmtId="0" fontId="2" fillId="0" borderId="0" xfId="1" applyBorder="1" applyAlignment="1">
      <alignment horizontal="centerContinuous" vertical="center"/>
    </xf>
    <xf numFmtId="38" fontId="0" fillId="0" borderId="0" xfId="59" applyFont="1" applyBorder="1"/>
    <xf numFmtId="0" fontId="0" fillId="0" borderId="0" xfId="0" quotePrefix="1" applyFill="1" applyBorder="1">
      <alignment vertical="center"/>
    </xf>
    <xf numFmtId="0" fontId="9" fillId="0" borderId="1" xfId="1" applyFont="1" applyBorder="1" applyAlignment="1">
      <alignment horizontal="center"/>
    </xf>
    <xf numFmtId="0" fontId="2" fillId="0" borderId="0" xfId="1" applyFill="1" applyBorder="1" applyAlignment="1">
      <alignment horizontal="centerContinuous" vertical="center"/>
    </xf>
    <xf numFmtId="0" fontId="2" fillId="0" borderId="9" xfId="116" applyFill="1" applyBorder="1"/>
    <xf numFmtId="0" fontId="2" fillId="0" borderId="10" xfId="1" applyBorder="1" applyAlignment="1">
      <alignment horizontal="center"/>
    </xf>
    <xf numFmtId="0" fontId="7" fillId="0" borderId="0" xfId="0" applyFont="1" applyFill="1" applyBorder="1">
      <alignment vertical="center"/>
    </xf>
    <xf numFmtId="38" fontId="7" fillId="0" borderId="0" xfId="3" applyFont="1" applyFill="1" applyBorder="1">
      <alignment vertical="center"/>
    </xf>
    <xf numFmtId="0" fontId="7" fillId="0" borderId="0" xfId="0" quotePrefix="1" applyFont="1" applyFill="1" applyBorder="1">
      <alignment vertical="center"/>
    </xf>
    <xf numFmtId="40" fontId="7" fillId="0" borderId="0" xfId="3" applyNumberFormat="1" applyFont="1" applyFill="1" applyBorder="1">
      <alignment vertical="center"/>
    </xf>
    <xf numFmtId="10" fontId="7" fillId="0" borderId="0" xfId="4" applyNumberFormat="1" applyFont="1" applyFill="1" applyBorder="1">
      <alignment vertical="center"/>
    </xf>
    <xf numFmtId="185" fontId="7" fillId="0" borderId="0" xfId="3" applyNumberFormat="1" applyFont="1" applyFill="1" applyBorder="1">
      <alignment vertical="center"/>
    </xf>
    <xf numFmtId="10" fontId="7" fillId="0" borderId="0" xfId="0" applyNumberFormat="1" applyFont="1" applyFill="1" applyBorder="1">
      <alignment vertical="center"/>
    </xf>
    <xf numFmtId="0" fontId="2" fillId="0" borderId="5" xfId="1" applyBorder="1" applyAlignment="1">
      <alignment horizontal="center"/>
    </xf>
    <xf numFmtId="40" fontId="0" fillId="0" borderId="0" xfId="3" applyNumberFormat="1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184" fontId="7" fillId="0" borderId="0" xfId="4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2" fontId="7" fillId="0" borderId="0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0" fontId="54" fillId="0" borderId="0" xfId="0" applyFont="1" applyFill="1" applyBorder="1">
      <alignment vertical="center"/>
    </xf>
    <xf numFmtId="40" fontId="2" fillId="0" borderId="0" xfId="3" applyNumberFormat="1" applyFont="1" applyFill="1" applyAlignment="1"/>
    <xf numFmtId="9" fontId="2" fillId="0" borderId="0" xfId="4" applyFont="1" applyFill="1" applyAlignment="1"/>
    <xf numFmtId="178" fontId="50" fillId="0" borderId="0" xfId="1" applyNumberFormat="1" applyFont="1" applyFill="1" applyBorder="1"/>
    <xf numFmtId="0" fontId="50" fillId="0" borderId="0" xfId="1" applyFont="1" applyFill="1" applyBorder="1" applyAlignment="1">
      <alignment horizontal="center"/>
    </xf>
    <xf numFmtId="0" fontId="55" fillId="0" borderId="0" xfId="1" applyFont="1" applyFill="1" applyBorder="1" applyAlignment="1">
      <alignment vertical="center"/>
    </xf>
    <xf numFmtId="0" fontId="50" fillId="0" borderId="0" xfId="1" applyFont="1" applyFill="1" applyBorder="1" applyAlignment="1">
      <alignment horizontal="left"/>
    </xf>
    <xf numFmtId="0" fontId="50" fillId="0" borderId="0" xfId="1" applyFont="1" applyFill="1" applyBorder="1" applyAlignment="1">
      <alignment horizontal="right"/>
    </xf>
    <xf numFmtId="0" fontId="50" fillId="0" borderId="0" xfId="1" applyFont="1" applyFill="1" applyBorder="1" applyAlignment="1">
      <alignment horizontal="right" vertical="top"/>
    </xf>
    <xf numFmtId="0" fontId="56" fillId="0" borderId="0" xfId="1" applyFont="1" applyFill="1" applyBorder="1"/>
    <xf numFmtId="0" fontId="56" fillId="0" borderId="0" xfId="1" quotePrefix="1" applyFont="1" applyFill="1" applyBorder="1"/>
    <xf numFmtId="0" fontId="50" fillId="0" borderId="0" xfId="1" applyFont="1" applyFill="1" applyBorder="1"/>
    <xf numFmtId="38" fontId="50" fillId="0" borderId="0" xfId="3" applyFont="1" applyFill="1" applyBorder="1" applyAlignment="1"/>
    <xf numFmtId="0" fontId="47" fillId="0" borderId="0" xfId="1" applyFont="1" applyFill="1" applyBorder="1"/>
    <xf numFmtId="0" fontId="47" fillId="0" borderId="0" xfId="1" applyFont="1" applyFill="1" applyBorder="1" applyAlignment="1">
      <alignment horizontal="center" vertical="center"/>
    </xf>
    <xf numFmtId="186" fontId="47" fillId="0" borderId="0" xfId="3" applyNumberFormat="1" applyFont="1" applyFill="1" applyBorder="1" applyAlignment="1">
      <alignment horizontal="right"/>
    </xf>
    <xf numFmtId="40" fontId="47" fillId="0" borderId="0" xfId="3" applyNumberFormat="1" applyFont="1" applyFill="1" applyBorder="1" applyAlignment="1">
      <alignment vertical="center"/>
    </xf>
    <xf numFmtId="38" fontId="47" fillId="0" borderId="0" xfId="3" applyFont="1" applyFill="1" applyBorder="1" applyAlignment="1">
      <alignment vertical="center"/>
    </xf>
    <xf numFmtId="0" fontId="2" fillId="0" borderId="0" xfId="1" applyFill="1" applyBorder="1"/>
    <xf numFmtId="38" fontId="0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vertical="center"/>
    </xf>
    <xf numFmtId="0" fontId="2" fillId="0" borderId="9" xfId="1" applyFill="1" applyBorder="1"/>
    <xf numFmtId="0" fontId="2" fillId="0" borderId="7" xfId="1" applyFill="1" applyBorder="1"/>
    <xf numFmtId="38" fontId="0" fillId="0" borderId="7" xfId="3" applyFont="1" applyFill="1" applyBorder="1" applyAlignment="1">
      <alignment vertical="center"/>
    </xf>
    <xf numFmtId="38" fontId="2" fillId="0" borderId="7" xfId="3" applyFont="1" applyFill="1" applyBorder="1" applyAlignment="1">
      <alignment vertical="center"/>
    </xf>
    <xf numFmtId="38" fontId="2" fillId="0" borderId="8" xfId="3" applyFont="1" applyFill="1" applyBorder="1" applyAlignment="1">
      <alignment vertical="center"/>
    </xf>
    <xf numFmtId="182" fontId="2" fillId="0" borderId="1" xfId="1" applyNumberFormat="1" applyBorder="1" applyAlignment="1">
      <alignment horizontal="center"/>
    </xf>
    <xf numFmtId="0" fontId="2" fillId="0" borderId="7" xfId="1" applyBorder="1" applyAlignment="1">
      <alignment horizontal="center"/>
    </xf>
    <xf numFmtId="182" fontId="2" fillId="0" borderId="7" xfId="1" applyNumberFormat="1" applyBorder="1" applyAlignment="1">
      <alignment horizontal="center"/>
    </xf>
    <xf numFmtId="0" fontId="2" fillId="0" borderId="2" xfId="116" applyBorder="1" applyAlignment="1">
      <alignment horizontal="center" vertical="center"/>
    </xf>
    <xf numFmtId="0" fontId="9" fillId="0" borderId="2" xfId="116" applyFont="1" applyBorder="1" applyAlignment="1">
      <alignment horizontal="center" vertical="center"/>
    </xf>
    <xf numFmtId="182" fontId="2" fillId="0" borderId="10" xfId="116" applyNumberFormat="1" applyBorder="1" applyAlignment="1">
      <alignment horizontal="center" vertical="center"/>
    </xf>
    <xf numFmtId="38" fontId="2" fillId="0" borderId="3" xfId="70" applyFont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5" xfId="116" applyBorder="1" applyAlignment="1">
      <alignment horizontal="center" vertical="center"/>
    </xf>
    <xf numFmtId="182" fontId="2" fillId="0" borderId="11" xfId="116" applyNumberFormat="1" applyBorder="1" applyAlignment="1">
      <alignment horizontal="center" vertical="center"/>
    </xf>
    <xf numFmtId="38" fontId="2" fillId="0" borderId="6" xfId="70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0" xfId="116" applyFill="1" applyBorder="1"/>
    <xf numFmtId="38" fontId="2" fillId="0" borderId="0" xfId="70" applyFont="1" applyFill="1" applyBorder="1"/>
    <xf numFmtId="38" fontId="0" fillId="0" borderId="0" xfId="70" applyFont="1" applyFill="1" applyBorder="1"/>
    <xf numFmtId="0" fontId="2" fillId="0" borderId="2" xfId="116" applyFill="1" applyBorder="1"/>
    <xf numFmtId="0" fontId="2" fillId="0" borderId="1" xfId="116" applyFill="1" applyBorder="1"/>
    <xf numFmtId="38" fontId="2" fillId="0" borderId="1" xfId="70" applyFont="1" applyFill="1" applyBorder="1"/>
    <xf numFmtId="185" fontId="0" fillId="0" borderId="3" xfId="59" applyNumberFormat="1" applyFont="1" applyFill="1" applyBorder="1"/>
    <xf numFmtId="185" fontId="0" fillId="0" borderId="6" xfId="59" applyNumberFormat="1" applyFont="1" applyFill="1" applyBorder="1"/>
    <xf numFmtId="0" fontId="2" fillId="0" borderId="7" xfId="116" applyFill="1" applyBorder="1"/>
    <xf numFmtId="38" fontId="0" fillId="0" borderId="7" xfId="70" applyFont="1" applyFill="1" applyBorder="1"/>
    <xf numFmtId="38" fontId="2" fillId="0" borderId="7" xfId="70" applyFont="1" applyFill="1" applyBorder="1"/>
    <xf numFmtId="185" fontId="0" fillId="0" borderId="8" xfId="59" applyNumberFormat="1" applyFont="1" applyFill="1" applyBorder="1"/>
    <xf numFmtId="0" fontId="2" fillId="0" borderId="0" xfId="1" applyAlignment="1">
      <alignment horizontal="center"/>
    </xf>
    <xf numFmtId="178" fontId="47" fillId="0" borderId="0" xfId="1" applyNumberFormat="1" applyFont="1" applyFill="1" applyBorder="1"/>
    <xf numFmtId="0" fontId="47" fillId="0" borderId="0" xfId="1" applyFont="1" applyFill="1" applyBorder="1" applyAlignment="1">
      <alignment horizontal="center"/>
    </xf>
    <xf numFmtId="0" fontId="47" fillId="0" borderId="0" xfId="1" applyFont="1" applyFill="1" applyBorder="1" applyAlignment="1">
      <alignment horizontal="center" vertical="center" wrapText="1"/>
    </xf>
    <xf numFmtId="0" fontId="47" fillId="0" borderId="0" xfId="1" applyFont="1" applyFill="1" applyBorder="1" applyAlignment="1">
      <alignment horizontal="center" vertical="top"/>
    </xf>
    <xf numFmtId="0" fontId="47" fillId="0" borderId="0" xfId="1" applyFont="1" applyFill="1" applyBorder="1" applyAlignment="1">
      <alignment horizontal="center" vertical="top" wrapText="1"/>
    </xf>
    <xf numFmtId="0" fontId="57" fillId="0" borderId="0" xfId="1" applyFont="1" applyFill="1" applyBorder="1" applyAlignment="1">
      <alignment horizontal="right" vertical="top"/>
    </xf>
    <xf numFmtId="0" fontId="47" fillId="0" borderId="0" xfId="1" applyFont="1" applyFill="1" applyBorder="1" applyAlignment="1">
      <alignment horizontal="right"/>
    </xf>
    <xf numFmtId="178" fontId="50" fillId="0" borderId="0" xfId="1" applyNumberFormat="1" applyFont="1" applyFill="1" applyBorder="1" applyAlignment="1">
      <alignment horizontal="right"/>
    </xf>
    <xf numFmtId="10" fontId="50" fillId="0" borderId="0" xfId="4" applyNumberFormat="1" applyFont="1" applyFill="1" applyBorder="1" applyAlignment="1">
      <alignment horizontal="right"/>
    </xf>
    <xf numFmtId="183" fontId="47" fillId="0" borderId="0" xfId="1" applyNumberFormat="1" applyFont="1" applyFill="1" applyBorder="1"/>
    <xf numFmtId="0" fontId="47" fillId="0" borderId="0" xfId="1" applyFont="1" applyFill="1" applyBorder="1" applyAlignment="1">
      <alignment vertical="center"/>
    </xf>
    <xf numFmtId="0" fontId="47" fillId="0" borderId="0" xfId="1" applyFont="1" applyFill="1" applyBorder="1" applyAlignment="1">
      <alignment vertical="center" wrapText="1"/>
    </xf>
    <xf numFmtId="182" fontId="2" fillId="0" borderId="11" xfId="1" applyNumberFormat="1" applyBorder="1" applyAlignment="1">
      <alignment horizontal="center"/>
    </xf>
    <xf numFmtId="38" fontId="2" fillId="0" borderId="0" xfId="2" applyFont="1" applyFill="1" applyBorder="1"/>
    <xf numFmtId="38" fontId="0" fillId="0" borderId="0" xfId="2" applyFont="1" applyFill="1" applyBorder="1"/>
    <xf numFmtId="0" fontId="2" fillId="0" borderId="2" xfId="1" applyFill="1" applyBorder="1"/>
    <xf numFmtId="0" fontId="2" fillId="0" borderId="1" xfId="1" applyFill="1" applyBorder="1"/>
    <xf numFmtId="38" fontId="2" fillId="0" borderId="1" xfId="2" applyFont="1" applyFill="1" applyBorder="1"/>
    <xf numFmtId="38" fontId="2" fillId="0" borderId="3" xfId="2" applyFont="1" applyFill="1" applyBorder="1"/>
    <xf numFmtId="38" fontId="0" fillId="0" borderId="6" xfId="2" applyFont="1" applyFill="1" applyBorder="1"/>
    <xf numFmtId="38" fontId="0" fillId="0" borderId="7" xfId="2" applyFont="1" applyFill="1" applyBorder="1"/>
    <xf numFmtId="38" fontId="0" fillId="0" borderId="8" xfId="2" applyFont="1" applyFill="1" applyBorder="1"/>
    <xf numFmtId="0" fontId="2" fillId="0" borderId="0" xfId="1" applyBorder="1"/>
    <xf numFmtId="0" fontId="2" fillId="0" borderId="0" xfId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2" fillId="0" borderId="0" xfId="1" applyFill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top" wrapText="1"/>
    </xf>
    <xf numFmtId="38" fontId="2" fillId="0" borderId="0" xfId="1" applyNumberFormat="1" applyBorder="1"/>
    <xf numFmtId="0" fontId="2" fillId="0" borderId="0" xfId="1" applyBorder="1" applyAlignment="1">
      <alignment horizontal="left" vertical="center"/>
    </xf>
    <xf numFmtId="0" fontId="2" fillId="0" borderId="0" xfId="1" applyBorder="1" applyAlignment="1">
      <alignment horizontal="left" vertical="center" wrapText="1"/>
    </xf>
    <xf numFmtId="38" fontId="0" fillId="0" borderId="0" xfId="59" applyFont="1" applyFill="1" applyBorder="1"/>
    <xf numFmtId="0" fontId="2" fillId="0" borderId="6" xfId="1" applyBorder="1" applyAlignment="1">
      <alignment horizontal="center"/>
    </xf>
    <xf numFmtId="38" fontId="2" fillId="0" borderId="6" xfId="59" applyFont="1" applyBorder="1" applyAlignment="1">
      <alignment horizontal="center"/>
    </xf>
    <xf numFmtId="38" fontId="0" fillId="0" borderId="1" xfId="59" applyFont="1" applyFill="1" applyBorder="1"/>
    <xf numFmtId="38" fontId="2" fillId="0" borderId="3" xfId="59" applyFont="1" applyFill="1" applyBorder="1"/>
    <xf numFmtId="38" fontId="2" fillId="0" borderId="6" xfId="59" applyFont="1" applyFill="1" applyBorder="1"/>
    <xf numFmtId="38" fontId="0" fillId="0" borderId="7" xfId="59" applyFont="1" applyFill="1" applyBorder="1"/>
    <xf numFmtId="38" fontId="2" fillId="0" borderId="8" xfId="59" applyFont="1" applyFill="1" applyBorder="1"/>
    <xf numFmtId="0" fontId="46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right" vertical="center"/>
    </xf>
    <xf numFmtId="190" fontId="47" fillId="0" borderId="0" xfId="0" quotePrefix="1" applyNumberFormat="1" applyFont="1" applyFill="1" applyBorder="1">
      <alignment vertical="center"/>
    </xf>
    <xf numFmtId="191" fontId="47" fillId="0" borderId="0" xfId="0" applyNumberFormat="1" applyFont="1" applyFill="1" applyBorder="1">
      <alignment vertical="center"/>
    </xf>
    <xf numFmtId="189" fontId="0" fillId="0" borderId="0" xfId="0" applyNumberFormat="1" applyFill="1" applyBorder="1">
      <alignment vertical="center"/>
    </xf>
    <xf numFmtId="2" fontId="0" fillId="0" borderId="0" xfId="0" applyNumberFormat="1" applyFill="1" applyBorder="1">
      <alignment vertical="center"/>
    </xf>
    <xf numFmtId="181" fontId="0" fillId="0" borderId="0" xfId="0" applyNumberFormat="1" applyFill="1" applyBorder="1">
      <alignment vertical="center"/>
    </xf>
    <xf numFmtId="0" fontId="56" fillId="0" borderId="0" xfId="1" applyFont="1" applyFill="1" applyBorder="1" applyAlignment="1">
      <alignment horizontal="left"/>
    </xf>
    <xf numFmtId="0" fontId="55" fillId="0" borderId="0" xfId="1" applyFont="1" applyFill="1" applyBorder="1" applyAlignment="1">
      <alignment horizontal="left" vertical="center"/>
    </xf>
    <xf numFmtId="0" fontId="47" fillId="0" borderId="0" xfId="1" applyFont="1" applyFill="1" applyBorder="1" applyAlignment="1">
      <alignment horizontal="left" vertical="center"/>
    </xf>
    <xf numFmtId="186" fontId="47" fillId="0" borderId="0" xfId="3" applyNumberFormat="1" applyFont="1" applyFill="1" applyBorder="1" applyAlignment="1">
      <alignment horizontal="left"/>
    </xf>
    <xf numFmtId="0" fontId="50" fillId="0" borderId="0" xfId="1" applyFont="1" applyFill="1" applyBorder="1" applyAlignment="1">
      <alignment horizontal="left" vertical="center"/>
    </xf>
    <xf numFmtId="0" fontId="50" fillId="0" borderId="0" xfId="1" applyFont="1" applyFill="1" applyBorder="1" applyAlignment="1">
      <alignment horizontal="left" vertical="top"/>
    </xf>
    <xf numFmtId="0" fontId="56" fillId="0" borderId="0" xfId="1" quotePrefix="1" applyFont="1" applyFill="1" applyBorder="1" applyAlignment="1">
      <alignment horizontal="left"/>
    </xf>
    <xf numFmtId="178" fontId="50" fillId="0" borderId="0" xfId="1" applyNumberFormat="1" applyFont="1" applyFill="1" applyBorder="1" applyAlignment="1">
      <alignment horizontal="left"/>
    </xf>
    <xf numFmtId="184" fontId="7" fillId="0" borderId="0" xfId="0" applyNumberFormat="1" applyFont="1" applyFill="1" applyBorder="1">
      <alignment vertical="center"/>
    </xf>
    <xf numFmtId="0" fontId="2" fillId="0" borderId="2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194" fontId="7" fillId="0" borderId="0" xfId="0" applyNumberFormat="1" applyFont="1" applyFill="1" applyBorder="1">
      <alignment vertical="center"/>
    </xf>
    <xf numFmtId="194" fontId="7" fillId="0" borderId="0" xfId="3" applyNumberFormat="1" applyFont="1" applyFill="1" applyBorder="1">
      <alignment vertical="center"/>
    </xf>
    <xf numFmtId="194" fontId="6" fillId="0" borderId="0" xfId="0" applyNumberFormat="1" applyFont="1" applyFill="1" applyBorder="1">
      <alignment vertical="center"/>
    </xf>
    <xf numFmtId="181" fontId="7" fillId="0" borderId="0" xfId="0" applyNumberFormat="1" applyFont="1" applyFill="1" applyBorder="1">
      <alignment vertical="center"/>
    </xf>
    <xf numFmtId="184" fontId="6" fillId="0" borderId="0" xfId="4" applyNumberFormat="1" applyFont="1" applyFill="1" applyBorder="1">
      <alignment vertical="center"/>
    </xf>
    <xf numFmtId="184" fontId="0" fillId="0" borderId="0" xfId="4" applyNumberFormat="1" applyFont="1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45" fillId="0" borderId="9" xfId="0" applyFont="1" applyFill="1" applyBorder="1">
      <alignment vertical="center"/>
    </xf>
    <xf numFmtId="0" fontId="45" fillId="0" borderId="7" xfId="0" applyFont="1" applyFill="1" applyBorder="1">
      <alignment vertical="center"/>
    </xf>
    <xf numFmtId="0" fontId="45" fillId="0" borderId="8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46" fillId="0" borderId="9" xfId="0" applyFont="1" applyFill="1" applyBorder="1" applyAlignment="1">
      <alignment horizontal="right" vertical="center" wrapText="1"/>
    </xf>
    <xf numFmtId="0" fontId="46" fillId="0" borderId="8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0" fillId="0" borderId="1" xfId="0" quotePrefix="1" applyFill="1" applyBorder="1">
      <alignment vertical="center"/>
    </xf>
    <xf numFmtId="190" fontId="47" fillId="0" borderId="3" xfId="0" quotePrefix="1" applyNumberFormat="1" applyFont="1" applyFill="1" applyBorder="1">
      <alignment vertical="center"/>
    </xf>
    <xf numFmtId="0" fontId="0" fillId="0" borderId="5" xfId="0" applyFill="1" applyBorder="1">
      <alignment vertical="center"/>
    </xf>
    <xf numFmtId="189" fontId="0" fillId="0" borderId="6" xfId="0" applyNumberFormat="1" applyFill="1" applyBorder="1">
      <alignment vertical="center"/>
    </xf>
    <xf numFmtId="38" fontId="0" fillId="0" borderId="6" xfId="3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7" xfId="0" quotePrefix="1" applyFill="1" applyBorder="1">
      <alignment vertical="center"/>
    </xf>
    <xf numFmtId="38" fontId="0" fillId="0" borderId="8" xfId="3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185" fontId="0" fillId="0" borderId="5" xfId="3" applyNumberFormat="1" applyFont="1" applyFill="1" applyBorder="1">
      <alignment vertical="center"/>
    </xf>
    <xf numFmtId="185" fontId="0" fillId="0" borderId="9" xfId="3" applyNumberFormat="1" applyFont="1" applyFill="1" applyBorder="1">
      <alignment vertical="center"/>
    </xf>
    <xf numFmtId="182" fontId="2" fillId="0" borderId="0" xfId="116" applyNumberFormat="1" applyBorder="1" applyAlignment="1">
      <alignment horizontal="center" vertical="center"/>
    </xf>
    <xf numFmtId="185" fontId="0" fillId="0" borderId="5" xfId="2" applyNumberFormat="1" applyFont="1" applyFill="1" applyBorder="1"/>
    <xf numFmtId="185" fontId="0" fillId="0" borderId="9" xfId="2" applyNumberFormat="1" applyFont="1" applyFill="1" applyBorder="1"/>
    <xf numFmtId="0" fontId="2" fillId="0" borderId="8" xfId="1" applyBorder="1"/>
    <xf numFmtId="38" fontId="2" fillId="0" borderId="6" xfId="3" applyFont="1" applyBorder="1" applyAlignment="1"/>
    <xf numFmtId="38" fontId="2" fillId="0" borderId="8" xfId="3" applyFont="1" applyBorder="1" applyAlignment="1"/>
    <xf numFmtId="38" fontId="2" fillId="0" borderId="3" xfId="70" applyFont="1" applyFill="1" applyBorder="1"/>
    <xf numFmtId="38" fontId="0" fillId="0" borderId="6" xfId="70" applyFont="1" applyFill="1" applyBorder="1"/>
    <xf numFmtId="38" fontId="0" fillId="0" borderId="8" xfId="7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40" fontId="2" fillId="0" borderId="0" xfId="1" applyNumberFormat="1"/>
    <xf numFmtId="176" fontId="7" fillId="0" borderId="0" xfId="3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2" fontId="2" fillId="0" borderId="0" xfId="1" applyNumberFormat="1" applyBorder="1"/>
    <xf numFmtId="38" fontId="2" fillId="0" borderId="0" xfId="1" applyNumberForma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169">
    <cellStyle name="bin" xfId="18"/>
    <cellStyle name="blue" xfId="19"/>
    <cellStyle name="Calc Currency (0)" xfId="20"/>
    <cellStyle name="CELL" xfId="21"/>
    <cellStyle name="Col&amp;RowHeadings" xfId="22"/>
    <cellStyle name="ColCodes" xfId="23"/>
    <cellStyle name="ColTitles" xfId="24"/>
    <cellStyle name="column" xfId="25"/>
    <cellStyle name="Comma [0]" xfId="159"/>
    <cellStyle name="Currency [0]" xfId="160"/>
    <cellStyle name="DataEntryCells" xfId="26"/>
    <cellStyle name="ErrRpt_DataEntryCells" xfId="27"/>
    <cellStyle name="ErrRpt-DataEntryCells" xfId="28"/>
    <cellStyle name="ErrRpt-GreyBackground" xfId="29"/>
    <cellStyle name="formula" xfId="30"/>
    <cellStyle name="gap" xfId="31"/>
    <cellStyle name="GreyBackground" xfId="32"/>
    <cellStyle name="Header1" xfId="33"/>
    <cellStyle name="Header2" xfId="34"/>
    <cellStyle name="ISC" xfId="35"/>
    <cellStyle name="isced" xfId="36"/>
    <cellStyle name="ISCED Titles" xfId="37"/>
    <cellStyle name="isced_finjpn1" xfId="38"/>
    <cellStyle name="level1a" xfId="39"/>
    <cellStyle name="level2" xfId="40"/>
    <cellStyle name="level2a" xfId="41"/>
    <cellStyle name="level3" xfId="42"/>
    <cellStyle name="Normal_#18-Internet" xfId="43"/>
    <cellStyle name="row" xfId="44"/>
    <cellStyle name="RowCodes" xfId="45"/>
    <cellStyle name="Row-Col Headings" xfId="46"/>
    <cellStyle name="RowTitles" xfId="47"/>
    <cellStyle name="RowTitles1-Detail" xfId="48"/>
    <cellStyle name="RowTitles-Col2" xfId="49"/>
    <cellStyle name="RowTitles-Detail" xfId="50"/>
    <cellStyle name="Sbold" xfId="51"/>
    <cellStyle name="Snorm" xfId="52"/>
    <cellStyle name="socxn" xfId="53"/>
    <cellStyle name="temp" xfId="54"/>
    <cellStyle name="title1" xfId="55"/>
    <cellStyle name="XLConnect.Boolean" xfId="153"/>
    <cellStyle name="XLConnect.DateTime" xfId="154"/>
    <cellStyle name="XLConnect.Header" xfId="155"/>
    <cellStyle name="XLConnect.Numeric" xfId="156"/>
    <cellStyle name="XLConnect.String" xfId="157"/>
    <cellStyle name="カンマ" xfId="56"/>
    <cellStyle name="パーセント" xfId="4" builtinId="5"/>
    <cellStyle name="パーセント 2" xfId="5"/>
    <cellStyle name="パーセント 2 2" xfId="6"/>
    <cellStyle name="パーセント 2 2 2" xfId="145"/>
    <cellStyle name="パーセント 2 3" xfId="161"/>
    <cellStyle name="パーセント 3" xfId="7"/>
    <cellStyle name="パーセント 3 2" xfId="146"/>
    <cellStyle name="パーセント 4" xfId="57"/>
    <cellStyle name="パーセント 5" xfId="162"/>
    <cellStyle name="ハイパーリンク 2" xfId="163"/>
    <cellStyle name="円" xfId="58"/>
    <cellStyle name="桁区切り" xfId="3" builtinId="6"/>
    <cellStyle name="桁区切り 10" xfId="59"/>
    <cellStyle name="桁区切り 10 2" xfId="164"/>
    <cellStyle name="桁区切り 11" xfId="60"/>
    <cellStyle name="桁区切り 12" xfId="61"/>
    <cellStyle name="桁区切り 13" xfId="62"/>
    <cellStyle name="桁区切り 14" xfId="63"/>
    <cellStyle name="桁区切り 15" xfId="64"/>
    <cellStyle name="桁区切り 16" xfId="65"/>
    <cellStyle name="桁区切り 17" xfId="66"/>
    <cellStyle name="桁区切り 18" xfId="67"/>
    <cellStyle name="桁区切り 19" xfId="68"/>
    <cellStyle name="桁区切り 2" xfId="2"/>
    <cellStyle name="桁区切り 2 2" xfId="8"/>
    <cellStyle name="桁区切り 2 2 2" xfId="69"/>
    <cellStyle name="桁区切り 2 2 2 2" xfId="70"/>
    <cellStyle name="桁区切り 2 2 3" xfId="147"/>
    <cellStyle name="桁区切り 2 3" xfId="71"/>
    <cellStyle name="桁区切り 2 4" xfId="72"/>
    <cellStyle name="桁区切り 2 4 2" xfId="73"/>
    <cellStyle name="桁区切り 2 5" xfId="74"/>
    <cellStyle name="桁区切り 2 6" xfId="75"/>
    <cellStyle name="桁区切り 20" xfId="76"/>
    <cellStyle name="桁区切り 21" xfId="77"/>
    <cellStyle name="桁区切り 22" xfId="78"/>
    <cellStyle name="桁区切り 23" xfId="79"/>
    <cellStyle name="桁区切り 24" xfId="80"/>
    <cellStyle name="桁区切り 25" xfId="81"/>
    <cellStyle name="桁区切り 26" xfId="82"/>
    <cellStyle name="桁区切り 3" xfId="9"/>
    <cellStyle name="桁区切り 3 2" xfId="83"/>
    <cellStyle name="桁区切り 3 2 2" xfId="84"/>
    <cellStyle name="桁区切り 3 3" xfId="85"/>
    <cellStyle name="桁区切り 3 4" xfId="86"/>
    <cellStyle name="桁区切り 3 5" xfId="87"/>
    <cellStyle name="桁区切り 4" xfId="10"/>
    <cellStyle name="桁区切り 4 2" xfId="11"/>
    <cellStyle name="桁区切り 5" xfId="12"/>
    <cellStyle name="桁区切り 5 2" xfId="88"/>
    <cellStyle name="桁区切り 5 3" xfId="89"/>
    <cellStyle name="桁区切り 5 4" xfId="90"/>
    <cellStyle name="桁区切り 5 5" xfId="91"/>
    <cellStyle name="桁区切り 5 6" xfId="148"/>
    <cellStyle name="桁区切り 6" xfId="92"/>
    <cellStyle name="桁区切り 6 2" xfId="165"/>
    <cellStyle name="桁区切り 6 3" xfId="166"/>
    <cellStyle name="桁区切り 7" xfId="93"/>
    <cellStyle name="桁区切り 7 2" xfId="94"/>
    <cellStyle name="桁区切り 8" xfId="95"/>
    <cellStyle name="桁区切り 9" xfId="96"/>
    <cellStyle name="桁区切り 9 2" xfId="97"/>
    <cellStyle name="桁区切り 9 3" xfId="98"/>
    <cellStyle name="見出し１" xfId="99"/>
    <cellStyle name="見出し２" xfId="100"/>
    <cellStyle name="合計" xfId="101"/>
    <cellStyle name="小数" xfId="102"/>
    <cellStyle name="日付" xfId="103"/>
    <cellStyle name="年月" xfId="104"/>
    <cellStyle name="標準" xfId="0" builtinId="0"/>
    <cellStyle name="標準 10" xfId="105"/>
    <cellStyle name="標準 10 2" xfId="106"/>
    <cellStyle name="標準 11" xfId="107"/>
    <cellStyle name="標準 12" xfId="108"/>
    <cellStyle name="標準 13" xfId="109"/>
    <cellStyle name="標準 14" xfId="110"/>
    <cellStyle name="標準 15" xfId="111"/>
    <cellStyle name="標準 16" xfId="112"/>
    <cellStyle name="標準 17" xfId="113"/>
    <cellStyle name="標準 18" xfId="114"/>
    <cellStyle name="標準 19" xfId="115"/>
    <cellStyle name="標準 2" xfId="1"/>
    <cellStyle name="標準 2 2" xfId="13"/>
    <cellStyle name="標準 2 2 2" xfId="116"/>
    <cellStyle name="標準 2 2 2 2" xfId="117"/>
    <cellStyle name="標準 2 2 3" xfId="118"/>
    <cellStyle name="標準 2 2 4" xfId="149"/>
    <cellStyle name="標準 2 3" xfId="119"/>
    <cellStyle name="標準 2 3 2" xfId="167"/>
    <cellStyle name="標準 2 4" xfId="120"/>
    <cellStyle name="標準 2_070727旧３階部分の給付（名目）" xfId="121"/>
    <cellStyle name="標準 20" xfId="122"/>
    <cellStyle name="標準 21" xfId="123"/>
    <cellStyle name="標準 22" xfId="124"/>
    <cellStyle name="標準 23" xfId="125"/>
    <cellStyle name="標準 24" xfId="126"/>
    <cellStyle name="標準 25" xfId="127"/>
    <cellStyle name="標準 26" xfId="128"/>
    <cellStyle name="標準 27" xfId="129"/>
    <cellStyle name="標準 28" xfId="158"/>
    <cellStyle name="標準 3" xfId="14"/>
    <cellStyle name="標準 3 2" xfId="130"/>
    <cellStyle name="標準 3 3" xfId="131"/>
    <cellStyle name="標準 3 4" xfId="132"/>
    <cellStyle name="標準 3 5" xfId="133"/>
    <cellStyle name="標準 3 6" xfId="134"/>
    <cellStyle name="標準 3 7" xfId="150"/>
    <cellStyle name="標準 4" xfId="15"/>
    <cellStyle name="標準 4 2" xfId="135"/>
    <cellStyle name="標準 4 2 2" xfId="136"/>
    <cellStyle name="標準 5" xfId="16"/>
    <cellStyle name="標準 5 2" xfId="137"/>
    <cellStyle name="標準 5 3" xfId="151"/>
    <cellStyle name="標準 6" xfId="17"/>
    <cellStyle name="標準 6 2" xfId="152"/>
    <cellStyle name="標準 6 3" xfId="168"/>
    <cellStyle name="標準 7" xfId="138"/>
    <cellStyle name="標準 8" xfId="139"/>
    <cellStyle name="標準 9" xfId="140"/>
    <cellStyle name="表題" xfId="141"/>
    <cellStyle name="表頭" xfId="142"/>
    <cellStyle name="磨葬e義" xfId="143"/>
    <cellStyle name="未定義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7"/>
  <sheetViews>
    <sheetView tabSelected="1" zoomScaleNormal="100" workbookViewId="0"/>
  </sheetViews>
  <sheetFormatPr defaultRowHeight="13.5"/>
  <cols>
    <col min="1" max="3" width="9" style="1"/>
    <col min="4" max="4" width="10.875" style="1" customWidth="1"/>
    <col min="5" max="16384" width="9" style="1"/>
  </cols>
  <sheetData>
    <row r="1" spans="1:17">
      <c r="A1" s="1" t="s">
        <v>143</v>
      </c>
    </row>
    <row r="3" spans="1:17">
      <c r="A3" s="84" t="s">
        <v>55</v>
      </c>
      <c r="B3" s="84" t="s">
        <v>106</v>
      </c>
      <c r="C3" s="84" t="s">
        <v>56</v>
      </c>
      <c r="D3" s="85" t="s">
        <v>107</v>
      </c>
      <c r="E3" s="86" t="s">
        <v>13</v>
      </c>
      <c r="F3" s="87" t="s">
        <v>58</v>
      </c>
      <c r="G3" s="88" t="s">
        <v>108</v>
      </c>
    </row>
    <row r="4" spans="1:17">
      <c r="A4" s="89"/>
      <c r="B4" s="89"/>
      <c r="C4" s="89" t="s">
        <v>59</v>
      </c>
      <c r="D4" s="89"/>
      <c r="E4" s="90"/>
      <c r="F4" s="91"/>
      <c r="G4" s="92"/>
    </row>
    <row r="5" spans="1:17">
      <c r="A5" s="96">
        <v>30</v>
      </c>
      <c r="B5" s="97">
        <v>2018</v>
      </c>
      <c r="C5" s="98">
        <f>【国民年金】!C5+【厚生年金】!C5+【三共済・旧３公社等】!C5+【年金生活者支援給付金】!C6+【恩給】!C5+'【その他（恩給除く）】'!C5</f>
        <v>567230.09778830211</v>
      </c>
      <c r="D5" s="98">
        <f>【国民年金】!D5+【厚生年金】!D5+【三共済・旧３公社等】!D5+【恩給】!D5+'【その他（恩給除く）】'!D5</f>
        <v>394880.89308563236</v>
      </c>
      <c r="E5" s="98">
        <f>【国民年金】!E5+【厚生年金】!E5+【三共済・旧３公社等】!H5+【年金生活者支援給付金】!C6+【恩給】!E5+'【その他（恩給除く）】'!E5</f>
        <v>124170.83822221056</v>
      </c>
      <c r="F5" s="98">
        <f>【厚生年金】!F5+【三共済・旧３公社等】!I5+'【その他（恩給除く）】'!F5</f>
        <v>7382.3226075178936</v>
      </c>
      <c r="G5" s="99">
        <v>564.29999999999995</v>
      </c>
      <c r="N5" s="204"/>
      <c r="O5" s="204"/>
      <c r="P5" s="204"/>
      <c r="Q5" s="204"/>
    </row>
    <row r="6" spans="1:17">
      <c r="A6" s="20">
        <v>31</v>
      </c>
      <c r="B6" s="93">
        <v>2019</v>
      </c>
      <c r="C6" s="94">
        <f>【国民年金】!C6+【厚生年金】!C6+【三共済・旧３公社等】!C6+【年金生活者支援給付金】!C7+【恩給】!C6+'【その他（恩給除く）】'!C6</f>
        <v>570616.37132812408</v>
      </c>
      <c r="D6" s="94">
        <f>【国民年金】!D6+【厚生年金】!D6+【三共済・旧３公社等】!D6+【恩給】!D6+'【その他（恩給除く）】'!D6</f>
        <v>400759.70337915589</v>
      </c>
      <c r="E6" s="94">
        <f>【国民年金】!E6+【厚生年金】!E6+【三共済・旧３公社等】!H6+【年金生活者支援給付金】!C7+【恩給】!E6+'【その他（恩給除く）】'!E6</f>
        <v>126835.64004830766</v>
      </c>
      <c r="F6" s="94">
        <f>【厚生年金】!F6+【三共済・旧３公社等】!I6+'【その他（恩給除く）】'!F6</f>
        <v>7468.1680640291224</v>
      </c>
      <c r="G6" s="100">
        <v>577.9</v>
      </c>
      <c r="N6" s="204"/>
      <c r="O6" s="204"/>
      <c r="P6" s="204"/>
      <c r="Q6" s="204"/>
    </row>
    <row r="7" spans="1:17">
      <c r="A7" s="20">
        <v>32</v>
      </c>
      <c r="B7" s="93">
        <v>2020</v>
      </c>
      <c r="C7" s="94">
        <f>【国民年金】!C7+【厚生年金】!C7+【三共済・旧３公社等】!C7+【年金生活者支援給付金】!C8+【恩給】!C7+'【その他（恩給除く）】'!C7</f>
        <v>579944.81786751235</v>
      </c>
      <c r="D7" s="94">
        <f>【国民年金】!D7+【厚生年金】!D7+【三共済・旧３公社等】!D7+【恩給】!D7+'【その他（恩給除く）】'!D7</f>
        <v>408442.08442161197</v>
      </c>
      <c r="E7" s="94">
        <f>【国民年金】!E7+【厚生年金】!E7+【三共済・旧３公社等】!H7+【年金生活者支援給付金】!C8+【恩給】!E7+'【その他（恩給除く）】'!E7</f>
        <v>132394.1931993032</v>
      </c>
      <c r="F7" s="94">
        <f>【厚生年金】!F7+【三共済・旧３公社等】!I7+'【その他（恩給除く）】'!F7</f>
        <v>7603.591726346086</v>
      </c>
      <c r="G7" s="100">
        <v>590.6</v>
      </c>
      <c r="N7" s="204"/>
      <c r="O7" s="204"/>
      <c r="P7" s="204"/>
      <c r="Q7" s="204"/>
    </row>
    <row r="8" spans="1:17">
      <c r="A8" s="20">
        <v>33</v>
      </c>
      <c r="B8" s="93">
        <v>2021</v>
      </c>
      <c r="C8" s="95">
        <f>【国民年金】!C8+【厚生年金】!C8+【三共済・旧３公社等】!C8+【年金生活者支援給付金】!C9+【恩給】!C8+'【その他（恩給除く）】'!C8</f>
        <v>588075.73739253893</v>
      </c>
      <c r="D8" s="95">
        <f>【国民年金】!D8+【厚生年金】!D8+【三共済・旧３公社等】!D8+【恩給】!D8+'【その他（恩給除く）】'!D8</f>
        <v>415442.45826800953</v>
      </c>
      <c r="E8" s="95">
        <f>【国民年金】!E8+【厚生年金】!E8+【三共済・旧３公社等】!H8+【年金生活者支援給付金】!C9+【恩給】!E8+'【その他（恩給除く）】'!E8</f>
        <v>134092.2797162729</v>
      </c>
      <c r="F8" s="95">
        <f>【厚生年金】!F8+【三共済・旧３公社等】!I8+'【その他（恩給除く）】'!F8</f>
        <v>7731.8432849828841</v>
      </c>
      <c r="G8" s="100">
        <v>601.70000000000005</v>
      </c>
      <c r="N8" s="204"/>
      <c r="O8" s="204"/>
      <c r="P8" s="204"/>
      <c r="Q8" s="204"/>
    </row>
    <row r="9" spans="1:17">
      <c r="A9" s="20">
        <v>34</v>
      </c>
      <c r="B9" s="93">
        <v>2022</v>
      </c>
      <c r="C9" s="95">
        <f>【国民年金】!C9+【厚生年金】!C9+【三共済・旧３公社等】!C9+【年金生活者支援給付金】!C10+【恩給】!C9+'【その他（恩給除く）】'!C9</f>
        <v>591689.85830483888</v>
      </c>
      <c r="D9" s="95">
        <f>【国民年金】!D9+【厚生年金】!D9+【三共済・旧３公社等】!D9+【恩給】!D9+'【その他（恩給除く）】'!D9</f>
        <v>422086.97036726738</v>
      </c>
      <c r="E9" s="95">
        <f>【国民年金】!E9+【厚生年金】!E9+【三共済・旧３公社等】!H9+【年金生活者支援給付金】!C10+【恩給】!E9+'【その他（恩給除く）】'!E9</f>
        <v>135160.60793701484</v>
      </c>
      <c r="F9" s="95">
        <f>【厚生年金】!F9+【三共済・旧３公社等】!I9+'【その他（恩給除く）】'!F9</f>
        <v>7830.0369387454248</v>
      </c>
      <c r="G9" s="100">
        <v>612.6</v>
      </c>
      <c r="N9" s="204"/>
      <c r="O9" s="204"/>
      <c r="P9" s="204"/>
      <c r="Q9" s="204"/>
    </row>
    <row r="10" spans="1:17">
      <c r="A10" s="20">
        <v>35</v>
      </c>
      <c r="B10" s="93">
        <v>2023</v>
      </c>
      <c r="C10" s="95">
        <f>【国民年金】!C10+【厚生年金】!C10+【三共済・旧３公社等】!C10+【年金生活者支援給付金】!C11+【恩給】!C10+'【その他（恩給除く）】'!C10</f>
        <v>593073.73515750573</v>
      </c>
      <c r="D10" s="95">
        <f>【国民年金】!D10+【厚生年金】!D10+【三共済・旧３公社等】!D10+【恩給】!D10+'【その他（恩給除く）】'!D10</f>
        <v>428710.95208737231</v>
      </c>
      <c r="E10" s="95">
        <f>【国民年金】!E10+【厚生年金】!E10+【三共済・旧３公社等】!H10+【年金生活者支援給付金】!C11+【恩給】!E10+'【その他（恩給除く）】'!E10</f>
        <v>135980.85815575824</v>
      </c>
      <c r="F10" s="95">
        <f>【厚生年金】!F10+【三共済・旧３公社等】!I10+'【その他（恩給除く）】'!F10</f>
        <v>7918.9304261014895</v>
      </c>
      <c r="G10" s="100">
        <v>623.4</v>
      </c>
      <c r="N10" s="204"/>
      <c r="O10" s="204"/>
      <c r="P10" s="204"/>
      <c r="Q10" s="204"/>
    </row>
    <row r="11" spans="1:17">
      <c r="A11" s="20">
        <v>36</v>
      </c>
      <c r="B11" s="93">
        <v>2024</v>
      </c>
      <c r="C11" s="95">
        <f>【国民年金】!C11+【厚生年金】!C11+【三共済・旧３公社等】!C11+【年金生活者支援給付金】!C12+【恩給】!C11+'【その他（恩給除く）】'!C11</f>
        <v>597240.28496852412</v>
      </c>
      <c r="D11" s="95">
        <f>【国民年金】!D11+【厚生年金】!D11+【三共済・旧３公社等】!D11+【恩給】!D11+'【その他（恩給除く）】'!D11</f>
        <v>434833.46784718137</v>
      </c>
      <c r="E11" s="95">
        <f>【国民年金】!E11+【厚生年金】!E11+【三共済・旧３公社等】!H11+【年金生活者支援給付金】!C12+【恩給】!E11+'【その他（恩給除く）】'!E11</f>
        <v>136878.0158869398</v>
      </c>
      <c r="F11" s="95">
        <f>【厚生年金】!F11+【三共済・旧３公社等】!I11+'【その他（恩給除く）】'!F11</f>
        <v>8016.3429491886081</v>
      </c>
      <c r="G11" s="100">
        <v>634.4</v>
      </c>
      <c r="N11" s="204"/>
      <c r="O11" s="204"/>
      <c r="P11" s="204"/>
      <c r="Q11" s="204"/>
    </row>
    <row r="12" spans="1:17">
      <c r="A12" s="20">
        <v>37</v>
      </c>
      <c r="B12" s="93">
        <v>2025</v>
      </c>
      <c r="C12" s="95">
        <f>【国民年金】!C12+【厚生年金】!C12+【三共済・旧３公社等】!C12+【年金生活者支援給付金】!C13+【恩給】!C12+'【その他（恩給除く）】'!C12</f>
        <v>598608.27384860639</v>
      </c>
      <c r="D12" s="95">
        <f>【国民年金】!D12+【厚生年金】!D12+【三共済・旧３公社等】!D12+【恩給】!D12+'【その他（恩給除く）】'!D12</f>
        <v>440878.18529527396</v>
      </c>
      <c r="E12" s="95">
        <f>【国民年金】!E12+【厚生年金】!E12+【三共済・旧３公社等】!H12+【年金生活者支援給付金】!C13+【恩給】!E12+'【その他（恩給除く）】'!E12</f>
        <v>137668.01111623482</v>
      </c>
      <c r="F12" s="95">
        <f>【厚生年金】!F12+【三共済・旧３公社等】!I12+'【その他（恩給除く）】'!F12</f>
        <v>8112.8616086118891</v>
      </c>
      <c r="G12" s="100">
        <v>645.6</v>
      </c>
      <c r="N12" s="204"/>
      <c r="O12" s="204"/>
      <c r="P12" s="204"/>
      <c r="Q12" s="204"/>
    </row>
    <row r="13" spans="1:17">
      <c r="A13" s="20">
        <v>38</v>
      </c>
      <c r="B13" s="93">
        <v>2026</v>
      </c>
      <c r="C13" s="95">
        <f>【国民年金】!C13+【厚生年金】!C13+【三共済・旧３公社等】!C13+【年金生活者支援給付金】!C14+【恩給】!C13+'【その他（恩給除く）】'!C13</f>
        <v>598766.85240406636</v>
      </c>
      <c r="D13" s="95">
        <f>【国民年金】!D13+【厚生年金】!D13+【三共済・旧３公社等】!D13+【恩給】!D13+'【その他（恩給除く）】'!D13</f>
        <v>447121.57991521095</v>
      </c>
      <c r="E13" s="95">
        <f>【国民年金】!E13+【厚生年金】!E13+【三共済・旧３公社等】!H13+【年金生活者支援給付金】!C14+【恩給】!E13+'【その他（恩給除く）】'!E13</f>
        <v>138394.24016209418</v>
      </c>
      <c r="F13" s="95">
        <f>【厚生年金】!F13+【三共済・旧３公社等】!I13+'【その他（恩給除く）】'!F13</f>
        <v>8209.3301711604981</v>
      </c>
      <c r="G13" s="100">
        <v>657.1</v>
      </c>
      <c r="N13" s="204"/>
      <c r="O13" s="204"/>
      <c r="P13" s="204"/>
      <c r="Q13" s="204"/>
    </row>
    <row r="14" spans="1:17">
      <c r="A14" s="20">
        <v>39</v>
      </c>
      <c r="B14" s="93">
        <v>2027</v>
      </c>
      <c r="C14" s="95">
        <f>【国民年金】!C14+【厚生年金】!C14+【三共済・旧３公社等】!C14+【年金生活者支援給付金】!C15+【恩給】!C14+'【その他（恩給除く）】'!C14</f>
        <v>603513.24902486836</v>
      </c>
      <c r="D14" s="95">
        <f>【国民年金】!D14+【厚生年金】!D14+【三共済・旧３公社等】!D14+【恩給】!D14+'【その他（恩給除く）】'!D14</f>
        <v>453009.39600416296</v>
      </c>
      <c r="E14" s="95">
        <f>【国民年金】!E14+【厚生年金】!E14+【三共済・旧３公社等】!H14+【年金生活者支援給付金】!C15+【恩給】!E14+'【その他（恩給除く）】'!E14</f>
        <v>139088.73035263637</v>
      </c>
      <c r="F14" s="95">
        <f>【厚生年金】!F14+【三共済・旧３公社等】!I14+'【その他（恩給除く）】'!F14</f>
        <v>8297.9032458254296</v>
      </c>
      <c r="G14" s="100">
        <v>668.4</v>
      </c>
      <c r="N14" s="204"/>
      <c r="O14" s="204"/>
      <c r="P14" s="204"/>
      <c r="Q14" s="204"/>
    </row>
    <row r="15" spans="1:17">
      <c r="A15" s="20">
        <v>40</v>
      </c>
      <c r="B15" s="93">
        <v>2028</v>
      </c>
      <c r="C15" s="95">
        <f>【国民年金】!C15+【厚生年金】!C15+【三共済・旧３公社等】!C15+【年金生活者支援給付金】!C16+【恩給】!C15+'【その他（恩給除く）】'!C15</f>
        <v>608153.22354328725</v>
      </c>
      <c r="D15" s="95">
        <f>【国民年金】!D15+【厚生年金】!D15+【三共済・旧３公社等】!D15+【恩給】!D15+'【その他（恩給除く）】'!D15</f>
        <v>458245.4755758018</v>
      </c>
      <c r="E15" s="95">
        <f>【国民年金】!E15+【厚生年金】!E15+【三共済・旧３公社等】!H15+【年金生活者支援給付金】!C16+【恩給】!E15+'【その他（恩給除く）】'!E15</f>
        <v>139732.790622328</v>
      </c>
      <c r="F15" s="95">
        <f>【厚生年金】!F15+【三共済・旧３公社等】!I15+'【その他（恩給除く）】'!F15</f>
        <v>8393.3172078818243</v>
      </c>
      <c r="G15" s="100">
        <v>677.08919999999989</v>
      </c>
      <c r="N15" s="204"/>
      <c r="O15" s="204"/>
      <c r="P15" s="204"/>
      <c r="Q15" s="204"/>
    </row>
    <row r="16" spans="1:17">
      <c r="A16" s="20">
        <v>41</v>
      </c>
      <c r="B16" s="93">
        <v>2029</v>
      </c>
      <c r="C16" s="95">
        <f>【国民年金】!C16+【厚生年金】!C16+【三共済・旧３公社等】!C16+【年金生活者支援給付金】!C17+【恩給】!C16+'【その他（恩給除く）】'!C16</f>
        <v>614897.93023757637</v>
      </c>
      <c r="D16" s="95">
        <f>【国民年金】!D16+【厚生年金】!D16+【三共済・旧３公社等】!D16+【恩給】!D16+'【その他（恩給除く）】'!D16</f>
        <v>465113.12443583674</v>
      </c>
      <c r="E16" s="95">
        <f>【国民年金】!E16+【厚生年金】!E16+【三共済・旧３公社等】!H16+【年金生活者支援給付金】!C17+【恩給】!E16+'【その他（恩給除く）】'!E16</f>
        <v>140648.77367184559</v>
      </c>
      <c r="F16" s="95">
        <f>【厚生年金】!F16+【三共済・旧３公社等】!I16+'【その他（恩給除く）】'!F16</f>
        <v>8516.6229534528738</v>
      </c>
      <c r="G16" s="100">
        <v>685.89135959999987</v>
      </c>
      <c r="N16" s="204"/>
      <c r="O16" s="204"/>
      <c r="P16" s="204"/>
      <c r="Q16" s="204"/>
    </row>
    <row r="17" spans="1:17">
      <c r="A17" s="20">
        <v>42</v>
      </c>
      <c r="B17" s="93">
        <v>2030</v>
      </c>
      <c r="C17" s="95">
        <f>【国民年金】!C17+【厚生年金】!C17+【三共済・旧３公社等】!C17+【年金生活者支援給付金】!C18+【恩給】!C17+'【その他（恩給除く）】'!C17</f>
        <v>621568.48520654044</v>
      </c>
      <c r="D17" s="95">
        <f>【国民年金】!D17+【厚生年金】!D17+【三共済・旧３公社等】!D17+【恩給】!D17+'【その他（恩給除く）】'!D17</f>
        <v>471938.87376803212</v>
      </c>
      <c r="E17" s="95">
        <f>【国民年金】!E17+【厚生年金】!E17+【三共済・旧３公社等】!H17+【年金生活者支援給付金】!C18+【恩給】!E17+'【その他（恩給除く）】'!E17</f>
        <v>141737.02748064653</v>
      </c>
      <c r="F17" s="95">
        <f>【厚生年金】!F17+【三共済・旧３公社等】!I17+'【その他（恩給除く）】'!F17</f>
        <v>8648.5337142359167</v>
      </c>
      <c r="G17" s="100">
        <v>694.80794727479986</v>
      </c>
      <c r="N17" s="204"/>
      <c r="O17" s="204"/>
      <c r="P17" s="204"/>
      <c r="Q17" s="204"/>
    </row>
    <row r="18" spans="1:17">
      <c r="A18" s="20">
        <v>43</v>
      </c>
      <c r="B18" s="93">
        <v>2031</v>
      </c>
      <c r="C18" s="95">
        <f>【国民年金】!C18+【厚生年金】!C18+【三共済・旧３公社等】!C18+【年金生活者支援給付金】!C19+【恩給】!C18+'【その他（恩給除く）】'!C18</f>
        <v>626672.71893865732</v>
      </c>
      <c r="D18" s="95">
        <f>【国民年金】!D18+【厚生年金】!D18+【三共済・旧３公社等】!D18+【恩給】!D18+'【その他（恩給除く）】'!D18</f>
        <v>478474.65719080227</v>
      </c>
      <c r="E18" s="95">
        <f>【国民年金】!E18+【厚生年金】!E18+【三共済・旧３公社等】!H18+【年金生活者支援給付金】!C19+【恩給】!E18+'【その他（恩給除く）】'!E18</f>
        <v>142545.236802367</v>
      </c>
      <c r="F18" s="95">
        <f>【厚生年金】!F18+【三共済・旧３公社等】!I18+'【その他（恩給除く）】'!F18</f>
        <v>8767.1743183394028</v>
      </c>
      <c r="G18" s="100">
        <v>703.84045058937215</v>
      </c>
      <c r="N18" s="204"/>
      <c r="O18" s="204"/>
      <c r="P18" s="204"/>
      <c r="Q18" s="204"/>
    </row>
    <row r="19" spans="1:17">
      <c r="A19" s="20">
        <v>44</v>
      </c>
      <c r="B19" s="93">
        <v>2032</v>
      </c>
      <c r="C19" s="95">
        <f>【国民年金】!C19+【厚生年金】!C19+【三共済・旧３公社等】!C19+【年金生活者支援給付金】!C20+【恩給】!C19+'【その他（恩給除く）】'!C19</f>
        <v>633580.08600280585</v>
      </c>
      <c r="D19" s="95">
        <f>【国民年金】!D19+【厚生年金】!D19+【三共済・旧３公社等】!D19+【恩給】!D19+'【その他（恩給除く）】'!D19</f>
        <v>484803.14784571319</v>
      </c>
      <c r="E19" s="95">
        <f>【国民年金】!E19+【厚生年金】!E19+【三共済・旧３公社等】!H19+【年金生活者支援給付金】!C20+【恩給】!E19+'【その他（恩給除く）】'!E19</f>
        <v>143550.48001216882</v>
      </c>
      <c r="F19" s="95">
        <f>【厚生年金】!F19+【三共済・旧３公社等】!I19+'【その他（恩給除く）】'!F19</f>
        <v>8901.5680700232697</v>
      </c>
      <c r="G19" s="100">
        <v>712.9903764470339</v>
      </c>
      <c r="N19" s="204"/>
      <c r="O19" s="204"/>
      <c r="P19" s="204"/>
      <c r="Q19" s="204"/>
    </row>
    <row r="20" spans="1:17">
      <c r="A20" s="20">
        <v>45</v>
      </c>
      <c r="B20" s="93">
        <v>2033</v>
      </c>
      <c r="C20" s="95">
        <f>【国民年金】!C20+【厚生年金】!C20+【三共済・旧３公社等】!C20+【年金生活者支援給付金】!C21+【恩給】!C20+'【その他（恩給除く）】'!C20</f>
        <v>643330.32685843809</v>
      </c>
      <c r="D20" s="95">
        <f>【国民年金】!D20+【厚生年金】!D20+【三共済・旧３公社等】!D20+【恩給】!D20+'【その他（恩給除く）】'!D20</f>
        <v>491033.89485982183</v>
      </c>
      <c r="E20" s="95">
        <f>【国民年金】!E20+【厚生年金】!E20+【三共済・旧３公社等】!H20+【年金生活者支援給付金】!C21+【恩給】!E20+'【その他（恩給除く）】'!E20</f>
        <v>145230.78788698566</v>
      </c>
      <c r="F20" s="95">
        <f>【厚生年金】!F20+【三共済・旧３公社等】!I20+'【その他（恩給除く）】'!F20</f>
        <v>9091.5434329163345</v>
      </c>
      <c r="G20" s="100">
        <v>722.25925134084525</v>
      </c>
      <c r="N20" s="204"/>
      <c r="O20" s="204"/>
      <c r="P20" s="204"/>
      <c r="Q20" s="204"/>
    </row>
    <row r="21" spans="1:17">
      <c r="A21" s="20">
        <v>46</v>
      </c>
      <c r="B21" s="93">
        <v>2034</v>
      </c>
      <c r="C21" s="95">
        <f>【国民年金】!C21+【厚生年金】!C21+【三共済・旧３公社等】!C21+【年金生活者支援給付金】!C22+【恩給】!C21+'【その他（恩給除く）】'!C21</f>
        <v>653602.72082927264</v>
      </c>
      <c r="D21" s="95">
        <f>【国民年金】!D21+【厚生年金】!D21+【三共済・旧３公社等】!D21+【恩給】!D21+'【その他（恩給除く）】'!D21</f>
        <v>496979.55841047829</v>
      </c>
      <c r="E21" s="95">
        <f>【国民年金】!E21+【厚生年金】!E21+【三共済・旧３公社等】!H21+【年金生活者支援給付金】!C22+【恩給】!E21+'【その他（恩給除く）】'!E21</f>
        <v>147032.79508557179</v>
      </c>
      <c r="F21" s="95">
        <f>【厚生年金】!F21+【三共済・旧３公社等】!I21+'【その他（恩給除く）】'!F21</f>
        <v>9293.7575679596066</v>
      </c>
      <c r="G21" s="100">
        <v>731.64862160827613</v>
      </c>
      <c r="N21" s="204"/>
      <c r="O21" s="204"/>
      <c r="P21" s="204"/>
      <c r="Q21" s="204"/>
    </row>
    <row r="22" spans="1:17">
      <c r="A22" s="20">
        <v>47</v>
      </c>
      <c r="B22" s="93">
        <v>2035</v>
      </c>
      <c r="C22" s="95">
        <f>【国民年金】!C22+【厚生年金】!C22+【三共済・旧３公社等】!C22+【年金生活者支援給付金】!C23+【恩給】!C22+'【その他（恩給除く）】'!C22</f>
        <v>664298.38809807727</v>
      </c>
      <c r="D22" s="95">
        <f>【国民年金】!D22+【厚生年金】!D22+【三共済・旧３公社等】!D22+【恩給】!D22+'【その他（恩給除く）】'!D22</f>
        <v>502923.56417237065</v>
      </c>
      <c r="E22" s="95">
        <f>【国民年金】!E22+【厚生年金】!E22+【三共済・旧３公社等】!H22+【年金生活者支援給付金】!C23+【恩給】!E22+'【その他（恩給除く）】'!E22</f>
        <v>148937.17982353928</v>
      </c>
      <c r="F22" s="95">
        <f>【厚生年金】!F22+【三共済・旧３公社等】!I22+'【その他（恩給除く）】'!F22</f>
        <v>9500.8397434188773</v>
      </c>
      <c r="G22" s="100">
        <v>741.16005368918366</v>
      </c>
      <c r="N22" s="204"/>
      <c r="O22" s="204"/>
      <c r="P22" s="204"/>
      <c r="Q22" s="204"/>
    </row>
    <row r="23" spans="1:17">
      <c r="A23" s="20">
        <v>48</v>
      </c>
      <c r="B23" s="93">
        <v>2036</v>
      </c>
      <c r="C23" s="95">
        <f>【国民年金】!C23+【厚生年金】!C23+【三共済・旧３公社等】!C23+【年金生活者支援給付金】!C24+【恩給】!C23+'【その他（恩給除く）】'!C23</f>
        <v>676009.17801179958</v>
      </c>
      <c r="D23" s="95">
        <f>【国民年金】!D23+【厚生年金】!D23+【三共済・旧３公社等】!D23+【恩給】!D23+'【その他（恩給除く）】'!D23</f>
        <v>509367.73723928165</v>
      </c>
      <c r="E23" s="95">
        <f>【国民年金】!E23+【厚生年金】!E23+【三共済・旧３公社等】!H23+【年金生活者支援給付金】!C24+【恩給】!E23+'【その他（恩給除く）】'!E23</f>
        <v>151068.92403065594</v>
      </c>
      <c r="F23" s="95">
        <f>【厚生年金】!F23+【三共済・旧３公社等】!I23+'【その他（恩給除く）】'!F23</f>
        <v>9714.2920504680897</v>
      </c>
      <c r="G23" s="100">
        <v>750.79513438714298</v>
      </c>
      <c r="N23" s="204"/>
      <c r="O23" s="204"/>
      <c r="P23" s="204"/>
      <c r="Q23" s="204"/>
    </row>
    <row r="24" spans="1:17">
      <c r="A24" s="20">
        <v>49</v>
      </c>
      <c r="B24" s="93">
        <v>2037</v>
      </c>
      <c r="C24" s="95">
        <f>【国民年金】!C24+【厚生年金】!C24+【三共済・旧３公社等】!C24+【年金生活者支援給付金】!C25+【恩給】!C24+'【その他（恩給除く）】'!C24</f>
        <v>690040.18030399422</v>
      </c>
      <c r="D24" s="95">
        <f>【国民年金】!D24+【厚生年金】!D24+【三共済・旧３公社等】!D24+【恩給】!D24+'【その他（恩給除く）】'!D24</f>
        <v>515655.25397654244</v>
      </c>
      <c r="E24" s="95">
        <f>【国民年金】!E24+【厚生年金】!E24+【三共済・旧３公社等】!H24+【年金生活者支援給付金】!C25+【恩給】!E24+'【その他（恩給除く）】'!E24</f>
        <v>153594.89394156638</v>
      </c>
      <c r="F24" s="95">
        <f>【厚生年金】!F24+【三共済・旧３公社等】!I24+'【その他（恩給除く）】'!F24</f>
        <v>9945.2541890026114</v>
      </c>
      <c r="G24" s="100">
        <v>760.55547113417572</v>
      </c>
      <c r="N24" s="204"/>
      <c r="O24" s="204"/>
      <c r="P24" s="204"/>
      <c r="Q24" s="204"/>
    </row>
    <row r="25" spans="1:17">
      <c r="A25" s="20">
        <v>50</v>
      </c>
      <c r="B25" s="93">
        <v>2038</v>
      </c>
      <c r="C25" s="95">
        <f>【国民年金】!C25+【厚生年金】!C25+【三共済・旧３公社等】!C25+【年金生活者支援給付金】!C26+【恩給】!C25+'【その他（恩給除く）】'!C25</f>
        <v>704726.28437374672</v>
      </c>
      <c r="D25" s="95">
        <f>【国民年金】!D25+【厚生年金】!D25+【三共済・旧３公社等】!D25+【恩給】!D25+'【その他（恩給除く）】'!D25</f>
        <v>521749.73201798409</v>
      </c>
      <c r="E25" s="95">
        <f>【国民年金】!E25+【厚生年金】!E25+【三共済・旧３公社等】!H25+【年金生活者支援給付金】!C26+【恩給】!E25+'【その他（恩給除く）】'!E25</f>
        <v>156232.23659039312</v>
      </c>
      <c r="F25" s="95">
        <f>【厚生年金】!F25+【三共済・旧３公社等】!I25+'【その他（恩給除く）】'!F25</f>
        <v>10179.345353802757</v>
      </c>
      <c r="G25" s="100">
        <v>770.44269225891992</v>
      </c>
      <c r="N25" s="204"/>
      <c r="O25" s="204"/>
      <c r="P25" s="204"/>
      <c r="Q25" s="204"/>
    </row>
    <row r="26" spans="1:17">
      <c r="A26" s="20">
        <v>51</v>
      </c>
      <c r="B26" s="93">
        <v>2039</v>
      </c>
      <c r="C26" s="95">
        <f>【国民年金】!C26+【厚生年金】!C26+【三共済・旧３公社等】!C26+【年金生活者支援給付金】!C27+【恩給】!C26+'【その他（恩給除く）】'!C26</f>
        <v>719138.3573637493</v>
      </c>
      <c r="D26" s="95">
        <f>【国民年金】!D26+【厚生年金】!D26+【三共済・旧３公社等】!D26+【恩給】!D26+'【その他（恩給除く）】'!D26</f>
        <v>527834.12904708565</v>
      </c>
      <c r="E26" s="95">
        <f>【国民年金】!E26+【厚生年金】!E26+【三共済・旧３公社等】!H26+【年金生活者支援給付金】!C27+【恩給】!E26+'【その他（恩給除く）】'!E26</f>
        <v>158791.40484173741</v>
      </c>
      <c r="F26" s="95">
        <f>【厚生年金】!F26+【三共済・旧３公社等】!I26+'【その他（恩給除く）】'!F26</f>
        <v>10402.841890885518</v>
      </c>
      <c r="G26" s="100">
        <v>780.45844725828579</v>
      </c>
      <c r="N26" s="204"/>
      <c r="O26" s="204"/>
      <c r="P26" s="204"/>
      <c r="Q26" s="204"/>
    </row>
    <row r="27" spans="1:17">
      <c r="A27" s="32">
        <v>52</v>
      </c>
      <c r="B27" s="101">
        <v>2040</v>
      </c>
      <c r="C27" s="102">
        <f>【国民年金】!C27+【厚生年金】!C27+【三共済・旧３公社等】!C27+【年金生活者支援給付金】!C28+【恩給】!C27+'【その他（恩給除く）】'!C27</f>
        <v>732189.02364894259</v>
      </c>
      <c r="D27" s="102">
        <f>【国民年金】!D27+【厚生年金】!D27+【三共済・旧３公社等】!D27+【恩給】!D27+'【その他（恩給除く）】'!D27</f>
        <v>534059.65586437879</v>
      </c>
      <c r="E27" s="102">
        <f>【国民年金】!E27+【厚生年金】!E27+【三共済・旧３公社等】!H27+【年金生活者支援給付金】!C28+【恩給】!E27+'【その他（恩給除く）】'!E27</f>
        <v>161020.03721778438</v>
      </c>
      <c r="F27" s="102">
        <f>【厚生年金】!F27+【三共済・旧３公社等】!I27+'【その他（恩給除く）】'!F27</f>
        <v>10597.571938839705</v>
      </c>
      <c r="G27" s="104">
        <v>790.60440707264343</v>
      </c>
      <c r="N27" s="204"/>
      <c r="O27" s="204"/>
      <c r="P27" s="204"/>
      <c r="Q27" s="204"/>
    </row>
  </sheetData>
  <phoneticPr fontId="1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V43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7" width="9" style="34"/>
    <col min="8" max="9" width="10.5" style="34" customWidth="1"/>
    <col min="10" max="10" width="1.875" style="34" customWidth="1"/>
    <col min="11" max="12" width="9" style="34"/>
    <col min="13" max="14" width="9.375" style="34" customWidth="1"/>
    <col min="15" max="15" width="0.875" style="34" customWidth="1"/>
    <col min="16" max="20" width="9" style="34"/>
    <col min="21" max="21" width="2.25" style="34" customWidth="1"/>
    <col min="22" max="16384" width="9" style="34"/>
  </cols>
  <sheetData>
    <row r="1" spans="1:22">
      <c r="A1" s="34" t="s">
        <v>36</v>
      </c>
      <c r="P1" s="209"/>
      <c r="Q1" s="209"/>
    </row>
    <row r="2" spans="1:22">
      <c r="B2" s="34" t="s">
        <v>67</v>
      </c>
      <c r="H2" s="34" t="s">
        <v>176</v>
      </c>
      <c r="K2" s="34" t="s">
        <v>153</v>
      </c>
      <c r="P2" s="209" t="s">
        <v>70</v>
      </c>
      <c r="Q2" s="209"/>
      <c r="R2" s="209"/>
      <c r="S2" s="209"/>
    </row>
    <row r="3" spans="1:22">
      <c r="B3" s="34" t="s">
        <v>89</v>
      </c>
      <c r="D3" s="34" t="s">
        <v>170</v>
      </c>
      <c r="F3" s="209" t="s">
        <v>83</v>
      </c>
      <c r="G3" s="209"/>
      <c r="H3" s="34" t="s">
        <v>170</v>
      </c>
      <c r="K3" s="34" t="s">
        <v>89</v>
      </c>
      <c r="M3" s="34" t="s">
        <v>170</v>
      </c>
      <c r="P3" s="209" t="s">
        <v>71</v>
      </c>
      <c r="Q3" s="209"/>
      <c r="R3" s="209" t="s">
        <v>170</v>
      </c>
      <c r="S3" s="209"/>
      <c r="T3" s="49" t="s">
        <v>95</v>
      </c>
      <c r="V3" s="34" t="s">
        <v>95</v>
      </c>
    </row>
    <row r="4" spans="1:22">
      <c r="B4" s="50" t="s">
        <v>81</v>
      </c>
      <c r="C4" s="49" t="s">
        <v>1</v>
      </c>
      <c r="D4" s="50" t="s">
        <v>81</v>
      </c>
      <c r="E4" s="49" t="s">
        <v>1</v>
      </c>
      <c r="F4" s="49" t="s">
        <v>82</v>
      </c>
      <c r="G4" s="49" t="s">
        <v>68</v>
      </c>
      <c r="H4" s="50" t="s">
        <v>84</v>
      </c>
      <c r="I4" s="49" t="s">
        <v>1</v>
      </c>
      <c r="J4" s="49"/>
      <c r="K4" s="50" t="s">
        <v>81</v>
      </c>
      <c r="L4" s="49" t="s">
        <v>1</v>
      </c>
      <c r="M4" s="50" t="s">
        <v>81</v>
      </c>
      <c r="N4" s="49" t="s">
        <v>1</v>
      </c>
      <c r="O4" s="49"/>
      <c r="P4" s="49" t="s">
        <v>73</v>
      </c>
      <c r="Q4" s="49" t="s">
        <v>1</v>
      </c>
      <c r="R4" s="49" t="s">
        <v>73</v>
      </c>
      <c r="S4" s="49" t="s">
        <v>1</v>
      </c>
      <c r="V4" s="34" t="s">
        <v>79</v>
      </c>
    </row>
    <row r="5" spans="1:22">
      <c r="A5" s="34">
        <v>2007</v>
      </c>
      <c r="B5" s="163">
        <f>経済前提!G5</f>
        <v>0</v>
      </c>
      <c r="C5" s="163">
        <f>経済前提!H5</f>
        <v>0</v>
      </c>
      <c r="D5" s="163">
        <f>経済前提!G46</f>
        <v>0</v>
      </c>
      <c r="E5" s="163">
        <f>経済前提!H46</f>
        <v>0</v>
      </c>
      <c r="F5" s="163"/>
      <c r="G5" s="163"/>
      <c r="H5" s="163">
        <f t="shared" ref="H5" si="0">D5-$G5</f>
        <v>0</v>
      </c>
      <c r="I5" s="163">
        <f t="shared" ref="I5" si="1">E5-$G5</f>
        <v>0</v>
      </c>
      <c r="J5" s="163"/>
      <c r="K5" s="163">
        <v>1</v>
      </c>
      <c r="L5" s="163">
        <v>1</v>
      </c>
      <c r="M5" s="163">
        <v>1</v>
      </c>
      <c r="N5" s="163">
        <v>1</v>
      </c>
      <c r="O5" s="163"/>
      <c r="P5" s="163"/>
      <c r="Q5" s="163"/>
      <c r="R5" s="163"/>
      <c r="S5" s="163"/>
      <c r="T5" s="163"/>
      <c r="U5" s="163"/>
      <c r="V5" s="163"/>
    </row>
    <row r="6" spans="1:22">
      <c r="A6" s="34">
        <f>A5+1</f>
        <v>2008</v>
      </c>
      <c r="B6" s="163">
        <f>経済前提!G6</f>
        <v>0</v>
      </c>
      <c r="C6" s="163">
        <f>経済前提!H6</f>
        <v>0</v>
      </c>
      <c r="D6" s="163">
        <f>経済前提!G47</f>
        <v>0</v>
      </c>
      <c r="E6" s="163">
        <f>経済前提!H47</f>
        <v>0</v>
      </c>
      <c r="F6" s="163"/>
      <c r="G6" s="163"/>
      <c r="H6" s="163">
        <f t="shared" ref="H6:H38" si="2">D6-$G6</f>
        <v>0</v>
      </c>
      <c r="I6" s="163">
        <f t="shared" ref="I6:I38" si="3">E6-$G6</f>
        <v>0</v>
      </c>
      <c r="J6" s="163"/>
      <c r="K6" s="163">
        <f t="shared" ref="K6:N12" si="4">K5*(1+B6/100)</f>
        <v>1</v>
      </c>
      <c r="L6" s="163">
        <f t="shared" si="4"/>
        <v>1</v>
      </c>
      <c r="M6" s="163">
        <f t="shared" si="4"/>
        <v>1</v>
      </c>
      <c r="N6" s="163">
        <f t="shared" si="4"/>
        <v>1</v>
      </c>
      <c r="O6" s="163"/>
      <c r="P6" s="163"/>
      <c r="Q6" s="163"/>
      <c r="R6" s="163"/>
      <c r="S6" s="163"/>
      <c r="T6" s="163"/>
      <c r="U6" s="163"/>
      <c r="V6" s="163"/>
    </row>
    <row r="7" spans="1:22">
      <c r="A7" s="34">
        <f t="shared" ref="A7:A38" si="5">A6+1</f>
        <v>2009</v>
      </c>
      <c r="B7" s="163">
        <f>経済前提!G7</f>
        <v>0</v>
      </c>
      <c r="C7" s="163">
        <f>経済前提!H7</f>
        <v>0</v>
      </c>
      <c r="D7" s="163">
        <f>経済前提!G48</f>
        <v>0</v>
      </c>
      <c r="E7" s="163">
        <f>経済前提!H48</f>
        <v>0</v>
      </c>
      <c r="F7" s="163"/>
      <c r="G7" s="163"/>
      <c r="H7" s="163">
        <f t="shared" si="2"/>
        <v>0</v>
      </c>
      <c r="I7" s="163">
        <f t="shared" si="3"/>
        <v>0</v>
      </c>
      <c r="J7" s="163"/>
      <c r="K7" s="163">
        <f t="shared" si="4"/>
        <v>1</v>
      </c>
      <c r="L7" s="163">
        <f t="shared" si="4"/>
        <v>1</v>
      </c>
      <c r="M7" s="163">
        <f t="shared" si="4"/>
        <v>1</v>
      </c>
      <c r="N7" s="163">
        <f t="shared" si="4"/>
        <v>1</v>
      </c>
      <c r="O7" s="163"/>
      <c r="P7" s="163"/>
      <c r="Q7" s="163"/>
      <c r="R7" s="163"/>
      <c r="S7" s="163"/>
      <c r="T7" s="163"/>
      <c r="U7" s="163"/>
      <c r="V7" s="163"/>
    </row>
    <row r="8" spans="1:22">
      <c r="A8" s="34">
        <f t="shared" si="5"/>
        <v>2010</v>
      </c>
      <c r="B8" s="163">
        <f>経済前提!G8</f>
        <v>0</v>
      </c>
      <c r="C8" s="163">
        <f>経済前提!H8</f>
        <v>0</v>
      </c>
      <c r="D8" s="163">
        <f>経済前提!G49</f>
        <v>0</v>
      </c>
      <c r="E8" s="163">
        <f>経済前提!H49</f>
        <v>0</v>
      </c>
      <c r="F8" s="163"/>
      <c r="G8" s="163"/>
      <c r="H8" s="163">
        <f t="shared" si="2"/>
        <v>0</v>
      </c>
      <c r="I8" s="163">
        <f t="shared" si="3"/>
        <v>0</v>
      </c>
      <c r="J8" s="163"/>
      <c r="K8" s="163">
        <f t="shared" si="4"/>
        <v>1</v>
      </c>
      <c r="L8" s="163">
        <f t="shared" si="4"/>
        <v>1</v>
      </c>
      <c r="M8" s="163">
        <f t="shared" si="4"/>
        <v>1</v>
      </c>
      <c r="N8" s="163">
        <f t="shared" si="4"/>
        <v>1</v>
      </c>
      <c r="O8" s="163"/>
      <c r="P8" s="163"/>
      <c r="Q8" s="163"/>
      <c r="R8" s="163"/>
      <c r="S8" s="163"/>
      <c r="T8" s="163"/>
      <c r="U8" s="163"/>
      <c r="V8" s="163"/>
    </row>
    <row r="9" spans="1:22">
      <c r="A9" s="34">
        <f t="shared" si="5"/>
        <v>2011</v>
      </c>
      <c r="B9" s="163">
        <f>経済前提!G9</f>
        <v>0</v>
      </c>
      <c r="C9" s="163">
        <f>経済前提!H9</f>
        <v>0</v>
      </c>
      <c r="D9" s="163">
        <f>経済前提!G50</f>
        <v>0</v>
      </c>
      <c r="E9" s="163">
        <f>経済前提!H50</f>
        <v>0</v>
      </c>
      <c r="F9" s="163"/>
      <c r="G9" s="163"/>
      <c r="H9" s="163">
        <f t="shared" si="2"/>
        <v>0</v>
      </c>
      <c r="I9" s="163">
        <f t="shared" si="3"/>
        <v>0</v>
      </c>
      <c r="J9" s="163"/>
      <c r="K9" s="163">
        <f t="shared" si="4"/>
        <v>1</v>
      </c>
      <c r="L9" s="163">
        <f t="shared" si="4"/>
        <v>1</v>
      </c>
      <c r="M9" s="163">
        <f t="shared" si="4"/>
        <v>1</v>
      </c>
      <c r="N9" s="163">
        <f t="shared" si="4"/>
        <v>1</v>
      </c>
      <c r="O9" s="163"/>
      <c r="P9" s="163"/>
      <c r="Q9" s="163"/>
      <c r="R9" s="163"/>
      <c r="S9" s="163"/>
      <c r="T9" s="163"/>
      <c r="U9" s="163"/>
      <c r="V9" s="163"/>
    </row>
    <row r="10" spans="1:22">
      <c r="A10" s="34">
        <f t="shared" si="5"/>
        <v>2012</v>
      </c>
      <c r="B10" s="163">
        <f>経済前提!G10</f>
        <v>0</v>
      </c>
      <c r="C10" s="163">
        <f>経済前提!H10</f>
        <v>0</v>
      </c>
      <c r="D10" s="163">
        <f>経済前提!G51</f>
        <v>0</v>
      </c>
      <c r="E10" s="163">
        <f>経済前提!H51</f>
        <v>0</v>
      </c>
      <c r="F10" s="163"/>
      <c r="G10" s="163"/>
      <c r="H10" s="163">
        <f t="shared" si="2"/>
        <v>0</v>
      </c>
      <c r="I10" s="163">
        <f t="shared" si="3"/>
        <v>0</v>
      </c>
      <c r="J10" s="163"/>
      <c r="K10" s="163">
        <f t="shared" si="4"/>
        <v>1</v>
      </c>
      <c r="L10" s="163">
        <f t="shared" si="4"/>
        <v>1</v>
      </c>
      <c r="M10" s="163">
        <f t="shared" si="4"/>
        <v>1</v>
      </c>
      <c r="N10" s="163">
        <f t="shared" si="4"/>
        <v>1</v>
      </c>
      <c r="O10" s="163"/>
      <c r="P10" s="206">
        <f t="shared" ref="P10:P38" si="6">K10/K9</f>
        <v>1</v>
      </c>
      <c r="Q10" s="206">
        <f t="shared" ref="Q10:Q38" si="7">L10/L9</f>
        <v>1</v>
      </c>
      <c r="R10" s="206">
        <f t="shared" ref="R10:R38" si="8">M10/M9</f>
        <v>1</v>
      </c>
      <c r="S10" s="206">
        <f t="shared" ref="S10:S38" si="9">N10/N9</f>
        <v>1</v>
      </c>
      <c r="T10" s="46">
        <v>1.0029187129033932</v>
      </c>
      <c r="U10" s="163"/>
      <c r="V10" s="163"/>
    </row>
    <row r="11" spans="1:22">
      <c r="A11" s="34">
        <f t="shared" si="5"/>
        <v>2013</v>
      </c>
      <c r="B11" s="163">
        <f>経済前提!G11</f>
        <v>0</v>
      </c>
      <c r="C11" s="163">
        <f>経済前提!H11</f>
        <v>0</v>
      </c>
      <c r="D11" s="163">
        <f>経済前提!G52</f>
        <v>0</v>
      </c>
      <c r="E11" s="163">
        <f>経済前提!H52</f>
        <v>0</v>
      </c>
      <c r="F11" s="163"/>
      <c r="G11" s="163"/>
      <c r="H11" s="163">
        <f t="shared" si="2"/>
        <v>0</v>
      </c>
      <c r="I11" s="163">
        <f t="shared" si="3"/>
        <v>0</v>
      </c>
      <c r="J11" s="163"/>
      <c r="K11" s="163">
        <f t="shared" si="4"/>
        <v>1</v>
      </c>
      <c r="L11" s="163">
        <f t="shared" si="4"/>
        <v>1</v>
      </c>
      <c r="M11" s="163">
        <f t="shared" si="4"/>
        <v>1</v>
      </c>
      <c r="N11" s="163">
        <f t="shared" si="4"/>
        <v>1</v>
      </c>
      <c r="O11" s="163"/>
      <c r="P11" s="206">
        <f t="shared" si="6"/>
        <v>1</v>
      </c>
      <c r="Q11" s="206">
        <f t="shared" si="7"/>
        <v>1</v>
      </c>
      <c r="R11" s="206">
        <f t="shared" si="8"/>
        <v>1</v>
      </c>
      <c r="S11" s="206">
        <f t="shared" si="9"/>
        <v>1</v>
      </c>
      <c r="T11" s="46">
        <v>1.0029187129033932</v>
      </c>
      <c r="U11" s="163"/>
      <c r="V11" s="164"/>
    </row>
    <row r="12" spans="1:22">
      <c r="A12" s="34">
        <f t="shared" si="5"/>
        <v>2014</v>
      </c>
      <c r="B12" s="163">
        <f>経済前提!G12</f>
        <v>0</v>
      </c>
      <c r="C12" s="163">
        <f>経済前提!H12</f>
        <v>0</v>
      </c>
      <c r="D12" s="163">
        <f>経済前提!G53</f>
        <v>0</v>
      </c>
      <c r="E12" s="163">
        <f>経済前提!H53</f>
        <v>0</v>
      </c>
      <c r="F12" s="163"/>
      <c r="G12" s="163"/>
      <c r="H12" s="163">
        <f t="shared" si="2"/>
        <v>0</v>
      </c>
      <c r="I12" s="163">
        <f t="shared" si="3"/>
        <v>0</v>
      </c>
      <c r="J12" s="163"/>
      <c r="K12" s="163">
        <f t="shared" si="4"/>
        <v>1</v>
      </c>
      <c r="L12" s="163">
        <f t="shared" si="4"/>
        <v>1</v>
      </c>
      <c r="M12" s="163">
        <f t="shared" si="4"/>
        <v>1</v>
      </c>
      <c r="N12" s="163">
        <f t="shared" si="4"/>
        <v>1</v>
      </c>
      <c r="O12" s="163"/>
      <c r="P12" s="206">
        <f t="shared" si="6"/>
        <v>1</v>
      </c>
      <c r="Q12" s="206">
        <f t="shared" si="7"/>
        <v>1</v>
      </c>
      <c r="R12" s="206">
        <f t="shared" si="8"/>
        <v>1</v>
      </c>
      <c r="S12" s="206">
        <f t="shared" si="9"/>
        <v>1</v>
      </c>
      <c r="T12" s="46">
        <v>1.0029187129033932</v>
      </c>
      <c r="U12" s="163"/>
      <c r="V12" s="164"/>
    </row>
    <row r="13" spans="1:22">
      <c r="A13" s="34">
        <f t="shared" si="5"/>
        <v>2015</v>
      </c>
      <c r="B13" s="163">
        <f>経済前提!G13</f>
        <v>0</v>
      </c>
      <c r="C13" s="163">
        <f>経済前提!H13</f>
        <v>0</v>
      </c>
      <c r="D13" s="163">
        <f>経済前提!G54</f>
        <v>0</v>
      </c>
      <c r="E13" s="163">
        <f>経済前提!H54</f>
        <v>0</v>
      </c>
      <c r="F13" s="163">
        <f>経済前提!M13</f>
        <v>1.08</v>
      </c>
      <c r="G13" s="163">
        <f>経済前提!N13</f>
        <v>0.90120092312293532</v>
      </c>
      <c r="H13" s="163">
        <f t="shared" si="2"/>
        <v>-0.90120092312293532</v>
      </c>
      <c r="I13" s="163">
        <f t="shared" si="3"/>
        <v>-0.90120092312293532</v>
      </c>
      <c r="J13" s="163"/>
      <c r="K13" s="163">
        <f t="shared" ref="K13:K38" si="10">K12*(1+MAX(0,(B13-$F13))/100)</f>
        <v>1</v>
      </c>
      <c r="L13" s="163">
        <f t="shared" ref="L13:L38" si="11">L12*(1+MAX(0,(C13-$F13))/100)</f>
        <v>1</v>
      </c>
      <c r="M13" s="163">
        <f>M12*(1+MAX(0,(D13-$G13))/100)</f>
        <v>1</v>
      </c>
      <c r="N13" s="163">
        <f>N12*(1+E13/100)</f>
        <v>1</v>
      </c>
      <c r="O13" s="163"/>
      <c r="P13" s="206">
        <f t="shared" si="6"/>
        <v>1</v>
      </c>
      <c r="Q13" s="206">
        <f t="shared" si="7"/>
        <v>1</v>
      </c>
      <c r="R13" s="206">
        <f t="shared" si="8"/>
        <v>1</v>
      </c>
      <c r="S13" s="206">
        <f t="shared" si="9"/>
        <v>1</v>
      </c>
      <c r="T13" s="46">
        <v>1.0029187129033932</v>
      </c>
      <c r="U13" s="163"/>
      <c r="V13" s="164"/>
    </row>
    <row r="14" spans="1:22">
      <c r="A14" s="34">
        <f t="shared" si="5"/>
        <v>2016</v>
      </c>
      <c r="B14" s="163">
        <f>経済前提!G14</f>
        <v>1.3715794190489961</v>
      </c>
      <c r="C14" s="163">
        <f>経済前提!H14</f>
        <v>1.3715794190489961</v>
      </c>
      <c r="D14" s="163">
        <f>経済前提!G55</f>
        <v>0</v>
      </c>
      <c r="E14" s="163">
        <f>経済前提!H55</f>
        <v>0</v>
      </c>
      <c r="F14" s="163">
        <f>経済前提!M14</f>
        <v>1.18</v>
      </c>
      <c r="G14" s="163">
        <f>経済前提!N14</f>
        <v>0.73335596598308439</v>
      </c>
      <c r="H14" s="163">
        <f t="shared" si="2"/>
        <v>-0.73335596598308439</v>
      </c>
      <c r="I14" s="163">
        <f t="shared" si="3"/>
        <v>-0.73335596598308439</v>
      </c>
      <c r="J14" s="163"/>
      <c r="K14" s="163">
        <f t="shared" si="10"/>
        <v>1.0019157941904899</v>
      </c>
      <c r="L14" s="163">
        <f t="shared" si="11"/>
        <v>1.0019157941904899</v>
      </c>
      <c r="M14" s="163">
        <f>M13*(1+MAX(0,(D14-$G14))/100)</f>
        <v>1</v>
      </c>
      <c r="N14" s="163">
        <f>N13*(1+MAX(0,(E14-$G14))/100)</f>
        <v>1</v>
      </c>
      <c r="O14" s="163"/>
      <c r="P14" s="206">
        <f t="shared" si="6"/>
        <v>1.0019157941904899</v>
      </c>
      <c r="Q14" s="206">
        <f t="shared" si="7"/>
        <v>1.0019157941904899</v>
      </c>
      <c r="R14" s="206">
        <f t="shared" si="8"/>
        <v>1</v>
      </c>
      <c r="S14" s="206">
        <f t="shared" si="9"/>
        <v>1</v>
      </c>
      <c r="T14" s="46">
        <v>1.0010010010010015</v>
      </c>
      <c r="U14" s="163"/>
      <c r="V14" s="164"/>
    </row>
    <row r="15" spans="1:22">
      <c r="A15" s="34">
        <f t="shared" si="5"/>
        <v>2017</v>
      </c>
      <c r="B15" s="163">
        <f>経済前提!G15</f>
        <v>0.96050246905223791</v>
      </c>
      <c r="C15" s="163">
        <f>経済前提!H15</f>
        <v>0.96050246905223791</v>
      </c>
      <c r="D15" s="163">
        <f>経済前提!G56</f>
        <v>-0.1</v>
      </c>
      <c r="E15" s="163">
        <f>経済前提!H56</f>
        <v>-0.1</v>
      </c>
      <c r="F15" s="163">
        <f>経済前提!M15</f>
        <v>1.21</v>
      </c>
      <c r="G15" s="163">
        <f>経済前提!N15</f>
        <v>0.53273982819750354</v>
      </c>
      <c r="H15" s="163">
        <f t="shared" si="2"/>
        <v>-0.63273982819750352</v>
      </c>
      <c r="I15" s="163">
        <f t="shared" si="3"/>
        <v>-0.63273982819750352</v>
      </c>
      <c r="J15" s="163"/>
      <c r="K15" s="163">
        <f t="shared" si="10"/>
        <v>1.0019157941904899</v>
      </c>
      <c r="L15" s="163">
        <f t="shared" si="11"/>
        <v>1.0019157941904899</v>
      </c>
      <c r="M15" s="163">
        <f>1+D15/100</f>
        <v>0.999</v>
      </c>
      <c r="N15" s="163">
        <f>1+E15/100</f>
        <v>0.999</v>
      </c>
      <c r="O15" s="163"/>
      <c r="P15" s="206">
        <f t="shared" si="6"/>
        <v>1</v>
      </c>
      <c r="Q15" s="206">
        <f t="shared" si="7"/>
        <v>1</v>
      </c>
      <c r="R15" s="206">
        <f t="shared" si="8"/>
        <v>0.999</v>
      </c>
      <c r="S15" s="206">
        <f t="shared" si="9"/>
        <v>0.999</v>
      </c>
      <c r="T15" s="46">
        <v>0.99999999999999978</v>
      </c>
      <c r="U15" s="163"/>
      <c r="V15" s="164"/>
    </row>
    <row r="16" spans="1:22">
      <c r="A16" s="34">
        <f t="shared" si="5"/>
        <v>2018</v>
      </c>
      <c r="B16" s="163">
        <f>経済前提!G16</f>
        <v>0.52142451826047154</v>
      </c>
      <c r="C16" s="163">
        <f>経済前提!H16</f>
        <v>0.52142451826047154</v>
      </c>
      <c r="D16" s="163">
        <f>経済前提!G57</f>
        <v>0</v>
      </c>
      <c r="E16" s="163">
        <f>経済前提!H57</f>
        <v>0</v>
      </c>
      <c r="F16" s="163">
        <f>経済前提!M16</f>
        <v>1.1200000000000001</v>
      </c>
      <c r="G16" s="163">
        <f>経済前提!N16</f>
        <v>0.32214019848313374</v>
      </c>
      <c r="H16" s="163">
        <f t="shared" si="2"/>
        <v>-0.32214019848313374</v>
      </c>
      <c r="I16" s="163">
        <f t="shared" si="3"/>
        <v>-0.32214019848313374</v>
      </c>
      <c r="J16" s="163"/>
      <c r="K16" s="163">
        <f t="shared" si="10"/>
        <v>1.0019157941904899</v>
      </c>
      <c r="L16" s="163">
        <f t="shared" si="11"/>
        <v>1.0019157941904899</v>
      </c>
      <c r="M16" s="163">
        <f>M15*(1+MAX(0,H16)/100)</f>
        <v>0.999</v>
      </c>
      <c r="N16" s="163">
        <f>N15*(1+MAX(0,I16)/100)</f>
        <v>0.999</v>
      </c>
      <c r="O16" s="163"/>
      <c r="P16" s="206">
        <f t="shared" si="6"/>
        <v>1</v>
      </c>
      <c r="Q16" s="206">
        <f t="shared" si="7"/>
        <v>1</v>
      </c>
      <c r="R16" s="206">
        <f t="shared" si="8"/>
        <v>1</v>
      </c>
      <c r="S16" s="206">
        <f t="shared" si="9"/>
        <v>1</v>
      </c>
      <c r="T16" s="46">
        <v>0.99999999999999989</v>
      </c>
      <c r="U16" s="163"/>
      <c r="V16" s="205">
        <f>T16</f>
        <v>0.99999999999999989</v>
      </c>
    </row>
    <row r="17" spans="1:22">
      <c r="A17" s="34">
        <f t="shared" si="5"/>
        <v>2019</v>
      </c>
      <c r="B17" s="163">
        <f>経済前提!G17</f>
        <v>1.3313954382472959</v>
      </c>
      <c r="C17" s="163">
        <f>経済前提!H17</f>
        <v>1.2</v>
      </c>
      <c r="D17" s="163">
        <f>経済前提!G58</f>
        <v>0.64211797618338728</v>
      </c>
      <c r="E17" s="163">
        <f>経済前提!H58</f>
        <v>0.64211797618338728</v>
      </c>
      <c r="F17" s="163">
        <f>経済前提!M17</f>
        <v>0.98</v>
      </c>
      <c r="G17" s="163">
        <f>経済前提!N17</f>
        <v>0.44415913909375798</v>
      </c>
      <c r="H17" s="163">
        <f t="shared" si="2"/>
        <v>0.1979588370896293</v>
      </c>
      <c r="I17" s="163">
        <f t="shared" si="3"/>
        <v>0.1979588370896293</v>
      </c>
      <c r="J17" s="163"/>
      <c r="K17" s="163">
        <f t="shared" si="10"/>
        <v>1.0054364805863545</v>
      </c>
      <c r="L17" s="163">
        <f t="shared" si="11"/>
        <v>1.0041200089377089</v>
      </c>
      <c r="M17" s="163">
        <f>M16*(1+MAX(0,SUM(H16:H17)/100))</f>
        <v>0.999</v>
      </c>
      <c r="N17" s="163">
        <f>N16*(1+MAX(0,SUM(I16:I17))/100)</f>
        <v>0.999</v>
      </c>
      <c r="O17" s="163"/>
      <c r="P17" s="206">
        <f t="shared" si="6"/>
        <v>1.0035139543824729</v>
      </c>
      <c r="Q17" s="206">
        <f t="shared" si="7"/>
        <v>1.0022</v>
      </c>
      <c r="R17" s="206">
        <f t="shared" si="8"/>
        <v>1</v>
      </c>
      <c r="S17" s="206">
        <f t="shared" si="9"/>
        <v>1</v>
      </c>
      <c r="T17" s="46">
        <v>0.99753525725056635</v>
      </c>
      <c r="U17" s="163"/>
      <c r="V17" s="205">
        <f>T17*(1+人口等補正!D12)</f>
        <v>0.99831585582687565</v>
      </c>
    </row>
    <row r="18" spans="1:22">
      <c r="A18" s="34">
        <f t="shared" si="5"/>
        <v>2020</v>
      </c>
      <c r="B18" s="163">
        <f>経済前提!G18</f>
        <v>2.2196328028567303</v>
      </c>
      <c r="C18" s="163">
        <f>経済前提!H18</f>
        <v>1.2</v>
      </c>
      <c r="D18" s="163">
        <f>経済前提!G59</f>
        <v>1.7778012403295129</v>
      </c>
      <c r="E18" s="163">
        <f>経済前提!H59</f>
        <v>1.6</v>
      </c>
      <c r="F18" s="163">
        <f>経済前提!M18</f>
        <v>0.96</v>
      </c>
      <c r="G18" s="163">
        <f>経済前提!N18</f>
        <v>0.59995926211425776</v>
      </c>
      <c r="H18" s="163">
        <f t="shared" si="2"/>
        <v>1.1778419782152552</v>
      </c>
      <c r="I18" s="163">
        <f t="shared" si="3"/>
        <v>1.0000407378857423</v>
      </c>
      <c r="J18" s="163"/>
      <c r="K18" s="163">
        <f t="shared" si="10"/>
        <v>1.0181012883077083</v>
      </c>
      <c r="L18" s="163">
        <f t="shared" si="11"/>
        <v>1.0065298969591594</v>
      </c>
      <c r="M18" s="163">
        <f>M17*(1+MAX(0,SUM(H16:H18))/100)</f>
        <v>1.0095260695620494</v>
      </c>
      <c r="N18" s="163">
        <f>N17*(1+MAX(0,SUM(I16:I18))/100)</f>
        <v>1.0077498351711576</v>
      </c>
      <c r="O18" s="163"/>
      <c r="P18" s="206">
        <f t="shared" si="6"/>
        <v>1.0125963280285672</v>
      </c>
      <c r="Q18" s="206">
        <f t="shared" si="7"/>
        <v>1.0024</v>
      </c>
      <c r="R18" s="206">
        <f t="shared" si="8"/>
        <v>1.0105366061682175</v>
      </c>
      <c r="S18" s="206">
        <f t="shared" si="9"/>
        <v>1.0087585937649224</v>
      </c>
      <c r="T18" s="46">
        <v>1.0021285501079009</v>
      </c>
      <c r="U18" s="163"/>
      <c r="V18" s="205">
        <f>T18*(1+人口等補正!D13)</f>
        <v>1.0037190691203539</v>
      </c>
    </row>
    <row r="19" spans="1:22">
      <c r="A19" s="34">
        <f t="shared" si="5"/>
        <v>2021</v>
      </c>
      <c r="B19" s="163">
        <f>経済前提!G19</f>
        <v>2.6956965764806329</v>
      </c>
      <c r="C19" s="163">
        <f>経済前提!H19</f>
        <v>1.2</v>
      </c>
      <c r="D19" s="163">
        <f>経済前提!G60</f>
        <v>2.2012550076606185</v>
      </c>
      <c r="E19" s="163">
        <f>経済前提!H60</f>
        <v>1.7</v>
      </c>
      <c r="F19" s="163">
        <f>経済前提!M19</f>
        <v>0.97</v>
      </c>
      <c r="G19" s="163">
        <f>経済前提!N19</f>
        <v>0.83254515052868483</v>
      </c>
      <c r="H19" s="163">
        <f t="shared" si="2"/>
        <v>1.3687098571319338</v>
      </c>
      <c r="I19" s="163">
        <f t="shared" si="3"/>
        <v>0.86745484947131513</v>
      </c>
      <c r="J19" s="163"/>
      <c r="K19" s="163">
        <f t="shared" si="10"/>
        <v>1.0356706273851395</v>
      </c>
      <c r="L19" s="163">
        <f t="shared" si="11"/>
        <v>1.0088449157221655</v>
      </c>
      <c r="M19" s="163">
        <f t="shared" ref="M19:M38" si="12">M18*(1+MAX(0,H19)/100)</f>
        <v>1.0233435523864618</v>
      </c>
      <c r="N19" s="163">
        <f t="shared" ref="N19:N38" si="13">N18*(1+MAX(0,I19)/100)</f>
        <v>1.0164916099868888</v>
      </c>
      <c r="O19" s="163"/>
      <c r="P19" s="206">
        <f t="shared" si="6"/>
        <v>1.0172569657648063</v>
      </c>
      <c r="Q19" s="206">
        <f t="shared" si="7"/>
        <v>1.0023</v>
      </c>
      <c r="R19" s="206">
        <f t="shared" si="8"/>
        <v>1.0136870985713193</v>
      </c>
      <c r="S19" s="206">
        <f t="shared" si="9"/>
        <v>1.0086745484947131</v>
      </c>
      <c r="T19" s="46">
        <v>1.0061799828035842</v>
      </c>
      <c r="U19" s="163"/>
      <c r="V19" s="205">
        <f>T19*(1+人口等補正!D14)</f>
        <v>1.0085577144382407</v>
      </c>
    </row>
    <row r="20" spans="1:22">
      <c r="A20" s="34">
        <f t="shared" si="5"/>
        <v>2022</v>
      </c>
      <c r="B20" s="163">
        <f>経済前提!G20</f>
        <v>2.6899873427506105</v>
      </c>
      <c r="C20" s="163">
        <f>経済前提!H20</f>
        <v>1.2</v>
      </c>
      <c r="D20" s="163">
        <f>経済前提!G61</f>
        <v>1.9658402195453561</v>
      </c>
      <c r="E20" s="163">
        <f>経済前提!H61</f>
        <v>1.3</v>
      </c>
      <c r="F20" s="163">
        <f>経済前提!M20</f>
        <v>0.97</v>
      </c>
      <c r="G20" s="163">
        <f>経済前提!N20</f>
        <v>0.80787899582217515</v>
      </c>
      <c r="H20" s="163">
        <f t="shared" si="2"/>
        <v>1.1579612237231811</v>
      </c>
      <c r="I20" s="163">
        <f t="shared" si="3"/>
        <v>0.49212100417782489</v>
      </c>
      <c r="J20" s="163"/>
      <c r="K20" s="163">
        <f t="shared" si="10"/>
        <v>1.0534840310887497</v>
      </c>
      <c r="L20" s="163">
        <f t="shared" si="11"/>
        <v>1.0111652590283264</v>
      </c>
      <c r="M20" s="163">
        <f t="shared" si="12"/>
        <v>1.0351934739085684</v>
      </c>
      <c r="N20" s="163">
        <f t="shared" si="13"/>
        <v>1.0214939787053394</v>
      </c>
      <c r="O20" s="163"/>
      <c r="P20" s="206">
        <f t="shared" si="6"/>
        <v>1.0171998734275061</v>
      </c>
      <c r="Q20" s="206">
        <f t="shared" si="7"/>
        <v>1.0023</v>
      </c>
      <c r="R20" s="206">
        <f t="shared" si="8"/>
        <v>1.0115796122372318</v>
      </c>
      <c r="S20" s="206">
        <f t="shared" si="9"/>
        <v>1.0049212100417781</v>
      </c>
      <c r="T20" s="46">
        <v>1.0064807323453142</v>
      </c>
      <c r="U20" s="163"/>
      <c r="V20" s="205">
        <f>T20*(1+人口等補正!D15)</f>
        <v>1.0095622093910239</v>
      </c>
    </row>
    <row r="21" spans="1:22">
      <c r="A21" s="34">
        <f t="shared" si="5"/>
        <v>2023</v>
      </c>
      <c r="B21" s="163">
        <f>経済前提!G21</f>
        <v>2.5899580690970758</v>
      </c>
      <c r="C21" s="163">
        <f>経済前提!H21</f>
        <v>1.2</v>
      </c>
      <c r="D21" s="163">
        <f>経済前提!G62</f>
        <v>1.7305671399715061</v>
      </c>
      <c r="E21" s="163">
        <f>経済前提!H62</f>
        <v>1.1000000000000001</v>
      </c>
      <c r="F21" s="163">
        <f>経済前提!M21</f>
        <v>0.95</v>
      </c>
      <c r="G21" s="163">
        <f>経済前提!N21</f>
        <v>0.80078405108235906</v>
      </c>
      <c r="H21" s="163">
        <f t="shared" si="2"/>
        <v>0.92978308888914707</v>
      </c>
      <c r="I21" s="163">
        <f t="shared" si="3"/>
        <v>0.29921594891764103</v>
      </c>
      <c r="J21" s="163"/>
      <c r="K21" s="163">
        <f t="shared" si="10"/>
        <v>1.0707607274632387</v>
      </c>
      <c r="L21" s="163">
        <f t="shared" si="11"/>
        <v>1.0136931721758973</v>
      </c>
      <c r="M21" s="163">
        <f t="shared" si="12"/>
        <v>1.0448185277662545</v>
      </c>
      <c r="N21" s="163">
        <f t="shared" si="13"/>
        <v>1.0245504516068591</v>
      </c>
      <c r="O21" s="163"/>
      <c r="P21" s="206">
        <f t="shared" si="6"/>
        <v>1.0163995806909707</v>
      </c>
      <c r="Q21" s="206">
        <f t="shared" si="7"/>
        <v>1.0024999999999999</v>
      </c>
      <c r="R21" s="206">
        <f t="shared" si="8"/>
        <v>1.0092978308888916</v>
      </c>
      <c r="S21" s="206">
        <f t="shared" si="9"/>
        <v>1.0029921594891764</v>
      </c>
      <c r="T21" s="46">
        <v>1.0044765432319085</v>
      </c>
      <c r="U21" s="163"/>
      <c r="V21" s="205">
        <f>T21*(1+人口等補正!D16)</f>
        <v>1.0082438883920448</v>
      </c>
    </row>
    <row r="22" spans="1:22">
      <c r="A22" s="34">
        <f t="shared" si="5"/>
        <v>2024</v>
      </c>
      <c r="B22" s="163">
        <f>経済前提!G22</f>
        <v>2.583296167193927</v>
      </c>
      <c r="C22" s="163">
        <f>経済前提!H22</f>
        <v>1.2</v>
      </c>
      <c r="D22" s="163">
        <f>経済前提!G63</f>
        <v>1.698588098356657</v>
      </c>
      <c r="E22" s="163">
        <f>経済前提!H63</f>
        <v>1.1000000000000001</v>
      </c>
      <c r="F22" s="163">
        <f>経済前提!M22</f>
        <v>0.94</v>
      </c>
      <c r="G22" s="163">
        <f>経済前提!N22</f>
        <v>0.80499588091077456</v>
      </c>
      <c r="H22" s="163">
        <f t="shared" si="2"/>
        <v>0.89359221744588246</v>
      </c>
      <c r="I22" s="163">
        <f t="shared" si="3"/>
        <v>0.29500411908922552</v>
      </c>
      <c r="J22" s="163"/>
      <c r="K22" s="163">
        <f t="shared" si="10"/>
        <v>1.0883564974574598</v>
      </c>
      <c r="L22" s="163">
        <f t="shared" si="11"/>
        <v>1.0163287744235545</v>
      </c>
      <c r="M22" s="163">
        <f t="shared" si="12"/>
        <v>1.0541549448168066</v>
      </c>
      <c r="N22" s="163">
        <f t="shared" si="13"/>
        <v>1.0275729176412467</v>
      </c>
      <c r="O22" s="163"/>
      <c r="P22" s="206">
        <f t="shared" si="6"/>
        <v>1.0164329616719392</v>
      </c>
      <c r="Q22" s="206">
        <f t="shared" si="7"/>
        <v>1.0025999999999999</v>
      </c>
      <c r="R22" s="206">
        <f t="shared" si="8"/>
        <v>1.0089359221744589</v>
      </c>
      <c r="S22" s="206">
        <f t="shared" si="9"/>
        <v>1.0029500411908923</v>
      </c>
      <c r="T22" s="46">
        <v>1.0019854206968022</v>
      </c>
      <c r="U22" s="163"/>
      <c r="V22" s="205">
        <f>T22*(1+人口等補正!D17)</f>
        <v>1.0064599973310941</v>
      </c>
    </row>
    <row r="23" spans="1:22">
      <c r="A23" s="34">
        <f t="shared" si="5"/>
        <v>2025</v>
      </c>
      <c r="B23" s="163">
        <f>経済前提!G23</f>
        <v>2.5999509221976025</v>
      </c>
      <c r="C23" s="163">
        <f>経済前提!H23</f>
        <v>1.2</v>
      </c>
      <c r="D23" s="163">
        <f>経済前提!G64</f>
        <v>1.7662606189904784</v>
      </c>
      <c r="E23" s="163">
        <f>経済前提!H64</f>
        <v>1.1000000000000001</v>
      </c>
      <c r="F23" s="163">
        <f>経済前提!M23</f>
        <v>0.96</v>
      </c>
      <c r="G23" s="163">
        <f>経済前提!N23</f>
        <v>0.83284913008183603</v>
      </c>
      <c r="H23" s="163">
        <f t="shared" si="2"/>
        <v>0.93341148890864234</v>
      </c>
      <c r="I23" s="163">
        <f t="shared" si="3"/>
        <v>0.26715086991816406</v>
      </c>
      <c r="J23" s="163"/>
      <c r="K23" s="163">
        <f t="shared" si="10"/>
        <v>1.1062050098743108</v>
      </c>
      <c r="L23" s="163">
        <f t="shared" si="11"/>
        <v>1.0187679634821709</v>
      </c>
      <c r="M23" s="163">
        <f t="shared" si="12"/>
        <v>1.0639945481826252</v>
      </c>
      <c r="N23" s="163">
        <f t="shared" si="13"/>
        <v>1.0303180876297686</v>
      </c>
      <c r="O23" s="163"/>
      <c r="P23" s="206">
        <f t="shared" si="6"/>
        <v>1.016399509221976</v>
      </c>
      <c r="Q23" s="206">
        <f t="shared" si="7"/>
        <v>1.0024</v>
      </c>
      <c r="R23" s="206">
        <f t="shared" si="8"/>
        <v>1.0093341148890864</v>
      </c>
      <c r="S23" s="206">
        <f t="shared" si="9"/>
        <v>1.0026715086991815</v>
      </c>
      <c r="T23" s="46">
        <v>0.99923319567871138</v>
      </c>
      <c r="U23" s="163"/>
      <c r="V23" s="205">
        <f>T23*(1+人口等補正!D18)</f>
        <v>1.0043256471403841</v>
      </c>
    </row>
    <row r="24" spans="1:22">
      <c r="A24" s="34">
        <f t="shared" si="5"/>
        <v>2026</v>
      </c>
      <c r="B24" s="163">
        <f>経済前提!G24</f>
        <v>2.6133007305483957</v>
      </c>
      <c r="C24" s="163">
        <f>経済前提!H24</f>
        <v>1.2</v>
      </c>
      <c r="D24" s="163">
        <f>経済前提!G65</f>
        <v>1.8000000000000016</v>
      </c>
      <c r="E24" s="163">
        <f>経済前提!H65</f>
        <v>1.1000000000000001</v>
      </c>
      <c r="F24" s="163">
        <f>経済前提!M24</f>
        <v>1.01</v>
      </c>
      <c r="G24" s="163">
        <f>経済前提!N24</f>
        <v>0.88262276153503427</v>
      </c>
      <c r="H24" s="163">
        <f t="shared" si="2"/>
        <v>0.91737723846496733</v>
      </c>
      <c r="I24" s="163">
        <f t="shared" si="3"/>
        <v>0.21737723846496582</v>
      </c>
      <c r="J24" s="163"/>
      <c r="K24" s="163">
        <f t="shared" si="10"/>
        <v>1.1239408028789886</v>
      </c>
      <c r="L24" s="163">
        <f t="shared" si="11"/>
        <v>1.020703622612787</v>
      </c>
      <c r="M24" s="163">
        <f t="shared" si="12"/>
        <v>1.0737553919861607</v>
      </c>
      <c r="N24" s="163">
        <f t="shared" si="13"/>
        <v>1.0325577646360631</v>
      </c>
      <c r="O24" s="163"/>
      <c r="P24" s="206">
        <f t="shared" si="6"/>
        <v>1.016033007305484</v>
      </c>
      <c r="Q24" s="206">
        <f t="shared" si="7"/>
        <v>1.0019</v>
      </c>
      <c r="R24" s="206">
        <f t="shared" si="8"/>
        <v>1.0091737723846497</v>
      </c>
      <c r="S24" s="206">
        <f t="shared" si="9"/>
        <v>1.0021737723846496</v>
      </c>
      <c r="T24" s="46">
        <v>0.99624606198846632</v>
      </c>
      <c r="U24" s="163"/>
      <c r="V24" s="205">
        <f>T24*(1+人口等補正!D19)</f>
        <v>1.0019711513982519</v>
      </c>
    </row>
    <row r="25" spans="1:22">
      <c r="A25" s="34">
        <f t="shared" si="5"/>
        <v>2027</v>
      </c>
      <c r="B25" s="163">
        <f>経済前提!G25</f>
        <v>2.5632942407916026</v>
      </c>
      <c r="C25" s="163">
        <f>経済前提!H25</f>
        <v>1.2</v>
      </c>
      <c r="D25" s="163">
        <f>経済前提!G66</f>
        <v>1.8000000000000016</v>
      </c>
      <c r="E25" s="163">
        <f>経済前提!H66</f>
        <v>1.1000000000000001</v>
      </c>
      <c r="F25" s="163">
        <f>経済前提!M25</f>
        <v>1.08</v>
      </c>
      <c r="G25" s="163">
        <f>経済前提!N25</f>
        <v>0.94191262090467209</v>
      </c>
      <c r="H25" s="163">
        <f t="shared" si="2"/>
        <v>0.85808737909532951</v>
      </c>
      <c r="I25" s="163">
        <f t="shared" si="3"/>
        <v>0.158087379095328</v>
      </c>
      <c r="J25" s="163"/>
      <c r="K25" s="163">
        <f t="shared" si="10"/>
        <v>1.1406121520779995</v>
      </c>
      <c r="L25" s="163">
        <f t="shared" si="11"/>
        <v>1.0219284669599225</v>
      </c>
      <c r="M25" s="163">
        <f t="shared" si="12"/>
        <v>1.0829691514871496</v>
      </c>
      <c r="N25" s="163">
        <f t="shared" si="13"/>
        <v>1.0341901081438216</v>
      </c>
      <c r="O25" s="163"/>
      <c r="P25" s="206">
        <f t="shared" si="6"/>
        <v>1.0148329424079161</v>
      </c>
      <c r="Q25" s="206">
        <f t="shared" si="7"/>
        <v>1.0012000000000001</v>
      </c>
      <c r="R25" s="206">
        <f t="shared" si="8"/>
        <v>1.0085808737909534</v>
      </c>
      <c r="S25" s="206">
        <f t="shared" si="9"/>
        <v>1.0015808737909533</v>
      </c>
      <c r="T25" s="46">
        <v>0.9932003841708329</v>
      </c>
      <c r="U25" s="163"/>
      <c r="V25" s="205">
        <f>T25*(1+人口等補正!D20)</f>
        <v>0.99950758715268784</v>
      </c>
    </row>
    <row r="26" spans="1:22">
      <c r="A26" s="34">
        <f t="shared" si="5"/>
        <v>2028</v>
      </c>
      <c r="B26" s="163">
        <f>経済前提!G26</f>
        <v>2.4999999999999911</v>
      </c>
      <c r="C26" s="163">
        <f>経済前提!H26</f>
        <v>1.2</v>
      </c>
      <c r="D26" s="163">
        <f>経済前提!G67</f>
        <v>1.8000000000000016</v>
      </c>
      <c r="E26" s="163">
        <f>経済前提!H67</f>
        <v>1.1000000000000001</v>
      </c>
      <c r="F26" s="163">
        <f>経済前提!M26</f>
        <v>1.1200000000000001</v>
      </c>
      <c r="G26" s="163">
        <f>経済前提!N26</f>
        <v>1.0589428911131344</v>
      </c>
      <c r="H26" s="163">
        <f t="shared" si="2"/>
        <v>0.74105710888686716</v>
      </c>
      <c r="I26" s="163">
        <f t="shared" si="3"/>
        <v>4.1057108886865645E-2</v>
      </c>
      <c r="J26" s="163"/>
      <c r="K26" s="163">
        <f t="shared" si="10"/>
        <v>1.1563525997766757</v>
      </c>
      <c r="L26" s="163">
        <f t="shared" si="11"/>
        <v>1.0227460097334904</v>
      </c>
      <c r="M26" s="163">
        <f t="shared" si="12"/>
        <v>1.090994571371297</v>
      </c>
      <c r="N26" s="163">
        <f t="shared" si="13"/>
        <v>1.0346147167026194</v>
      </c>
      <c r="O26" s="163"/>
      <c r="P26" s="206">
        <f t="shared" si="6"/>
        <v>1.0137999999999998</v>
      </c>
      <c r="Q26" s="206">
        <f t="shared" si="7"/>
        <v>1.0007999999999999</v>
      </c>
      <c r="R26" s="206">
        <f t="shared" si="8"/>
        <v>1.0074105710888688</v>
      </c>
      <c r="S26" s="206">
        <f t="shared" si="9"/>
        <v>1.0004105710888687</v>
      </c>
      <c r="T26" s="46">
        <v>0.98925034365865405</v>
      </c>
      <c r="U26" s="163"/>
      <c r="V26" s="205">
        <f>T26*(1+人口等補正!D21)</f>
        <v>0.99611823168994362</v>
      </c>
    </row>
    <row r="27" spans="1:22">
      <c r="A27" s="34">
        <f t="shared" si="5"/>
        <v>2029</v>
      </c>
      <c r="B27" s="163">
        <f>経済前提!G27</f>
        <v>2.4999999999999911</v>
      </c>
      <c r="C27" s="163">
        <f>経済前提!H27</f>
        <v>1.2</v>
      </c>
      <c r="D27" s="163">
        <f>経済前提!G68</f>
        <v>1.8673151483793893</v>
      </c>
      <c r="E27" s="163">
        <f>経済前提!H68</f>
        <v>1.2</v>
      </c>
      <c r="F27" s="163">
        <f>経済前提!M27</f>
        <v>1.1399999999999999</v>
      </c>
      <c r="G27" s="163">
        <f>経済前提!N27</f>
        <v>1.0794474431204955</v>
      </c>
      <c r="H27" s="163">
        <f t="shared" si="2"/>
        <v>0.78786770525889382</v>
      </c>
      <c r="I27" s="163">
        <f t="shared" si="3"/>
        <v>0.1205525568795045</v>
      </c>
      <c r="J27" s="163"/>
      <c r="K27" s="163">
        <f t="shared" si="10"/>
        <v>1.1720789951336383</v>
      </c>
      <c r="L27" s="163">
        <f t="shared" si="11"/>
        <v>1.0233596573393304</v>
      </c>
      <c r="M27" s="163">
        <f t="shared" si="12"/>
        <v>1.0995901652652591</v>
      </c>
      <c r="N27" s="163">
        <f t="shared" si="13"/>
        <v>1.0358619711974562</v>
      </c>
      <c r="O27" s="163"/>
      <c r="P27" s="206">
        <f t="shared" si="6"/>
        <v>1.0135999999999998</v>
      </c>
      <c r="Q27" s="206">
        <f t="shared" si="7"/>
        <v>1.0005999999999999</v>
      </c>
      <c r="R27" s="206">
        <f t="shared" si="8"/>
        <v>1.0078786770525889</v>
      </c>
      <c r="S27" s="206">
        <f t="shared" si="9"/>
        <v>1.0012055255687951</v>
      </c>
      <c r="T27" s="46">
        <v>0.98595802507057717</v>
      </c>
      <c r="U27" s="163"/>
      <c r="V27" s="205">
        <f>T27*(1+人口等補正!D22)</f>
        <v>0.99342435663938033</v>
      </c>
    </row>
    <row r="28" spans="1:22">
      <c r="A28" s="34">
        <f t="shared" si="5"/>
        <v>2030</v>
      </c>
      <c r="B28" s="163">
        <f>経済前提!G28</f>
        <v>2.4999999999999911</v>
      </c>
      <c r="C28" s="163">
        <f>経済前提!H28</f>
        <v>1.2</v>
      </c>
      <c r="D28" s="163">
        <f>経済前提!G69</f>
        <v>2.0666286889210461</v>
      </c>
      <c r="E28" s="163">
        <f>経済前提!H69</f>
        <v>1.2</v>
      </c>
      <c r="F28" s="163">
        <f>経済前提!M28</f>
        <v>1.2</v>
      </c>
      <c r="G28" s="163">
        <f>経済前提!N28</f>
        <v>1.1370706905234891</v>
      </c>
      <c r="H28" s="163">
        <f t="shared" si="2"/>
        <v>0.92955799839755704</v>
      </c>
      <c r="I28" s="163">
        <f t="shared" si="3"/>
        <v>6.2929309476510875E-2</v>
      </c>
      <c r="J28" s="163"/>
      <c r="K28" s="163">
        <f t="shared" si="10"/>
        <v>1.1873160220703756</v>
      </c>
      <c r="L28" s="163">
        <f t="shared" si="11"/>
        <v>1.0233596573393304</v>
      </c>
      <c r="M28" s="163">
        <f t="shared" si="12"/>
        <v>1.1098114935960752</v>
      </c>
      <c r="N28" s="163">
        <f t="shared" si="13"/>
        <v>1.0365138319830605</v>
      </c>
      <c r="O28" s="163"/>
      <c r="P28" s="206">
        <f t="shared" si="6"/>
        <v>1.0129999999999999</v>
      </c>
      <c r="Q28" s="206">
        <f t="shared" si="7"/>
        <v>1</v>
      </c>
      <c r="R28" s="206">
        <f t="shared" si="8"/>
        <v>1.0092955799839756</v>
      </c>
      <c r="S28" s="206">
        <f t="shared" si="9"/>
        <v>1.0006292930947651</v>
      </c>
      <c r="T28" s="46">
        <v>0.98281254279031982</v>
      </c>
      <c r="U28" s="163"/>
      <c r="V28" s="205">
        <f>T28*(1+人口等補正!D23)</f>
        <v>0.99079447215480076</v>
      </c>
    </row>
    <row r="29" spans="1:22">
      <c r="A29" s="34">
        <f t="shared" si="5"/>
        <v>2031</v>
      </c>
      <c r="B29" s="163">
        <f>経済前提!G29</f>
        <v>2.4999999999999911</v>
      </c>
      <c r="C29" s="163">
        <f>経済前提!H29</f>
        <v>1.2</v>
      </c>
      <c r="D29" s="163">
        <f>経済前提!G70</f>
        <v>2.2663322062416613</v>
      </c>
      <c r="E29" s="163">
        <f>経済前提!H70</f>
        <v>1.2</v>
      </c>
      <c r="F29" s="163">
        <f>経済前提!M29</f>
        <v>1.3</v>
      </c>
      <c r="G29" s="163">
        <f>経済前提!N29</f>
        <v>1.2346310185488814</v>
      </c>
      <c r="H29" s="163">
        <f t="shared" si="2"/>
        <v>1.03170118769278</v>
      </c>
      <c r="I29" s="163">
        <f t="shared" si="3"/>
        <v>-3.4631018548881398E-2</v>
      </c>
      <c r="J29" s="163"/>
      <c r="K29" s="163">
        <f t="shared" si="10"/>
        <v>1.2015638143352201</v>
      </c>
      <c r="L29" s="163">
        <f t="shared" si="11"/>
        <v>1.0233596573393304</v>
      </c>
      <c r="M29" s="163">
        <f t="shared" si="12"/>
        <v>1.121261431956657</v>
      </c>
      <c r="N29" s="163">
        <f t="shared" si="13"/>
        <v>1.0365138319830605</v>
      </c>
      <c r="O29" s="163"/>
      <c r="P29" s="206">
        <f t="shared" si="6"/>
        <v>1.012</v>
      </c>
      <c r="Q29" s="206">
        <f t="shared" si="7"/>
        <v>1</v>
      </c>
      <c r="R29" s="206">
        <f t="shared" si="8"/>
        <v>1.0103170118769278</v>
      </c>
      <c r="S29" s="206">
        <f t="shared" si="9"/>
        <v>1</v>
      </c>
      <c r="T29" s="46">
        <v>0.97953873356315979</v>
      </c>
      <c r="U29" s="163"/>
      <c r="V29" s="205">
        <f>T29*(1+人口等補正!D24)</f>
        <v>0.98798854399106328</v>
      </c>
    </row>
    <row r="30" spans="1:22">
      <c r="A30" s="34">
        <f t="shared" si="5"/>
        <v>2032</v>
      </c>
      <c r="B30" s="163">
        <f>経済前提!G30</f>
        <v>2.4999999999999911</v>
      </c>
      <c r="C30" s="163">
        <f>経済前提!H30</f>
        <v>1.2</v>
      </c>
      <c r="D30" s="163">
        <f>経済前提!G71</f>
        <v>2.4999999999999911</v>
      </c>
      <c r="E30" s="163">
        <f>経済前提!H71</f>
        <v>1.2</v>
      </c>
      <c r="F30" s="163">
        <f>経済前提!M30</f>
        <v>1.41</v>
      </c>
      <c r="G30" s="163">
        <f>経済前提!N30</f>
        <v>1.3348531278684734</v>
      </c>
      <c r="H30" s="163">
        <f t="shared" si="2"/>
        <v>1.1651468721315177</v>
      </c>
      <c r="I30" s="163">
        <f t="shared" si="3"/>
        <v>-0.13485312786847348</v>
      </c>
      <c r="J30" s="163"/>
      <c r="K30" s="163">
        <f t="shared" si="10"/>
        <v>1.2146608599114739</v>
      </c>
      <c r="L30" s="163">
        <f t="shared" si="11"/>
        <v>1.0233596573393304</v>
      </c>
      <c r="M30" s="163">
        <f t="shared" si="12"/>
        <v>1.134325774459517</v>
      </c>
      <c r="N30" s="163">
        <f t="shared" si="13"/>
        <v>1.0365138319830605</v>
      </c>
      <c r="O30" s="163"/>
      <c r="P30" s="206">
        <f t="shared" si="6"/>
        <v>1.0108999999999999</v>
      </c>
      <c r="Q30" s="206">
        <f t="shared" si="7"/>
        <v>1</v>
      </c>
      <c r="R30" s="206">
        <f t="shared" si="8"/>
        <v>1.0116514687213152</v>
      </c>
      <c r="S30" s="206">
        <f t="shared" si="9"/>
        <v>1</v>
      </c>
      <c r="T30" s="46">
        <v>0.97674363853647828</v>
      </c>
      <c r="U30" s="163"/>
      <c r="V30" s="205">
        <f>T30*(1+人口等補正!D25)</f>
        <v>0.98572245164346395</v>
      </c>
    </row>
    <row r="31" spans="1:22">
      <c r="A31" s="34">
        <f t="shared" si="5"/>
        <v>2033</v>
      </c>
      <c r="B31" s="163">
        <f>経済前提!G31</f>
        <v>2.4999999999999911</v>
      </c>
      <c r="C31" s="163">
        <f>経済前提!H31</f>
        <v>1.2</v>
      </c>
      <c r="D31" s="163">
        <f>経済前提!G72</f>
        <v>2.4999999999999911</v>
      </c>
      <c r="E31" s="163">
        <f>経済前提!H72</f>
        <v>1.2</v>
      </c>
      <c r="F31" s="163">
        <f>経済前提!M31</f>
        <v>1.48</v>
      </c>
      <c r="G31" s="163">
        <f>経済前提!N31</f>
        <v>1.4149506671927043</v>
      </c>
      <c r="H31" s="163">
        <f t="shared" si="2"/>
        <v>1.0850493328072868</v>
      </c>
      <c r="I31" s="163">
        <f t="shared" si="3"/>
        <v>-0.21495066719270439</v>
      </c>
      <c r="J31" s="163"/>
      <c r="K31" s="163">
        <f t="shared" si="10"/>
        <v>1.2270504006825709</v>
      </c>
      <c r="L31" s="163">
        <f t="shared" si="11"/>
        <v>1.0233596573393304</v>
      </c>
      <c r="M31" s="163">
        <f t="shared" si="12"/>
        <v>1.1466337687071511</v>
      </c>
      <c r="N31" s="163">
        <f t="shared" si="13"/>
        <v>1.0365138319830605</v>
      </c>
      <c r="O31" s="163"/>
      <c r="P31" s="206">
        <f t="shared" si="6"/>
        <v>1.0102</v>
      </c>
      <c r="Q31" s="206">
        <f t="shared" si="7"/>
        <v>1</v>
      </c>
      <c r="R31" s="206">
        <f t="shared" si="8"/>
        <v>1.0108504933280729</v>
      </c>
      <c r="S31" s="206">
        <f t="shared" si="9"/>
        <v>1</v>
      </c>
      <c r="T31" s="46">
        <v>0.9738498664331704</v>
      </c>
      <c r="U31" s="163"/>
      <c r="V31" s="205">
        <f>T31*(1+人口等補正!D26)</f>
        <v>0.98326965389200238</v>
      </c>
    </row>
    <row r="32" spans="1:22">
      <c r="A32" s="34">
        <f t="shared" si="5"/>
        <v>2034</v>
      </c>
      <c r="B32" s="163">
        <f>経済前提!G32</f>
        <v>2.4999999999999911</v>
      </c>
      <c r="C32" s="163">
        <f>経済前提!H32</f>
        <v>1.2</v>
      </c>
      <c r="D32" s="163">
        <f>経済前提!G73</f>
        <v>2.4999999999999911</v>
      </c>
      <c r="E32" s="163">
        <f>経済前提!H73</f>
        <v>1.2</v>
      </c>
      <c r="F32" s="163">
        <f>経済前提!M32</f>
        <v>1.57</v>
      </c>
      <c r="G32" s="163">
        <f>経済前提!N32</f>
        <v>1.5152809266028351</v>
      </c>
      <c r="H32" s="163">
        <f t="shared" si="2"/>
        <v>0.98471907339715603</v>
      </c>
      <c r="I32" s="163">
        <f t="shared" si="3"/>
        <v>-0.31528092660283513</v>
      </c>
      <c r="J32" s="163"/>
      <c r="K32" s="163">
        <f t="shared" si="10"/>
        <v>1.2384619694089185</v>
      </c>
      <c r="L32" s="163">
        <f t="shared" si="11"/>
        <v>1.0233596573393304</v>
      </c>
      <c r="M32" s="163">
        <f t="shared" si="12"/>
        <v>1.1579248901296231</v>
      </c>
      <c r="N32" s="163">
        <f t="shared" si="13"/>
        <v>1.0365138319830605</v>
      </c>
      <c r="O32" s="163"/>
      <c r="P32" s="206">
        <f t="shared" si="6"/>
        <v>1.0092999999999999</v>
      </c>
      <c r="Q32" s="206">
        <f t="shared" si="7"/>
        <v>1</v>
      </c>
      <c r="R32" s="206">
        <f t="shared" si="8"/>
        <v>1.0098471907339717</v>
      </c>
      <c r="S32" s="206">
        <f t="shared" si="9"/>
        <v>1</v>
      </c>
      <c r="T32" s="46">
        <v>0.97106062116815228</v>
      </c>
      <c r="U32" s="163"/>
      <c r="V32" s="205">
        <f>T32*(1+人口等補正!D27)</f>
        <v>0.98092419114616625</v>
      </c>
    </row>
    <row r="33" spans="1:22">
      <c r="A33" s="34">
        <f t="shared" si="5"/>
        <v>2035</v>
      </c>
      <c r="B33" s="163">
        <f>経済前提!G33</f>
        <v>2.4999999999999911</v>
      </c>
      <c r="C33" s="163">
        <f>経済前提!H33</f>
        <v>1.2</v>
      </c>
      <c r="D33" s="163">
        <f>経済前提!G74</f>
        <v>2.4999999999999911</v>
      </c>
      <c r="E33" s="163">
        <f>経済前提!H74</f>
        <v>1.2</v>
      </c>
      <c r="F33" s="163">
        <f>経済前提!M33</f>
        <v>1.69</v>
      </c>
      <c r="G33" s="163">
        <f>経済前提!N33</f>
        <v>1.6254535352661521</v>
      </c>
      <c r="H33" s="163">
        <f t="shared" si="2"/>
        <v>0.87454646473383901</v>
      </c>
      <c r="I33" s="163">
        <f t="shared" si="3"/>
        <v>-0.42545353526615215</v>
      </c>
      <c r="J33" s="163"/>
      <c r="K33" s="163">
        <f t="shared" si="10"/>
        <v>1.2484935113611308</v>
      </c>
      <c r="L33" s="163">
        <f t="shared" si="11"/>
        <v>1.0233596573393304</v>
      </c>
      <c r="M33" s="163">
        <f t="shared" si="12"/>
        <v>1.1680514813205249</v>
      </c>
      <c r="N33" s="163">
        <f t="shared" si="13"/>
        <v>1.0365138319830605</v>
      </c>
      <c r="O33" s="163"/>
      <c r="P33" s="206">
        <f t="shared" si="6"/>
        <v>1.0081</v>
      </c>
      <c r="Q33" s="206">
        <f t="shared" si="7"/>
        <v>1</v>
      </c>
      <c r="R33" s="206">
        <f t="shared" si="8"/>
        <v>1.0087454646473384</v>
      </c>
      <c r="S33" s="206">
        <f t="shared" si="9"/>
        <v>1</v>
      </c>
      <c r="T33" s="46">
        <v>0.96842787825799648</v>
      </c>
      <c r="U33" s="163"/>
      <c r="V33" s="205">
        <f>T33*(1+人口等補正!D28)</f>
        <v>0.97873682043084431</v>
      </c>
    </row>
    <row r="34" spans="1:22">
      <c r="A34" s="34">
        <f t="shared" si="5"/>
        <v>2036</v>
      </c>
      <c r="B34" s="163">
        <f>経済前提!G34</f>
        <v>2.4999999999999911</v>
      </c>
      <c r="C34" s="163">
        <f>経済前提!H34</f>
        <v>1.2</v>
      </c>
      <c r="D34" s="163">
        <f>経済前提!G75</f>
        <v>2.4999999999999911</v>
      </c>
      <c r="E34" s="163">
        <f>経済前提!H75</f>
        <v>1.2</v>
      </c>
      <c r="F34" s="163">
        <f>経済前提!M34</f>
        <v>1.79</v>
      </c>
      <c r="G34" s="163">
        <f>経済前提!N34</f>
        <v>1.7260232258180181</v>
      </c>
      <c r="H34" s="163">
        <f t="shared" si="2"/>
        <v>0.77397677418197297</v>
      </c>
      <c r="I34" s="163">
        <f t="shared" si="3"/>
        <v>-0.52602322581801819</v>
      </c>
      <c r="J34" s="163"/>
      <c r="K34" s="163">
        <f t="shared" si="10"/>
        <v>1.2573578152917948</v>
      </c>
      <c r="L34" s="163">
        <f t="shared" si="11"/>
        <v>1.0233596573393304</v>
      </c>
      <c r="M34" s="163">
        <f t="shared" si="12"/>
        <v>1.1770919284964345</v>
      </c>
      <c r="N34" s="163">
        <f t="shared" si="13"/>
        <v>1.0365138319830605</v>
      </c>
      <c r="O34" s="163"/>
      <c r="P34" s="206">
        <f t="shared" si="6"/>
        <v>1.0070999999999999</v>
      </c>
      <c r="Q34" s="206">
        <f t="shared" si="7"/>
        <v>1</v>
      </c>
      <c r="R34" s="206">
        <f t="shared" si="8"/>
        <v>1.0077397677418198</v>
      </c>
      <c r="S34" s="206">
        <f t="shared" si="9"/>
        <v>1</v>
      </c>
      <c r="T34" s="46">
        <v>0.96591271470358653</v>
      </c>
      <c r="U34" s="163"/>
      <c r="V34" s="205">
        <f>T34*(1+人口等補正!D29)</f>
        <v>0.97674257565315892</v>
      </c>
    </row>
    <row r="35" spans="1:22">
      <c r="A35" s="34">
        <f t="shared" si="5"/>
        <v>2037</v>
      </c>
      <c r="B35" s="163">
        <f>経済前提!G35</f>
        <v>2.4999999999999911</v>
      </c>
      <c r="C35" s="163">
        <f>経済前提!H35</f>
        <v>1.2</v>
      </c>
      <c r="D35" s="163">
        <f>経済前提!G76</f>
        <v>2.4999999999999911</v>
      </c>
      <c r="E35" s="163">
        <f>経済前提!H76</f>
        <v>1.2</v>
      </c>
      <c r="F35" s="163">
        <f>経済前提!M35</f>
        <v>1.85</v>
      </c>
      <c r="G35" s="163">
        <f>経済前提!N35</f>
        <v>1.7797439857024195</v>
      </c>
      <c r="H35" s="163">
        <f t="shared" si="2"/>
        <v>0.72025601429757158</v>
      </c>
      <c r="I35" s="163">
        <f t="shared" si="3"/>
        <v>-0.57974398570241958</v>
      </c>
      <c r="J35" s="163"/>
      <c r="K35" s="163">
        <f t="shared" si="10"/>
        <v>1.2655306410911915</v>
      </c>
      <c r="L35" s="163">
        <f t="shared" si="11"/>
        <v>1.0233596573393304</v>
      </c>
      <c r="M35" s="163">
        <f t="shared" si="12"/>
        <v>1.1855700039052413</v>
      </c>
      <c r="N35" s="163">
        <f t="shared" si="13"/>
        <v>1.0365138319830605</v>
      </c>
      <c r="O35" s="163"/>
      <c r="P35" s="206">
        <f t="shared" si="6"/>
        <v>1.0065</v>
      </c>
      <c r="Q35" s="206">
        <f t="shared" si="7"/>
        <v>1</v>
      </c>
      <c r="R35" s="206">
        <f t="shared" si="8"/>
        <v>1.0072025601429757</v>
      </c>
      <c r="S35" s="206">
        <f t="shared" si="9"/>
        <v>1</v>
      </c>
      <c r="T35" s="46">
        <v>0.96359221325860123</v>
      </c>
      <c r="U35" s="163"/>
      <c r="V35" s="205">
        <f>T35*(1+人口等補正!D30)</f>
        <v>0.97498562497369978</v>
      </c>
    </row>
    <row r="36" spans="1:22">
      <c r="A36" s="34">
        <f t="shared" si="5"/>
        <v>2038</v>
      </c>
      <c r="B36" s="163">
        <f>経済前提!G36</f>
        <v>2.4999999999999911</v>
      </c>
      <c r="C36" s="163">
        <f>経済前提!H36</f>
        <v>1.2</v>
      </c>
      <c r="D36" s="163">
        <f>経済前提!G77</f>
        <v>2.4999999999999911</v>
      </c>
      <c r="E36" s="163">
        <f>経済前提!H77</f>
        <v>1.2</v>
      </c>
      <c r="F36" s="163">
        <f>経済前提!M36</f>
        <v>1.87</v>
      </c>
      <c r="G36" s="163">
        <f>経済前提!N36</f>
        <v>1.7624015469867911</v>
      </c>
      <c r="H36" s="163">
        <f t="shared" si="2"/>
        <v>0.73759845301320004</v>
      </c>
      <c r="I36" s="163">
        <f t="shared" si="3"/>
        <v>-0.56240154698679112</v>
      </c>
      <c r="J36" s="163"/>
      <c r="K36" s="163">
        <f t="shared" si="10"/>
        <v>1.2735034841300661</v>
      </c>
      <c r="L36" s="163">
        <f t="shared" si="11"/>
        <v>1.0233596573393304</v>
      </c>
      <c r="M36" s="163">
        <f t="shared" si="12"/>
        <v>1.1943147499134348</v>
      </c>
      <c r="N36" s="163">
        <f t="shared" si="13"/>
        <v>1.0365138319830605</v>
      </c>
      <c r="O36" s="163"/>
      <c r="P36" s="206">
        <f t="shared" si="6"/>
        <v>1.0063</v>
      </c>
      <c r="Q36" s="206">
        <f t="shared" si="7"/>
        <v>1</v>
      </c>
      <c r="R36" s="206">
        <f t="shared" si="8"/>
        <v>1.007375984530132</v>
      </c>
      <c r="S36" s="206">
        <f t="shared" si="9"/>
        <v>1</v>
      </c>
      <c r="T36" s="46">
        <v>0.96149957330795888</v>
      </c>
      <c r="U36" s="163"/>
      <c r="V36" s="205">
        <f>T36*(1+人口等補正!D31)</f>
        <v>0.97339563975731302</v>
      </c>
    </row>
    <row r="37" spans="1:22">
      <c r="A37" s="34">
        <f t="shared" si="5"/>
        <v>2039</v>
      </c>
      <c r="B37" s="163">
        <f>経済前提!G37</f>
        <v>2.4999999999999911</v>
      </c>
      <c r="C37" s="163">
        <f>経済前提!H37</f>
        <v>1.2</v>
      </c>
      <c r="D37" s="163">
        <f>経済前提!G78</f>
        <v>2.4999999999999911</v>
      </c>
      <c r="E37" s="163">
        <f>経済前提!H78</f>
        <v>1.2</v>
      </c>
      <c r="F37" s="163">
        <f>経済前提!M37</f>
        <v>1.87</v>
      </c>
      <c r="G37" s="163">
        <f>経済前提!N37</f>
        <v>1.7260079828601</v>
      </c>
      <c r="H37" s="163">
        <f t="shared" si="2"/>
        <v>0.77399201713989108</v>
      </c>
      <c r="I37" s="163">
        <f t="shared" si="3"/>
        <v>-0.52600798286010009</v>
      </c>
      <c r="J37" s="163"/>
      <c r="K37" s="163">
        <f t="shared" si="10"/>
        <v>1.2815265560800855</v>
      </c>
      <c r="L37" s="163">
        <f t="shared" si="11"/>
        <v>1.0233596573393304</v>
      </c>
      <c r="M37" s="163">
        <f t="shared" si="12"/>
        <v>1.2035586507372891</v>
      </c>
      <c r="N37" s="163">
        <f t="shared" si="13"/>
        <v>1.0365138319830605</v>
      </c>
      <c r="O37" s="163"/>
      <c r="P37" s="206">
        <f t="shared" si="6"/>
        <v>1.0063</v>
      </c>
      <c r="Q37" s="206">
        <f t="shared" si="7"/>
        <v>1</v>
      </c>
      <c r="R37" s="206">
        <f t="shared" si="8"/>
        <v>1.007739920171399</v>
      </c>
      <c r="S37" s="206">
        <f t="shared" si="9"/>
        <v>1</v>
      </c>
      <c r="T37" s="46">
        <v>0.95967648629709501</v>
      </c>
      <c r="U37" s="163"/>
      <c r="V37" s="205">
        <f>T37*(1+人口等補正!D32)</f>
        <v>0.9720619283425721</v>
      </c>
    </row>
    <row r="38" spans="1:22">
      <c r="A38" s="34">
        <f t="shared" si="5"/>
        <v>2040</v>
      </c>
      <c r="B38" s="163">
        <f>経済前提!G38</f>
        <v>2.4999999999999911</v>
      </c>
      <c r="C38" s="163">
        <f>経済前提!H38</f>
        <v>1.2</v>
      </c>
      <c r="D38" s="163">
        <f>経済前提!G79</f>
        <v>2.4999999999999911</v>
      </c>
      <c r="E38" s="163">
        <f>経済前提!H79</f>
        <v>1.2</v>
      </c>
      <c r="F38" s="163">
        <f>経済前提!M38</f>
        <v>1.89</v>
      </c>
      <c r="G38" s="163">
        <f>経済前提!N38</f>
        <v>1.7039057985043899</v>
      </c>
      <c r="H38" s="163">
        <f t="shared" si="2"/>
        <v>0.79609420149560117</v>
      </c>
      <c r="I38" s="163">
        <f t="shared" si="3"/>
        <v>-0.50390579850438999</v>
      </c>
      <c r="J38" s="163"/>
      <c r="K38" s="163">
        <f t="shared" si="10"/>
        <v>1.289343868072174</v>
      </c>
      <c r="L38" s="163">
        <f t="shared" si="11"/>
        <v>1.0233596573393304</v>
      </c>
      <c r="M38" s="163">
        <f t="shared" si="12"/>
        <v>1.2131401113674074</v>
      </c>
      <c r="N38" s="163">
        <f t="shared" si="13"/>
        <v>1.0365138319830605</v>
      </c>
      <c r="O38" s="163"/>
      <c r="P38" s="206">
        <f t="shared" si="6"/>
        <v>1.0061</v>
      </c>
      <c r="Q38" s="206">
        <f t="shared" si="7"/>
        <v>1</v>
      </c>
      <c r="R38" s="206">
        <f t="shared" si="8"/>
        <v>1.007960942014956</v>
      </c>
      <c r="S38" s="206">
        <f t="shared" si="9"/>
        <v>1</v>
      </c>
      <c r="T38" s="46">
        <v>0.95815321749130822</v>
      </c>
      <c r="U38" s="163"/>
      <c r="V38" s="205">
        <f>T38*(1+人口等補正!D33)</f>
        <v>0.97093598002703851</v>
      </c>
    </row>
    <row r="39" spans="1:22">
      <c r="G39" s="54"/>
      <c r="H39" s="54"/>
      <c r="I39" s="54"/>
      <c r="J39" s="54"/>
    </row>
    <row r="40" spans="1:22">
      <c r="G40" s="54"/>
      <c r="H40" s="54"/>
      <c r="I40" s="54"/>
      <c r="J40" s="54"/>
    </row>
    <row r="41" spans="1:22">
      <c r="G41" s="54"/>
      <c r="H41" s="54"/>
      <c r="I41" s="54"/>
      <c r="J41" s="54"/>
    </row>
    <row r="42" spans="1:22">
      <c r="G42" s="54"/>
      <c r="H42" s="54"/>
      <c r="I42" s="54"/>
      <c r="J42" s="54"/>
    </row>
    <row r="43" spans="1:22">
      <c r="G43" s="54"/>
      <c r="H43" s="54"/>
      <c r="I43" s="54"/>
      <c r="J43" s="54"/>
    </row>
  </sheetData>
  <mergeCells count="5">
    <mergeCell ref="P1:Q1"/>
    <mergeCell ref="P2:S2"/>
    <mergeCell ref="P3:Q3"/>
    <mergeCell ref="R3:S3"/>
    <mergeCell ref="F3:G3"/>
  </mergeCells>
  <phoneticPr fontId="1"/>
  <pageMargins left="0.31496062992125984" right="0.31496062992125984" top="0.15748031496062992" bottom="0.15748031496062992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V79"/>
  <sheetViews>
    <sheetView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6.75" style="34" customWidth="1"/>
    <col min="2" max="3" width="9" style="34"/>
    <col min="4" max="4" width="7.5" style="34" customWidth="1"/>
    <col min="5" max="6" width="9" style="34"/>
    <col min="7" max="8" width="9.25" style="34" customWidth="1"/>
    <col min="9" max="13" width="9" style="34"/>
    <col min="14" max="14" width="7.75" style="34" customWidth="1"/>
    <col min="15" max="15" width="1.25" style="34" customWidth="1"/>
    <col min="16" max="16384" width="9" style="34"/>
  </cols>
  <sheetData>
    <row r="1" spans="1:22">
      <c r="B1" s="34" t="s">
        <v>87</v>
      </c>
      <c r="M1" s="49" t="s">
        <v>88</v>
      </c>
    </row>
    <row r="2" spans="1:22" ht="13.5" customHeight="1">
      <c r="G2" s="34" t="s">
        <v>67</v>
      </c>
      <c r="I2" s="48" t="s">
        <v>42</v>
      </c>
      <c r="J2" s="201" t="s">
        <v>6</v>
      </c>
      <c r="K2" s="202"/>
      <c r="L2" s="202"/>
      <c r="M2" s="49" t="s">
        <v>10</v>
      </c>
      <c r="N2" s="49" t="s">
        <v>10</v>
      </c>
      <c r="P2" s="210" t="s">
        <v>128</v>
      </c>
      <c r="Q2" s="210"/>
      <c r="R2" s="210" t="s">
        <v>129</v>
      </c>
      <c r="S2" s="210"/>
      <c r="T2" s="201" t="s">
        <v>180</v>
      </c>
      <c r="U2" s="43"/>
    </row>
    <row r="3" spans="1:22" ht="13.5" customHeight="1">
      <c r="B3" s="49" t="s">
        <v>4</v>
      </c>
      <c r="C3" s="49" t="s">
        <v>41</v>
      </c>
      <c r="D3" s="49" t="s">
        <v>5</v>
      </c>
      <c r="E3" s="49" t="s">
        <v>39</v>
      </c>
      <c r="F3" s="50" t="s">
        <v>40</v>
      </c>
      <c r="G3" s="49" t="s">
        <v>81</v>
      </c>
      <c r="H3" s="49" t="s">
        <v>1</v>
      </c>
      <c r="I3" s="201" t="s">
        <v>7</v>
      </c>
      <c r="J3" s="43" t="s">
        <v>86</v>
      </c>
      <c r="K3" s="203"/>
      <c r="L3" s="203"/>
      <c r="M3" s="49" t="s">
        <v>3</v>
      </c>
      <c r="N3" s="49" t="s">
        <v>3</v>
      </c>
      <c r="P3" s="210" t="s">
        <v>130</v>
      </c>
      <c r="Q3" s="210" t="s">
        <v>181</v>
      </c>
      <c r="R3" s="210" t="s">
        <v>132</v>
      </c>
      <c r="S3" s="210" t="s">
        <v>131</v>
      </c>
      <c r="T3" s="201" t="s">
        <v>182</v>
      </c>
      <c r="U3" s="43"/>
    </row>
    <row r="4" spans="1:22">
      <c r="D4" s="49" t="s">
        <v>38</v>
      </c>
      <c r="G4" s="49"/>
      <c r="I4" s="201" t="s">
        <v>8</v>
      </c>
      <c r="J4" s="201" t="s">
        <v>8</v>
      </c>
      <c r="K4" s="203"/>
      <c r="L4" s="203"/>
      <c r="M4" s="49" t="s">
        <v>69</v>
      </c>
      <c r="N4" s="49" t="s">
        <v>68</v>
      </c>
      <c r="P4" s="210"/>
      <c r="Q4" s="209"/>
      <c r="R4" s="210"/>
      <c r="S4" s="209"/>
      <c r="T4" s="43"/>
      <c r="U4" s="43"/>
    </row>
    <row r="5" spans="1:22">
      <c r="A5" s="34">
        <v>2007</v>
      </c>
      <c r="B5" s="163"/>
      <c r="C5" s="163"/>
      <c r="D5" s="163"/>
      <c r="E5" s="163"/>
      <c r="F5" s="163"/>
      <c r="G5" s="163"/>
      <c r="H5" s="163"/>
      <c r="I5" s="165"/>
      <c r="J5" s="165"/>
      <c r="K5" s="163"/>
      <c r="L5" s="163"/>
      <c r="M5" s="163"/>
      <c r="N5" s="163"/>
      <c r="P5" s="45"/>
      <c r="Q5" s="45"/>
      <c r="R5" s="45"/>
      <c r="S5" s="45"/>
    </row>
    <row r="6" spans="1:22">
      <c r="A6" s="34">
        <f>A5+1</f>
        <v>2008</v>
      </c>
      <c r="B6" s="163">
        <v>1.4</v>
      </c>
      <c r="C6" s="163">
        <v>-0.49</v>
      </c>
      <c r="D6" s="163">
        <f t="shared" ref="D6:D38" si="0">((1+C6/100)/(1+B6/100)-1)*100</f>
        <v>-1.8639053254437932</v>
      </c>
      <c r="E6" s="163"/>
      <c r="F6" s="163">
        <v>-0.21197097075519311</v>
      </c>
      <c r="G6" s="163"/>
      <c r="H6" s="163"/>
      <c r="I6" s="165"/>
      <c r="J6" s="163">
        <v>0.999</v>
      </c>
      <c r="K6" s="163"/>
      <c r="L6" s="163"/>
      <c r="M6" s="163"/>
      <c r="N6" s="163"/>
      <c r="P6" s="45"/>
      <c r="Q6" s="45"/>
      <c r="R6" s="45"/>
      <c r="S6" s="45"/>
    </row>
    <row r="7" spans="1:22">
      <c r="A7" s="34">
        <f t="shared" ref="A7:A27" si="1">A6+1</f>
        <v>2009</v>
      </c>
      <c r="B7" s="163">
        <v>-1.4</v>
      </c>
      <c r="C7" s="163">
        <v>-3.03</v>
      </c>
      <c r="D7" s="163">
        <f t="shared" si="0"/>
        <v>-1.6531440162271815</v>
      </c>
      <c r="E7" s="163">
        <f>(POWER((1+D6/100)*(1+D7/100)*(1+D8/100),1/3)-1)*100</f>
        <v>-1.089674640455196</v>
      </c>
      <c r="F7" s="163">
        <v>-0.21242124212420554</v>
      </c>
      <c r="G7" s="163"/>
      <c r="H7" s="163"/>
      <c r="I7" s="165"/>
      <c r="J7" s="163">
        <v>0.997</v>
      </c>
      <c r="K7" s="163"/>
      <c r="L7" s="163"/>
      <c r="M7" s="163"/>
      <c r="N7" s="163"/>
      <c r="P7" s="45"/>
      <c r="Q7" s="45"/>
      <c r="R7" s="45"/>
      <c r="S7" s="45"/>
    </row>
    <row r="8" spans="1:22">
      <c r="A8" s="34">
        <f t="shared" si="1"/>
        <v>2010</v>
      </c>
      <c r="B8" s="163">
        <v>-0.7</v>
      </c>
      <c r="C8" s="163">
        <v>-0.44</v>
      </c>
      <c r="D8" s="163">
        <f t="shared" si="0"/>
        <v>0.26183282980867251</v>
      </c>
      <c r="E8" s="163">
        <f t="shared" ref="E8" si="2">(POWER((1+D7/100)*(1+D8/100)*(1+D9/100),1/3)-1)*100</f>
        <v>-0.39423796675185363</v>
      </c>
      <c r="F8" s="163">
        <v>-0.21287343050946372</v>
      </c>
      <c r="G8" s="163"/>
      <c r="H8" s="163"/>
      <c r="I8" s="165"/>
      <c r="J8" s="163">
        <v>1.008</v>
      </c>
      <c r="K8" s="163"/>
      <c r="L8" s="163"/>
      <c r="M8" s="163"/>
      <c r="N8" s="163"/>
      <c r="P8" s="45"/>
      <c r="Q8" s="45"/>
      <c r="R8" s="45"/>
      <c r="S8" s="45"/>
    </row>
    <row r="9" spans="1:22">
      <c r="A9" s="34">
        <f t="shared" si="1"/>
        <v>2011</v>
      </c>
      <c r="B9" s="163">
        <v>-0.3</v>
      </c>
      <c r="C9" s="163">
        <v>-0.08</v>
      </c>
      <c r="D9" s="163">
        <f t="shared" si="0"/>
        <v>0.22066198595787068</v>
      </c>
      <c r="E9" s="163">
        <f>(POWER((1+D8/100)*(1+D9/100)*(1+D10/100),1/3)-1)*100</f>
        <v>5.3813285784376497E-2</v>
      </c>
      <c r="F9" s="163">
        <v>-0.21332754817947608</v>
      </c>
      <c r="G9" s="163"/>
      <c r="H9" s="163"/>
      <c r="I9" s="165"/>
      <c r="J9" s="163">
        <v>0.98399999999999999</v>
      </c>
      <c r="K9" s="163"/>
      <c r="L9" s="163"/>
      <c r="M9" s="163"/>
      <c r="N9" s="163"/>
      <c r="P9" s="45"/>
      <c r="Q9" s="45"/>
      <c r="R9" s="45"/>
      <c r="S9" s="45"/>
    </row>
    <row r="10" spans="1:22">
      <c r="A10" s="34">
        <f t="shared" si="1"/>
        <v>2012</v>
      </c>
      <c r="B10" s="163">
        <v>0</v>
      </c>
      <c r="C10" s="163">
        <v>-0.32</v>
      </c>
      <c r="D10" s="163">
        <f t="shared" si="0"/>
        <v>-0.31999999999999806</v>
      </c>
      <c r="E10" s="163">
        <f>(POWER((1+D9/100)*(1+D10/100)*(1+D11/100),1/3)-1)*100</f>
        <v>-9.9782207956833346E-2</v>
      </c>
      <c r="F10" s="163">
        <v>-0.21378360750780034</v>
      </c>
      <c r="G10" s="163"/>
      <c r="H10" s="163"/>
      <c r="I10" s="165"/>
      <c r="J10" s="163">
        <v>0.96399999999999997</v>
      </c>
      <c r="K10" s="163"/>
      <c r="L10" s="163"/>
      <c r="M10" s="163"/>
      <c r="N10" s="163"/>
      <c r="P10" s="45"/>
      <c r="Q10" s="45"/>
      <c r="R10" s="45"/>
      <c r="S10" s="45"/>
    </row>
    <row r="11" spans="1:22">
      <c r="A11" s="34">
        <f t="shared" si="1"/>
        <v>2013</v>
      </c>
      <c r="B11" s="163">
        <v>0.4</v>
      </c>
      <c r="C11" s="163">
        <v>0.2</v>
      </c>
      <c r="D11" s="163">
        <f t="shared" si="0"/>
        <v>-0.19920318725099584</v>
      </c>
      <c r="E11" s="163">
        <f t="shared" ref="E11:E38" si="3">(POWER((1+D10/100)*(1+D11/100)*(1+D12/100),1/3)-1)*100</f>
        <v>-0.69479391672784274</v>
      </c>
      <c r="F11" s="163">
        <v>-0.21424162097388733</v>
      </c>
      <c r="G11" s="163"/>
      <c r="H11" s="163"/>
      <c r="I11" s="206">
        <f>ROUND((1+B9/100)*(1+E7/100),3)</f>
        <v>0.98599999999999999</v>
      </c>
      <c r="J11" s="163">
        <v>0.95099999999999996</v>
      </c>
      <c r="K11" s="163"/>
      <c r="L11" s="163"/>
      <c r="M11" s="163"/>
      <c r="N11" s="163"/>
      <c r="P11" s="35">
        <v>295401.14542107802</v>
      </c>
      <c r="Q11" s="45"/>
      <c r="R11" s="45"/>
      <c r="S11" s="45"/>
    </row>
    <row r="12" spans="1:22">
      <c r="A12" s="34">
        <f t="shared" si="1"/>
        <v>2014</v>
      </c>
      <c r="B12" s="163">
        <v>2.6</v>
      </c>
      <c r="C12" s="163">
        <v>1</v>
      </c>
      <c r="D12" s="163">
        <f t="shared" si="0"/>
        <v>-1.5594541910331383</v>
      </c>
      <c r="E12" s="163">
        <f t="shared" si="3"/>
        <v>-0.8061444302543519</v>
      </c>
      <c r="F12" s="163">
        <v>-0.21470160116449089</v>
      </c>
      <c r="G12" s="163"/>
      <c r="H12" s="163"/>
      <c r="I12" s="206">
        <f>ROUND((1+B10/100)*(1+E8/100),3)</f>
        <v>0.996</v>
      </c>
      <c r="J12" s="163">
        <v>0.94699999999999995</v>
      </c>
      <c r="K12" s="163"/>
      <c r="L12" s="163"/>
      <c r="M12" s="163"/>
      <c r="N12" s="163"/>
      <c r="P12" s="35">
        <v>301387.85323206597</v>
      </c>
      <c r="Q12" s="44">
        <f>P12/P11-1</f>
        <v>2.0266366274424019E-2</v>
      </c>
      <c r="R12" s="39">
        <v>38.660964000000007</v>
      </c>
      <c r="S12" s="45"/>
    </row>
    <row r="13" spans="1:22">
      <c r="A13" s="34">
        <f t="shared" si="1"/>
        <v>2015</v>
      </c>
      <c r="B13" s="163">
        <v>2.2999999999999998</v>
      </c>
      <c r="C13" s="163">
        <v>1.63</v>
      </c>
      <c r="D13" s="163">
        <f t="shared" si="0"/>
        <v>-0.65493646138806705</v>
      </c>
      <c r="E13" s="163">
        <f t="shared" si="3"/>
        <v>-0.65268602999207781</v>
      </c>
      <c r="F13" s="163">
        <v>-0.21516356077457832</v>
      </c>
      <c r="G13" s="163"/>
      <c r="H13" s="163"/>
      <c r="I13" s="206">
        <f>ROUND((1+B11/100)*(1+E9/100),3)</f>
        <v>1.0049999999999999</v>
      </c>
      <c r="J13" s="163">
        <v>0.95199999999999996</v>
      </c>
      <c r="K13" s="163" t="s">
        <v>138</v>
      </c>
      <c r="L13" s="163"/>
      <c r="M13" s="163">
        <v>1.08</v>
      </c>
      <c r="N13" s="163">
        <v>0.90120092312293532</v>
      </c>
      <c r="P13" s="35">
        <v>310475.98460265802</v>
      </c>
      <c r="Q13" s="44">
        <f t="shared" ref="Q13:S28" si="4">P13/P12-1</f>
        <v>3.0154272221429856E-2</v>
      </c>
      <c r="R13" s="39">
        <v>38.457923000000001</v>
      </c>
      <c r="S13" s="44">
        <f t="shared" si="4"/>
        <v>-5.251834899926644E-3</v>
      </c>
    </row>
    <row r="14" spans="1:22">
      <c r="A14" s="34">
        <f t="shared" si="1"/>
        <v>2016</v>
      </c>
      <c r="B14" s="163">
        <v>2</v>
      </c>
      <c r="C14" s="163">
        <v>2.27</v>
      </c>
      <c r="D14" s="163">
        <f t="shared" si="0"/>
        <v>0.26470588235294468</v>
      </c>
      <c r="E14" s="163">
        <f t="shared" si="3"/>
        <v>0.3462114292744678</v>
      </c>
      <c r="F14" s="163">
        <v>-0.21562751260872925</v>
      </c>
      <c r="G14" s="163">
        <f t="shared" ref="G14:G38" si="5">MAX(((1+E11/100)*(1+B13/100)*(1+F11/100)-1)*100,0)</f>
        <v>1.3715794190489961</v>
      </c>
      <c r="H14" s="163">
        <f t="shared" ref="H14:H38" si="6">MIN(G14,B13)</f>
        <v>1.3715794190489961</v>
      </c>
      <c r="I14" s="206">
        <f>ROUND((1+B12/100)*(1+E10/100),3)</f>
        <v>1.0249999999999999</v>
      </c>
      <c r="J14" s="163">
        <v>0.97599999999999998</v>
      </c>
      <c r="K14" s="163" t="s">
        <v>65</v>
      </c>
      <c r="L14" s="163" t="s">
        <v>66</v>
      </c>
      <c r="M14" s="163">
        <v>1.18</v>
      </c>
      <c r="N14" s="163">
        <v>0.73335596598308439</v>
      </c>
      <c r="P14" s="35">
        <v>321961.51987161895</v>
      </c>
      <c r="Q14" s="44">
        <f t="shared" si="4"/>
        <v>3.6993312972853465E-2</v>
      </c>
      <c r="R14" s="39">
        <v>38.383462000000002</v>
      </c>
      <c r="S14" s="44">
        <f t="shared" si="4"/>
        <v>-1.9361680036646955E-3</v>
      </c>
      <c r="T14" s="43" t="s">
        <v>139</v>
      </c>
      <c r="V14" s="52"/>
    </row>
    <row r="15" spans="1:22">
      <c r="A15" s="34">
        <f t="shared" si="1"/>
        <v>2017</v>
      </c>
      <c r="B15" s="163">
        <v>1.4</v>
      </c>
      <c r="C15" s="163">
        <v>2.86</v>
      </c>
      <c r="D15" s="163">
        <f t="shared" si="0"/>
        <v>1.4398422090729834</v>
      </c>
      <c r="E15" s="163">
        <f t="shared" si="3"/>
        <v>1.080351641622368</v>
      </c>
      <c r="F15" s="163">
        <v>-7.2031156527374574E-2</v>
      </c>
      <c r="G15" s="163">
        <f t="shared" si="5"/>
        <v>0.96050246905223791</v>
      </c>
      <c r="H15" s="163">
        <f t="shared" si="6"/>
        <v>0.96050246905223791</v>
      </c>
      <c r="I15" s="206">
        <f t="shared" ref="I15:I38" si="7">(1+B13/100)*(1+E11/100)</f>
        <v>1.0158922582318741</v>
      </c>
      <c r="J15" s="163">
        <f>I15*J14</f>
        <v>0.99151084403430911</v>
      </c>
      <c r="K15" s="163">
        <v>1</v>
      </c>
      <c r="L15" s="163"/>
      <c r="M15" s="163">
        <v>1.21</v>
      </c>
      <c r="N15" s="163">
        <f>マクロ経済スライド!K9*(-100)</f>
        <v>0.53273982819750354</v>
      </c>
      <c r="P15" s="35">
        <v>333901.077772677</v>
      </c>
      <c r="Q15" s="44">
        <f t="shared" si="4"/>
        <v>3.7083804008065657E-2</v>
      </c>
      <c r="R15" s="39">
        <v>38.293810999999998</v>
      </c>
      <c r="S15" s="44">
        <f t="shared" si="4"/>
        <v>-2.3356673767468417E-3</v>
      </c>
      <c r="T15" s="44">
        <f>Q15-S15</f>
        <v>3.9419471384812499E-2</v>
      </c>
      <c r="U15" s="39"/>
      <c r="V15" s="39">
        <v>1</v>
      </c>
    </row>
    <row r="16" spans="1:22">
      <c r="A16" s="34">
        <f t="shared" si="1"/>
        <v>2018</v>
      </c>
      <c r="B16" s="163">
        <v>1.2</v>
      </c>
      <c r="C16" s="163">
        <v>2.76</v>
      </c>
      <c r="D16" s="163">
        <f t="shared" si="0"/>
        <v>1.5415019762845983</v>
      </c>
      <c r="E16" s="163">
        <f t="shared" si="3"/>
        <v>1.4779610439531909</v>
      </c>
      <c r="F16" s="163">
        <v>0</v>
      </c>
      <c r="G16" s="163">
        <f t="shared" si="5"/>
        <v>0.52142451826047154</v>
      </c>
      <c r="H16" s="163">
        <f t="shared" si="6"/>
        <v>0.52142451826047154</v>
      </c>
      <c r="I16" s="206">
        <f t="shared" si="7"/>
        <v>1.0117773268114056</v>
      </c>
      <c r="J16" s="163">
        <f t="shared" ref="J16:J38" si="8">I16*J15</f>
        <v>1.0031881912815539</v>
      </c>
      <c r="K16" s="163">
        <v>1</v>
      </c>
      <c r="L16" s="163">
        <f>AVERAGE(K15:K16)</f>
        <v>1</v>
      </c>
      <c r="M16" s="163">
        <v>1.1200000000000001</v>
      </c>
      <c r="N16" s="163">
        <f>マクロ経済スライド!K10*(-100)</f>
        <v>0.32214019848313374</v>
      </c>
      <c r="P16" s="35">
        <v>343657.92803782399</v>
      </c>
      <c r="Q16" s="44">
        <f t="shared" si="4"/>
        <v>2.9220780987683881E-2</v>
      </c>
      <c r="R16" s="39">
        <v>38.074971999999995</v>
      </c>
      <c r="S16" s="44">
        <f t="shared" si="4"/>
        <v>-5.714735469917076E-3</v>
      </c>
      <c r="T16" s="44">
        <f t="shared" ref="T16:T38" si="9">Q16-S16</f>
        <v>3.4935516457600957E-2</v>
      </c>
      <c r="U16" s="39">
        <f>POWER((1+T15)*(1+T16),1/2)</f>
        <v>1.0371750707733616</v>
      </c>
      <c r="V16" s="39">
        <v>1</v>
      </c>
    </row>
    <row r="17" spans="1:22">
      <c r="A17" s="34">
        <f t="shared" si="1"/>
        <v>2019</v>
      </c>
      <c r="B17" s="163">
        <v>1.2</v>
      </c>
      <c r="C17" s="163">
        <v>2.67</v>
      </c>
      <c r="D17" s="163">
        <f t="shared" si="0"/>
        <v>1.4525691699604604</v>
      </c>
      <c r="E17" s="163">
        <f t="shared" si="3"/>
        <v>1.4723195086468577</v>
      </c>
      <c r="F17" s="163">
        <v>0</v>
      </c>
      <c r="G17" s="163">
        <f t="shared" si="5"/>
        <v>1.3313954382472959</v>
      </c>
      <c r="H17" s="163">
        <f t="shared" si="6"/>
        <v>1.2</v>
      </c>
      <c r="I17" s="206">
        <f t="shared" si="7"/>
        <v>1.0073817636558804</v>
      </c>
      <c r="J17" s="163">
        <f t="shared" si="8"/>
        <v>1.0105934894119644</v>
      </c>
      <c r="K17" s="163">
        <f t="shared" ref="K17:K38" si="10">K16*I17</f>
        <v>1.0073817636558804</v>
      </c>
      <c r="L17" s="163">
        <f t="shared" ref="L17:L38" si="11">AVERAGE(K16:K17)</f>
        <v>1.0036908818279402</v>
      </c>
      <c r="M17" s="163">
        <v>0.98</v>
      </c>
      <c r="N17" s="163">
        <f>マクロ経済スライド!K11*(-100)</f>
        <v>0.44415913909375798</v>
      </c>
      <c r="P17" s="35">
        <v>351828.41281463095</v>
      </c>
      <c r="Q17" s="44">
        <f t="shared" si="4"/>
        <v>2.3775051032454808E-2</v>
      </c>
      <c r="R17" s="39">
        <v>37.859996000000002</v>
      </c>
      <c r="S17" s="44">
        <f t="shared" si="4"/>
        <v>-5.6461236530913617E-3</v>
      </c>
      <c r="T17" s="44">
        <f t="shared" si="9"/>
        <v>2.942117468554617E-2</v>
      </c>
      <c r="U17" s="39">
        <f t="shared" ref="U17:U38" si="12">POWER((1+T16)*(1+T17),1/2)</f>
        <v>1.0321746630660802</v>
      </c>
      <c r="V17" s="39">
        <f t="shared" ref="V17:V38" si="13">V16*U17</f>
        <v>1.0321746630660802</v>
      </c>
    </row>
    <row r="18" spans="1:22">
      <c r="A18" s="34">
        <f t="shared" si="1"/>
        <v>2020</v>
      </c>
      <c r="B18" s="163">
        <v>1.2</v>
      </c>
      <c r="C18" s="163">
        <v>2.64</v>
      </c>
      <c r="D18" s="163">
        <f t="shared" si="0"/>
        <v>1.4229249011857625</v>
      </c>
      <c r="E18" s="163">
        <f t="shared" si="3"/>
        <v>1.3734763528627125</v>
      </c>
      <c r="F18" s="163">
        <v>0</v>
      </c>
      <c r="G18" s="163">
        <f t="shared" si="5"/>
        <v>2.2196328028567303</v>
      </c>
      <c r="H18" s="163">
        <f t="shared" si="6"/>
        <v>1.2</v>
      </c>
      <c r="I18" s="206">
        <f t="shared" si="7"/>
        <v>1.0155036596642577</v>
      </c>
      <c r="J18" s="163">
        <f t="shared" si="8"/>
        <v>1.026261386930722</v>
      </c>
      <c r="K18" s="163">
        <f t="shared" si="10"/>
        <v>1.0229998676715808</v>
      </c>
      <c r="L18" s="163">
        <f t="shared" si="11"/>
        <v>1.0151908156637306</v>
      </c>
      <c r="M18" s="163">
        <v>0.96</v>
      </c>
      <c r="N18" s="163">
        <f>マクロ経済スライド!K12*(-100)</f>
        <v>0.59995926211425776</v>
      </c>
      <c r="P18" s="35">
        <v>359607.90591493907</v>
      </c>
      <c r="Q18" s="44">
        <f t="shared" si="4"/>
        <v>2.2111611276849574E-2</v>
      </c>
      <c r="R18" s="39">
        <v>37.651544999999999</v>
      </c>
      <c r="S18" s="44">
        <f t="shared" si="4"/>
        <v>-5.5058378770035388E-3</v>
      </c>
      <c r="T18" s="44">
        <f t="shared" si="9"/>
        <v>2.7617449153853113E-2</v>
      </c>
      <c r="U18" s="39">
        <f t="shared" si="12"/>
        <v>1.0285189165179822</v>
      </c>
      <c r="V18" s="39">
        <f t="shared" si="13"/>
        <v>1.0616111661140382</v>
      </c>
    </row>
    <row r="19" spans="1:22">
      <c r="A19" s="34">
        <f t="shared" si="1"/>
        <v>2021</v>
      </c>
      <c r="B19" s="163">
        <v>1.2</v>
      </c>
      <c r="C19" s="163">
        <v>2.46</v>
      </c>
      <c r="D19" s="163">
        <f t="shared" si="0"/>
        <v>1.2450592885375533</v>
      </c>
      <c r="E19" s="163">
        <f t="shared" si="3"/>
        <v>1.3668934458437976</v>
      </c>
      <c r="F19" s="163">
        <v>0</v>
      </c>
      <c r="G19" s="163">
        <f t="shared" si="5"/>
        <v>2.6956965764806329</v>
      </c>
      <c r="H19" s="163">
        <f t="shared" si="6"/>
        <v>1.2</v>
      </c>
      <c r="I19" s="206">
        <f t="shared" si="7"/>
        <v>1.0229331586132184</v>
      </c>
      <c r="J19" s="163">
        <f t="shared" si="8"/>
        <v>1.0497968020958257</v>
      </c>
      <c r="K19" s="163">
        <f t="shared" si="10"/>
        <v>1.0464604858981945</v>
      </c>
      <c r="L19" s="163">
        <f t="shared" si="11"/>
        <v>1.0347301767848878</v>
      </c>
      <c r="M19" s="163">
        <v>0.97</v>
      </c>
      <c r="N19" s="163">
        <f>マクロ経済スライド!K13*(-100)</f>
        <v>0.83254515052868483</v>
      </c>
      <c r="P19" s="35">
        <v>367012.59936316009</v>
      </c>
      <c r="Q19" s="44">
        <f t="shared" si="4"/>
        <v>2.0591019625615603E-2</v>
      </c>
      <c r="R19" s="39">
        <v>37.440120999999998</v>
      </c>
      <c r="S19" s="44">
        <f t="shared" si="4"/>
        <v>-5.6152808603205928E-3</v>
      </c>
      <c r="T19" s="44">
        <f t="shared" si="9"/>
        <v>2.6206300485936196E-2</v>
      </c>
      <c r="U19" s="39">
        <f t="shared" si="12"/>
        <v>1.0269116324255803</v>
      </c>
      <c r="V19" s="39">
        <f t="shared" si="13"/>
        <v>1.0901808555953907</v>
      </c>
    </row>
    <row r="20" spans="1:22">
      <c r="A20" s="34">
        <f t="shared" si="1"/>
        <v>2022</v>
      </c>
      <c r="B20" s="163">
        <v>1.2</v>
      </c>
      <c r="C20" s="163">
        <v>2.65</v>
      </c>
      <c r="D20" s="163">
        <f t="shared" si="0"/>
        <v>1.4328063241106692</v>
      </c>
      <c r="E20" s="163">
        <f t="shared" si="3"/>
        <v>1.3833507136340017</v>
      </c>
      <c r="F20" s="163">
        <v>0</v>
      </c>
      <c r="G20" s="163">
        <f t="shared" si="5"/>
        <v>2.6899873427506105</v>
      </c>
      <c r="H20" s="163">
        <f t="shared" si="6"/>
        <v>1.2</v>
      </c>
      <c r="I20" s="206">
        <f t="shared" si="7"/>
        <v>1.0269569657648063</v>
      </c>
      <c r="J20" s="163">
        <f t="shared" si="8"/>
        <v>1.0780961385499261</v>
      </c>
      <c r="K20" s="163">
        <f t="shared" si="10"/>
        <v>1.0746698853907748</v>
      </c>
      <c r="L20" s="163">
        <f t="shared" si="11"/>
        <v>1.0605651856444847</v>
      </c>
      <c r="M20" s="163">
        <v>0.97</v>
      </c>
      <c r="N20" s="163">
        <f>マクロ経済スライド!K14*(-100)</f>
        <v>0.80787899582217515</v>
      </c>
      <c r="P20" s="35">
        <v>374451.95644172403</v>
      </c>
      <c r="Q20" s="44">
        <f t="shared" si="4"/>
        <v>2.0270031850330827E-2</v>
      </c>
      <c r="R20" s="39">
        <v>37.225190000000005</v>
      </c>
      <c r="S20" s="44">
        <f t="shared" si="4"/>
        <v>-5.7406598659227592E-3</v>
      </c>
      <c r="T20" s="44">
        <f t="shared" si="9"/>
        <v>2.6010691716253587E-2</v>
      </c>
      <c r="U20" s="39">
        <f t="shared" si="12"/>
        <v>1.0261084914399417</v>
      </c>
      <c r="V20" s="39">
        <f t="shared" si="13"/>
        <v>1.1186438331316912</v>
      </c>
    </row>
    <row r="21" spans="1:22">
      <c r="A21" s="34">
        <f t="shared" si="1"/>
        <v>2023</v>
      </c>
      <c r="B21" s="163">
        <v>1.2</v>
      </c>
      <c r="C21" s="163">
        <v>2.69</v>
      </c>
      <c r="D21" s="163">
        <f t="shared" si="0"/>
        <v>1.4723320158102737</v>
      </c>
      <c r="E21" s="163">
        <f t="shared" si="3"/>
        <v>1.3965422238620517</v>
      </c>
      <c r="F21" s="163">
        <v>0</v>
      </c>
      <c r="G21" s="163">
        <f t="shared" si="5"/>
        <v>2.5899580690970758</v>
      </c>
      <c r="H21" s="163">
        <f t="shared" si="6"/>
        <v>1.2</v>
      </c>
      <c r="I21" s="206">
        <f t="shared" si="7"/>
        <v>1.0268998734275061</v>
      </c>
      <c r="J21" s="163">
        <f t="shared" si="8"/>
        <v>1.1070967882196023</v>
      </c>
      <c r="K21" s="163">
        <f t="shared" si="10"/>
        <v>1.1035783692841392</v>
      </c>
      <c r="L21" s="163">
        <f t="shared" si="11"/>
        <v>1.089124127337457</v>
      </c>
      <c r="M21" s="163">
        <v>0.95</v>
      </c>
      <c r="N21" s="163">
        <f>マクロ経済スライド!K15*(-100)</f>
        <v>0.80078405108235906</v>
      </c>
      <c r="P21" s="35">
        <v>382311.58451339899</v>
      </c>
      <c r="Q21" s="44">
        <f t="shared" si="4"/>
        <v>2.0989683553431115E-2</v>
      </c>
      <c r="R21" s="39">
        <v>37.001604999999998</v>
      </c>
      <c r="S21" s="44">
        <f t="shared" si="4"/>
        <v>-6.006282305073718E-3</v>
      </c>
      <c r="T21" s="44">
        <f t="shared" si="9"/>
        <v>2.6995965858504833E-2</v>
      </c>
      <c r="U21" s="39">
        <f t="shared" si="12"/>
        <v>1.0265032105747582</v>
      </c>
      <c r="V21" s="39">
        <f t="shared" si="13"/>
        <v>1.1482914861993352</v>
      </c>
    </row>
    <row r="22" spans="1:22">
      <c r="A22" s="34">
        <f t="shared" si="1"/>
        <v>2024</v>
      </c>
      <c r="B22" s="163">
        <v>1.2</v>
      </c>
      <c r="C22" s="163">
        <v>2.5</v>
      </c>
      <c r="D22" s="163">
        <f t="shared" si="0"/>
        <v>1.2845849802371356</v>
      </c>
      <c r="E22" s="163">
        <f t="shared" si="3"/>
        <v>1.3471286964343854</v>
      </c>
      <c r="F22" s="163">
        <v>0</v>
      </c>
      <c r="G22" s="163">
        <f t="shared" si="5"/>
        <v>2.583296167193927</v>
      </c>
      <c r="H22" s="163">
        <f t="shared" si="6"/>
        <v>1.2</v>
      </c>
      <c r="I22" s="206">
        <f t="shared" si="7"/>
        <v>1.0258995806909708</v>
      </c>
      <c r="J22" s="163">
        <f t="shared" si="8"/>
        <v>1.1357701308188104</v>
      </c>
      <c r="K22" s="163">
        <f t="shared" si="10"/>
        <v>1.1321605863082238</v>
      </c>
      <c r="L22" s="163">
        <f t="shared" si="11"/>
        <v>1.1178694777961815</v>
      </c>
      <c r="M22" s="163">
        <v>0.94</v>
      </c>
      <c r="N22" s="163">
        <f>マクロ経済スライド!K16*(-100)</f>
        <v>0.80499588091077456</v>
      </c>
      <c r="P22" s="35">
        <v>389771.587642528</v>
      </c>
      <c r="Q22" s="44">
        <f t="shared" si="4"/>
        <v>1.9512887998473838E-2</v>
      </c>
      <c r="R22" s="39">
        <v>36.760974000000004</v>
      </c>
      <c r="S22" s="44">
        <f t="shared" si="4"/>
        <v>-6.5032584397350934E-3</v>
      </c>
      <c r="T22" s="44">
        <f t="shared" si="9"/>
        <v>2.6016146438208931E-2</v>
      </c>
      <c r="U22" s="39">
        <f t="shared" si="12"/>
        <v>1.026505939241332</v>
      </c>
      <c r="V22" s="39">
        <f t="shared" si="13"/>
        <v>1.1787280305638737</v>
      </c>
    </row>
    <row r="23" spans="1:22">
      <c r="A23" s="34">
        <f t="shared" si="1"/>
        <v>2025</v>
      </c>
      <c r="B23" s="163">
        <v>1.2</v>
      </c>
      <c r="C23" s="163">
        <v>2.5</v>
      </c>
      <c r="D23" s="163">
        <f t="shared" si="0"/>
        <v>1.2845849802371356</v>
      </c>
      <c r="E23" s="163">
        <f t="shared" si="3"/>
        <v>1.2845849802371356</v>
      </c>
      <c r="F23" s="163">
        <v>0</v>
      </c>
      <c r="G23" s="163">
        <f t="shared" si="5"/>
        <v>2.5999509221976025</v>
      </c>
      <c r="H23" s="163">
        <f t="shared" si="6"/>
        <v>1.2</v>
      </c>
      <c r="I23" s="206">
        <f t="shared" si="7"/>
        <v>1.0258329616719393</v>
      </c>
      <c r="J23" s="163">
        <f t="shared" si="8"/>
        <v>1.1651104370763863</v>
      </c>
      <c r="K23" s="163">
        <f t="shared" si="10"/>
        <v>1.1614076473408044</v>
      </c>
      <c r="L23" s="163">
        <f t="shared" si="11"/>
        <v>1.1467841168245141</v>
      </c>
      <c r="M23" s="163">
        <v>0.96</v>
      </c>
      <c r="N23" s="163">
        <f>マクロ経済スライド!K17*(-100)</f>
        <v>0.83284913008183603</v>
      </c>
      <c r="P23" s="35">
        <v>396753.36055632099</v>
      </c>
      <c r="Q23" s="44">
        <f t="shared" si="4"/>
        <v>1.7912472676679947E-2</v>
      </c>
      <c r="R23" s="39">
        <v>36.503672999999999</v>
      </c>
      <c r="S23" s="44">
        <f t="shared" si="4"/>
        <v>-6.9992976791095618E-3</v>
      </c>
      <c r="T23" s="44">
        <f t="shared" si="9"/>
        <v>2.4911770355789509E-2</v>
      </c>
      <c r="U23" s="39">
        <f t="shared" si="12"/>
        <v>1.0254638097269009</v>
      </c>
      <c r="V23" s="39">
        <f t="shared" si="13"/>
        <v>1.2087429368539166</v>
      </c>
    </row>
    <row r="24" spans="1:22">
      <c r="A24" s="34">
        <f t="shared" si="1"/>
        <v>2026</v>
      </c>
      <c r="B24" s="163">
        <v>1.2</v>
      </c>
      <c r="C24" s="163">
        <v>2.5</v>
      </c>
      <c r="D24" s="163">
        <f t="shared" si="0"/>
        <v>1.2845849802371356</v>
      </c>
      <c r="E24" s="163">
        <f t="shared" si="3"/>
        <v>1.2845849802371356</v>
      </c>
      <c r="F24" s="163">
        <v>0</v>
      </c>
      <c r="G24" s="163">
        <f t="shared" si="5"/>
        <v>2.6133007305483957</v>
      </c>
      <c r="H24" s="163">
        <f t="shared" si="6"/>
        <v>1.2</v>
      </c>
      <c r="I24" s="206">
        <f t="shared" si="7"/>
        <v>1.025999509221976</v>
      </c>
      <c r="J24" s="163">
        <f t="shared" si="8"/>
        <v>1.1954027366297744</v>
      </c>
      <c r="K24" s="163">
        <f t="shared" si="10"/>
        <v>1.1916036761783151</v>
      </c>
      <c r="L24" s="163">
        <f t="shared" si="11"/>
        <v>1.1765056617595597</v>
      </c>
      <c r="M24" s="163">
        <v>1.01</v>
      </c>
      <c r="N24" s="163">
        <f>マクロ経済スライド!K18*(-100)</f>
        <v>0.88262276153503427</v>
      </c>
      <c r="P24" s="35">
        <v>403739.312242402</v>
      </c>
      <c r="Q24" s="44">
        <f t="shared" si="4"/>
        <v>1.7607794616497863E-2</v>
      </c>
      <c r="R24" s="39">
        <v>36.236209000000002</v>
      </c>
      <c r="S24" s="44">
        <f t="shared" si="4"/>
        <v>-7.3270435005265977E-3</v>
      </c>
      <c r="T24" s="44">
        <f t="shared" si="9"/>
        <v>2.493483811702446E-2</v>
      </c>
      <c r="U24" s="39">
        <f t="shared" si="12"/>
        <v>1.0249233041715093</v>
      </c>
      <c r="V24" s="39">
        <f t="shared" si="13"/>
        <v>1.2388688047342904</v>
      </c>
    </row>
    <row r="25" spans="1:22">
      <c r="A25" s="34">
        <f t="shared" si="1"/>
        <v>2027</v>
      </c>
      <c r="B25" s="163">
        <v>1.2</v>
      </c>
      <c r="C25" s="163">
        <v>2.5</v>
      </c>
      <c r="D25" s="163">
        <f t="shared" si="0"/>
        <v>1.2845849802371356</v>
      </c>
      <c r="E25" s="163">
        <f t="shared" si="3"/>
        <v>1.2845849802371356</v>
      </c>
      <c r="F25" s="163">
        <v>0</v>
      </c>
      <c r="G25" s="163">
        <f t="shared" si="5"/>
        <v>2.5632942407916026</v>
      </c>
      <c r="H25" s="163">
        <f t="shared" si="6"/>
        <v>1.2</v>
      </c>
      <c r="I25" s="206">
        <f t="shared" si="7"/>
        <v>1.026133007305484</v>
      </c>
      <c r="J25" s="163">
        <f t="shared" si="8"/>
        <v>1.2266422050791157</v>
      </c>
      <c r="K25" s="163">
        <f t="shared" si="10"/>
        <v>1.2227438637531245</v>
      </c>
      <c r="L25" s="163">
        <f t="shared" si="11"/>
        <v>1.2071737699657197</v>
      </c>
      <c r="M25" s="163">
        <v>1.08</v>
      </c>
      <c r="N25" s="163">
        <f>マクロ経済スライド!K19*(-100)</f>
        <v>0.94191262090467209</v>
      </c>
      <c r="P25" s="35">
        <v>410435.98621401098</v>
      </c>
      <c r="Q25" s="44">
        <f t="shared" si="4"/>
        <v>1.6586628471760845E-2</v>
      </c>
      <c r="R25" s="39">
        <v>35.950212999999998</v>
      </c>
      <c r="S25" s="44">
        <f t="shared" si="4"/>
        <v>-7.8925474792356232E-3</v>
      </c>
      <c r="T25" s="44">
        <f t="shared" si="9"/>
        <v>2.4479175950996468E-2</v>
      </c>
      <c r="U25" s="39">
        <f t="shared" si="12"/>
        <v>1.0247069817062813</v>
      </c>
      <c r="V25" s="39">
        <f t="shared" si="13"/>
        <v>1.269477513629343</v>
      </c>
    </row>
    <row r="26" spans="1:22">
      <c r="A26" s="34">
        <f t="shared" si="1"/>
        <v>2028</v>
      </c>
      <c r="B26" s="163">
        <v>1.2</v>
      </c>
      <c r="C26" s="163">
        <v>2.5</v>
      </c>
      <c r="D26" s="163">
        <f t="shared" si="0"/>
        <v>1.2845849802371356</v>
      </c>
      <c r="E26" s="163">
        <f t="shared" si="3"/>
        <v>1.2845849802371356</v>
      </c>
      <c r="F26" s="163">
        <v>0</v>
      </c>
      <c r="G26" s="163">
        <f t="shared" si="5"/>
        <v>2.4999999999999911</v>
      </c>
      <c r="H26" s="163">
        <f t="shared" si="6"/>
        <v>1.2</v>
      </c>
      <c r="I26" s="206">
        <f t="shared" si="7"/>
        <v>1.025632942407916</v>
      </c>
      <c r="J26" s="163">
        <f t="shared" si="8"/>
        <v>1.2580846540770279</v>
      </c>
      <c r="K26" s="163">
        <f t="shared" si="10"/>
        <v>1.2540863867923411</v>
      </c>
      <c r="L26" s="163">
        <f t="shared" si="11"/>
        <v>1.2384151252727329</v>
      </c>
      <c r="M26" s="163">
        <v>1.1200000000000001</v>
      </c>
      <c r="N26" s="163">
        <f>マクロ経済スライド!K26*(-100)</f>
        <v>1.0589428911131344</v>
      </c>
      <c r="P26" s="35">
        <v>416649.10112777998</v>
      </c>
      <c r="Q26" s="44">
        <f t="shared" si="4"/>
        <v>1.5137841520868278E-2</v>
      </c>
      <c r="R26" s="39">
        <v>35.631210000000003</v>
      </c>
      <c r="S26" s="44">
        <f t="shared" si="4"/>
        <v>-8.8734662017161403E-3</v>
      </c>
      <c r="T26" s="44">
        <f t="shared" si="9"/>
        <v>2.4011307722584418E-2</v>
      </c>
      <c r="U26" s="39">
        <f t="shared" si="12"/>
        <v>1.0242452151219139</v>
      </c>
      <c r="V26" s="39">
        <f t="shared" si="13"/>
        <v>1.3002562690397188</v>
      </c>
    </row>
    <row r="27" spans="1:22">
      <c r="A27" s="34">
        <f t="shared" si="1"/>
        <v>2029</v>
      </c>
      <c r="B27" s="163">
        <v>1.2</v>
      </c>
      <c r="C27" s="163">
        <v>2.5</v>
      </c>
      <c r="D27" s="163">
        <f t="shared" si="0"/>
        <v>1.2845849802371356</v>
      </c>
      <c r="E27" s="163">
        <f t="shared" si="3"/>
        <v>1.2845849802371356</v>
      </c>
      <c r="F27" s="163">
        <v>0</v>
      </c>
      <c r="G27" s="163">
        <f t="shared" si="5"/>
        <v>2.4999999999999911</v>
      </c>
      <c r="H27" s="163">
        <f t="shared" si="6"/>
        <v>1.2</v>
      </c>
      <c r="I27" s="206">
        <f t="shared" si="7"/>
        <v>1.0249999999999999</v>
      </c>
      <c r="J27" s="163">
        <f t="shared" si="8"/>
        <v>1.2895367704289535</v>
      </c>
      <c r="K27" s="163">
        <f t="shared" si="10"/>
        <v>1.2854385464621494</v>
      </c>
      <c r="L27" s="163">
        <f t="shared" si="11"/>
        <v>1.2697624666272453</v>
      </c>
      <c r="M27" s="163">
        <v>1.1399999999999999</v>
      </c>
      <c r="N27" s="163">
        <f>マクロ経済スライド!K27*(-100)</f>
        <v>1.0794474431204955</v>
      </c>
      <c r="P27" s="35">
        <v>422615.15630256798</v>
      </c>
      <c r="Q27" s="44">
        <f t="shared" si="4"/>
        <v>1.431913607551083E-2</v>
      </c>
      <c r="R27" s="39">
        <v>35.292246000000006</v>
      </c>
      <c r="S27" s="44">
        <f t="shared" si="4"/>
        <v>-9.5131206602301344E-3</v>
      </c>
      <c r="T27" s="44">
        <f t="shared" si="9"/>
        <v>2.3832256735740964E-2</v>
      </c>
      <c r="U27" s="39">
        <f t="shared" si="12"/>
        <v>1.0239217783153804</v>
      </c>
      <c r="V27" s="39">
        <f t="shared" si="13"/>
        <v>1.3313607112608707</v>
      </c>
    </row>
    <row r="28" spans="1:22">
      <c r="A28" s="34">
        <f t="shared" ref="A28:A38" si="14">A27+1</f>
        <v>2030</v>
      </c>
      <c r="B28" s="163">
        <v>1.2</v>
      </c>
      <c r="C28" s="163">
        <v>2.5</v>
      </c>
      <c r="D28" s="163">
        <f t="shared" si="0"/>
        <v>1.2845849802371356</v>
      </c>
      <c r="E28" s="163">
        <f t="shared" si="3"/>
        <v>1.2845849802371356</v>
      </c>
      <c r="F28" s="163">
        <v>0</v>
      </c>
      <c r="G28" s="163">
        <f t="shared" si="5"/>
        <v>2.4999999999999911</v>
      </c>
      <c r="H28" s="163">
        <f t="shared" si="6"/>
        <v>1.2</v>
      </c>
      <c r="I28" s="206">
        <f t="shared" si="7"/>
        <v>1.0249999999999999</v>
      </c>
      <c r="J28" s="163">
        <f t="shared" si="8"/>
        <v>1.3217751896896772</v>
      </c>
      <c r="K28" s="163">
        <f t="shared" si="10"/>
        <v>1.3175745101237031</v>
      </c>
      <c r="L28" s="163">
        <f t="shared" si="11"/>
        <v>1.3015065282929261</v>
      </c>
      <c r="M28" s="163">
        <v>1.2</v>
      </c>
      <c r="N28" s="163">
        <f>マクロ経済スライド!K28*(-100)</f>
        <v>1.1370706905234891</v>
      </c>
      <c r="P28" s="35">
        <v>428461.77001068997</v>
      </c>
      <c r="Q28" s="44">
        <f t="shared" si="4"/>
        <v>1.3834368268458741E-2</v>
      </c>
      <c r="R28" s="39">
        <v>34.944160999999994</v>
      </c>
      <c r="S28" s="44">
        <f t="shared" si="4"/>
        <v>-9.8629313645839378E-3</v>
      </c>
      <c r="T28" s="44">
        <f t="shared" si="9"/>
        <v>2.3697299633042679E-2</v>
      </c>
      <c r="U28" s="39">
        <f t="shared" si="12"/>
        <v>1.023764775960563</v>
      </c>
      <c r="V28" s="39">
        <f t="shared" si="13"/>
        <v>1.3630002002866812</v>
      </c>
    </row>
    <row r="29" spans="1:22">
      <c r="A29" s="34">
        <f t="shared" si="14"/>
        <v>2031</v>
      </c>
      <c r="B29" s="163">
        <v>1.2</v>
      </c>
      <c r="C29" s="163">
        <v>2.5</v>
      </c>
      <c r="D29" s="163">
        <f t="shared" si="0"/>
        <v>1.2845849802371356</v>
      </c>
      <c r="E29" s="163">
        <f t="shared" si="3"/>
        <v>1.2845849802371356</v>
      </c>
      <c r="F29" s="163">
        <v>0</v>
      </c>
      <c r="G29" s="163">
        <f t="shared" si="5"/>
        <v>2.4999999999999911</v>
      </c>
      <c r="H29" s="163">
        <f t="shared" si="6"/>
        <v>1.2</v>
      </c>
      <c r="I29" s="206">
        <f t="shared" si="7"/>
        <v>1.0249999999999999</v>
      </c>
      <c r="J29" s="163">
        <f t="shared" si="8"/>
        <v>1.3548195694319189</v>
      </c>
      <c r="K29" s="163">
        <f t="shared" si="10"/>
        <v>1.3505138728767956</v>
      </c>
      <c r="L29" s="163">
        <f t="shared" si="11"/>
        <v>1.3340441915002494</v>
      </c>
      <c r="M29" s="163">
        <v>1.3</v>
      </c>
      <c r="N29" s="163">
        <f>マクロ経済スライド!K29*(-100)</f>
        <v>1.2346310185488814</v>
      </c>
      <c r="P29" s="35">
        <v>434038.98863816797</v>
      </c>
      <c r="Q29" s="44">
        <f t="shared" ref="Q29:S38" si="15">P29/P28-1</f>
        <v>1.3016840749499936E-2</v>
      </c>
      <c r="R29" s="39">
        <v>34.574793</v>
      </c>
      <c r="S29" s="44">
        <f t="shared" si="15"/>
        <v>-1.0570235181780241E-2</v>
      </c>
      <c r="T29" s="44">
        <f t="shared" si="9"/>
        <v>2.3587075931280177E-2</v>
      </c>
      <c r="U29" s="39">
        <f t="shared" si="12"/>
        <v>1.0236421862985785</v>
      </c>
      <c r="V29" s="39">
        <f t="shared" si="13"/>
        <v>1.3952245049468588</v>
      </c>
    </row>
    <row r="30" spans="1:22">
      <c r="A30" s="34">
        <f t="shared" si="14"/>
        <v>2032</v>
      </c>
      <c r="B30" s="163">
        <v>1.2</v>
      </c>
      <c r="C30" s="163">
        <v>2.5</v>
      </c>
      <c r="D30" s="163">
        <f t="shared" si="0"/>
        <v>1.2845849802371356</v>
      </c>
      <c r="E30" s="163">
        <f t="shared" si="3"/>
        <v>1.2845849802371356</v>
      </c>
      <c r="F30" s="163">
        <v>0</v>
      </c>
      <c r="G30" s="163">
        <f t="shared" si="5"/>
        <v>2.4999999999999911</v>
      </c>
      <c r="H30" s="163">
        <f t="shared" si="6"/>
        <v>1.2</v>
      </c>
      <c r="I30" s="206">
        <f t="shared" si="7"/>
        <v>1.0249999999999999</v>
      </c>
      <c r="J30" s="163">
        <f t="shared" si="8"/>
        <v>1.3886900586677169</v>
      </c>
      <c r="K30" s="163">
        <f t="shared" si="10"/>
        <v>1.3842767196987154</v>
      </c>
      <c r="L30" s="163">
        <f t="shared" si="11"/>
        <v>1.3673952962877554</v>
      </c>
      <c r="M30" s="163">
        <v>1.41</v>
      </c>
      <c r="N30" s="163">
        <f>マクロ経済スライド!K30*(-100)</f>
        <v>1.3348531278684734</v>
      </c>
      <c r="P30" s="35">
        <v>439284.90135002299</v>
      </c>
      <c r="Q30" s="44">
        <f t="shared" si="15"/>
        <v>1.2086270701888946E-2</v>
      </c>
      <c r="R30" s="39">
        <v>34.179417999999998</v>
      </c>
      <c r="S30" s="44">
        <f t="shared" si="15"/>
        <v>-1.1435354074281867E-2</v>
      </c>
      <c r="T30" s="44">
        <f t="shared" si="9"/>
        <v>2.3521624776170813E-2</v>
      </c>
      <c r="U30" s="39">
        <f t="shared" si="12"/>
        <v>1.0235543498305666</v>
      </c>
      <c r="V30" s="39">
        <f t="shared" si="13"/>
        <v>1.4280881110285562</v>
      </c>
    </row>
    <row r="31" spans="1:22">
      <c r="A31" s="34">
        <f t="shared" si="14"/>
        <v>2033</v>
      </c>
      <c r="B31" s="163">
        <v>1.2</v>
      </c>
      <c r="C31" s="163">
        <v>2.5</v>
      </c>
      <c r="D31" s="163">
        <f t="shared" si="0"/>
        <v>1.2845849802371356</v>
      </c>
      <c r="E31" s="163">
        <f t="shared" si="3"/>
        <v>1.2845849802371356</v>
      </c>
      <c r="F31" s="163">
        <v>0</v>
      </c>
      <c r="G31" s="163">
        <f t="shared" si="5"/>
        <v>2.4999999999999911</v>
      </c>
      <c r="H31" s="163">
        <f t="shared" si="6"/>
        <v>1.2</v>
      </c>
      <c r="I31" s="206">
        <f t="shared" si="7"/>
        <v>1.0249999999999999</v>
      </c>
      <c r="J31" s="163">
        <f t="shared" si="8"/>
        <v>1.4234073101344096</v>
      </c>
      <c r="K31" s="163">
        <f t="shared" si="10"/>
        <v>1.4188836376911831</v>
      </c>
      <c r="L31" s="163">
        <f t="shared" si="11"/>
        <v>1.4015801786949491</v>
      </c>
      <c r="M31" s="163">
        <v>1.48</v>
      </c>
      <c r="N31" s="163">
        <f>マクロ経済スライド!K31*(-100)</f>
        <v>1.4149506671927043</v>
      </c>
      <c r="P31" s="35">
        <v>444279.72226541903</v>
      </c>
      <c r="Q31" s="44">
        <f t="shared" si="15"/>
        <v>1.1370345076841426E-2</v>
      </c>
      <c r="R31" s="39">
        <v>33.763338000000005</v>
      </c>
      <c r="S31" s="44">
        <f t="shared" si="15"/>
        <v>-1.2173407984887086E-2</v>
      </c>
      <c r="T31" s="44">
        <f t="shared" si="9"/>
        <v>2.3543753061728512E-2</v>
      </c>
      <c r="U31" s="39">
        <f t="shared" si="12"/>
        <v>1.0235326888591494</v>
      </c>
      <c r="V31" s="39">
        <f t="shared" si="13"/>
        <v>1.4616948642088416</v>
      </c>
    </row>
    <row r="32" spans="1:22">
      <c r="A32" s="34">
        <f t="shared" si="14"/>
        <v>2034</v>
      </c>
      <c r="B32" s="163">
        <v>1.2</v>
      </c>
      <c r="C32" s="163">
        <v>2.5</v>
      </c>
      <c r="D32" s="163">
        <f t="shared" si="0"/>
        <v>1.2845849802371356</v>
      </c>
      <c r="E32" s="163">
        <f t="shared" si="3"/>
        <v>1.2845849802371356</v>
      </c>
      <c r="F32" s="163">
        <v>0</v>
      </c>
      <c r="G32" s="163">
        <f t="shared" si="5"/>
        <v>2.4999999999999911</v>
      </c>
      <c r="H32" s="163">
        <f t="shared" si="6"/>
        <v>1.2</v>
      </c>
      <c r="I32" s="206">
        <f t="shared" si="7"/>
        <v>1.0249999999999999</v>
      </c>
      <c r="J32" s="163">
        <f t="shared" si="8"/>
        <v>1.4589924928877698</v>
      </c>
      <c r="K32" s="163">
        <f t="shared" si="10"/>
        <v>1.4543557286334625</v>
      </c>
      <c r="L32" s="163">
        <f t="shared" si="11"/>
        <v>1.4366196831623228</v>
      </c>
      <c r="M32" s="163">
        <v>1.57</v>
      </c>
      <c r="N32" s="163">
        <f>マクロ経済スライド!K32*(-100)</f>
        <v>1.5152809266028351</v>
      </c>
      <c r="P32" s="35">
        <v>449111.83696168801</v>
      </c>
      <c r="Q32" s="44">
        <f t="shared" si="15"/>
        <v>1.0876289090192115E-2</v>
      </c>
      <c r="R32" s="39">
        <v>33.328631000000001</v>
      </c>
      <c r="S32" s="44">
        <f t="shared" si="15"/>
        <v>-1.2875119160315363E-2</v>
      </c>
      <c r="T32" s="44">
        <f t="shared" si="9"/>
        <v>2.3751408250507478E-2</v>
      </c>
      <c r="U32" s="39">
        <f t="shared" si="12"/>
        <v>1.0236475753905512</v>
      </c>
      <c r="V32" s="39">
        <f t="shared" si="13"/>
        <v>1.4962604037082017</v>
      </c>
    </row>
    <row r="33" spans="1:22">
      <c r="A33" s="34">
        <f t="shared" si="14"/>
        <v>2035</v>
      </c>
      <c r="B33" s="163">
        <v>1.2</v>
      </c>
      <c r="C33" s="163">
        <v>2.5</v>
      </c>
      <c r="D33" s="163">
        <f t="shared" si="0"/>
        <v>1.2845849802371356</v>
      </c>
      <c r="E33" s="163">
        <f t="shared" si="3"/>
        <v>1.2845849802371356</v>
      </c>
      <c r="F33" s="163">
        <v>0</v>
      </c>
      <c r="G33" s="163">
        <f t="shared" si="5"/>
        <v>2.4999999999999911</v>
      </c>
      <c r="H33" s="163">
        <f t="shared" si="6"/>
        <v>1.2</v>
      </c>
      <c r="I33" s="206">
        <f t="shared" si="7"/>
        <v>1.0249999999999999</v>
      </c>
      <c r="J33" s="163">
        <f t="shared" si="8"/>
        <v>1.4954673052099638</v>
      </c>
      <c r="K33" s="163">
        <f t="shared" si="10"/>
        <v>1.490714621849299</v>
      </c>
      <c r="L33" s="163">
        <f t="shared" si="11"/>
        <v>1.4725351752413807</v>
      </c>
      <c r="M33" s="163">
        <v>1.69</v>
      </c>
      <c r="N33" s="163">
        <f>マクロ経済スライド!K33*(-100)</f>
        <v>1.6254535352661521</v>
      </c>
      <c r="P33" s="35">
        <v>453930.15383443702</v>
      </c>
      <c r="Q33" s="44">
        <f t="shared" si="15"/>
        <v>1.0728545712234361E-2</v>
      </c>
      <c r="R33" s="39">
        <v>32.880843999999996</v>
      </c>
      <c r="S33" s="44">
        <f t="shared" si="15"/>
        <v>-1.3435505346739429E-2</v>
      </c>
      <c r="T33" s="44">
        <f t="shared" si="9"/>
        <v>2.416405105897379E-2</v>
      </c>
      <c r="U33" s="39">
        <f t="shared" si="12"/>
        <v>1.0239577088684713</v>
      </c>
      <c r="V33" s="39">
        <f t="shared" si="13"/>
        <v>1.532107374851664</v>
      </c>
    </row>
    <row r="34" spans="1:22">
      <c r="A34" s="34">
        <f t="shared" si="14"/>
        <v>2036</v>
      </c>
      <c r="B34" s="163">
        <v>1.2</v>
      </c>
      <c r="C34" s="163">
        <v>2.5</v>
      </c>
      <c r="D34" s="163">
        <f t="shared" si="0"/>
        <v>1.2845849802371356</v>
      </c>
      <c r="E34" s="163">
        <f t="shared" si="3"/>
        <v>1.2845849802371356</v>
      </c>
      <c r="F34" s="163">
        <v>0</v>
      </c>
      <c r="G34" s="163">
        <f t="shared" si="5"/>
        <v>2.4999999999999911</v>
      </c>
      <c r="H34" s="163">
        <f t="shared" si="6"/>
        <v>1.2</v>
      </c>
      <c r="I34" s="206">
        <f t="shared" si="7"/>
        <v>1.0249999999999999</v>
      </c>
      <c r="J34" s="163">
        <f t="shared" si="8"/>
        <v>1.5328539878402128</v>
      </c>
      <c r="K34" s="163">
        <f t="shared" si="10"/>
        <v>1.5279824873955314</v>
      </c>
      <c r="L34" s="163">
        <f t="shared" si="11"/>
        <v>1.5093485546224152</v>
      </c>
      <c r="M34" s="163">
        <v>1.79</v>
      </c>
      <c r="N34" s="163">
        <f>マクロ経済スライド!K34*(-100)</f>
        <v>1.7260232258180181</v>
      </c>
      <c r="P34" s="35">
        <v>458884.99348852399</v>
      </c>
      <c r="Q34" s="44">
        <f t="shared" si="15"/>
        <v>1.0915423027601179E-2</v>
      </c>
      <c r="R34" s="39">
        <v>32.430330999999995</v>
      </c>
      <c r="S34" s="44">
        <f t="shared" si="15"/>
        <v>-1.3701381874504204E-2</v>
      </c>
      <c r="T34" s="44">
        <f t="shared" si="9"/>
        <v>2.4616804902105383E-2</v>
      </c>
      <c r="U34" s="39">
        <f t="shared" si="12"/>
        <v>1.0243904029673661</v>
      </c>
      <c r="V34" s="39">
        <f t="shared" si="13"/>
        <v>1.5694760911135694</v>
      </c>
    </row>
    <row r="35" spans="1:22">
      <c r="A35" s="34">
        <f t="shared" si="14"/>
        <v>2037</v>
      </c>
      <c r="B35" s="163">
        <v>1.2</v>
      </c>
      <c r="C35" s="163">
        <v>2.5</v>
      </c>
      <c r="D35" s="163">
        <f t="shared" si="0"/>
        <v>1.2845849802371356</v>
      </c>
      <c r="E35" s="163">
        <f t="shared" si="3"/>
        <v>1.2845849802371356</v>
      </c>
      <c r="F35" s="163">
        <v>0</v>
      </c>
      <c r="G35" s="163">
        <f t="shared" si="5"/>
        <v>2.4999999999999911</v>
      </c>
      <c r="H35" s="163">
        <f t="shared" si="6"/>
        <v>1.2</v>
      </c>
      <c r="I35" s="206">
        <f t="shared" si="7"/>
        <v>1.0249999999999999</v>
      </c>
      <c r="J35" s="163">
        <f t="shared" si="8"/>
        <v>1.5711753375362179</v>
      </c>
      <c r="K35" s="163">
        <f t="shared" si="10"/>
        <v>1.5661820495804195</v>
      </c>
      <c r="L35" s="163">
        <f t="shared" si="11"/>
        <v>1.5470822684879755</v>
      </c>
      <c r="M35" s="163">
        <v>1.85</v>
      </c>
      <c r="N35" s="163">
        <f>マクロ経済スライド!K35*(-100)</f>
        <v>1.7797439857024195</v>
      </c>
      <c r="P35" s="35">
        <v>463842.14701727603</v>
      </c>
      <c r="Q35" s="44">
        <f t="shared" si="15"/>
        <v>1.0802605443832158E-2</v>
      </c>
      <c r="R35" s="39">
        <v>31.967506999999998</v>
      </c>
      <c r="S35" s="44">
        <f t="shared" si="15"/>
        <v>-1.4271331365689699E-2</v>
      </c>
      <c r="T35" s="44">
        <f t="shared" si="9"/>
        <v>2.5073936809521857E-2</v>
      </c>
      <c r="U35" s="39">
        <f t="shared" si="12"/>
        <v>1.024845345367873</v>
      </c>
      <c r="V35" s="39">
        <f t="shared" si="13"/>
        <v>1.6084702666439052</v>
      </c>
    </row>
    <row r="36" spans="1:22">
      <c r="A36" s="34">
        <f t="shared" si="14"/>
        <v>2038</v>
      </c>
      <c r="B36" s="163">
        <v>1.2</v>
      </c>
      <c r="C36" s="163">
        <v>2.5</v>
      </c>
      <c r="D36" s="163">
        <f t="shared" si="0"/>
        <v>1.2845849802371356</v>
      </c>
      <c r="E36" s="163">
        <f t="shared" si="3"/>
        <v>1.2845849802371356</v>
      </c>
      <c r="F36" s="163">
        <v>0</v>
      </c>
      <c r="G36" s="163">
        <f t="shared" si="5"/>
        <v>2.4999999999999911</v>
      </c>
      <c r="H36" s="163">
        <f t="shared" si="6"/>
        <v>1.2</v>
      </c>
      <c r="I36" s="206">
        <f t="shared" si="7"/>
        <v>1.0249999999999999</v>
      </c>
      <c r="J36" s="163">
        <f t="shared" si="8"/>
        <v>1.6104547209746232</v>
      </c>
      <c r="K36" s="163">
        <f t="shared" si="10"/>
        <v>1.6053366008199299</v>
      </c>
      <c r="L36" s="163">
        <f t="shared" si="11"/>
        <v>1.5857593252001747</v>
      </c>
      <c r="M36" s="163">
        <v>1.87</v>
      </c>
      <c r="N36" s="163">
        <f>マクロ経済スライド!K36*(-100)</f>
        <v>1.7624015469867911</v>
      </c>
      <c r="P36" s="35">
        <v>468731.75730385497</v>
      </c>
      <c r="Q36" s="44">
        <f t="shared" si="15"/>
        <v>1.0541539439702596E-2</v>
      </c>
      <c r="R36" s="39">
        <v>31.490197999999999</v>
      </c>
      <c r="S36" s="44">
        <f t="shared" si="15"/>
        <v>-1.4931067349105431E-2</v>
      </c>
      <c r="T36" s="44">
        <f t="shared" si="9"/>
        <v>2.5472606788808028E-2</v>
      </c>
      <c r="U36" s="39">
        <f t="shared" si="12"/>
        <v>1.0252732524216783</v>
      </c>
      <c r="V36" s="39">
        <f t="shared" si="13"/>
        <v>1.6491215417055609</v>
      </c>
    </row>
    <row r="37" spans="1:22">
      <c r="A37" s="34">
        <f t="shared" si="14"/>
        <v>2039</v>
      </c>
      <c r="B37" s="163">
        <v>1.2</v>
      </c>
      <c r="C37" s="163">
        <v>2.5</v>
      </c>
      <c r="D37" s="163">
        <f t="shared" si="0"/>
        <v>1.2845849802371356</v>
      </c>
      <c r="E37" s="163">
        <f t="shared" si="3"/>
        <v>1.2845849802371356</v>
      </c>
      <c r="F37" s="163">
        <v>0</v>
      </c>
      <c r="G37" s="163">
        <f t="shared" si="5"/>
        <v>2.4999999999999911</v>
      </c>
      <c r="H37" s="163">
        <f t="shared" si="6"/>
        <v>1.2</v>
      </c>
      <c r="I37" s="206">
        <f t="shared" si="7"/>
        <v>1.0249999999999999</v>
      </c>
      <c r="J37" s="163">
        <f t="shared" si="8"/>
        <v>1.6507160889989887</v>
      </c>
      <c r="K37" s="163">
        <f t="shared" si="10"/>
        <v>1.6454700158404281</v>
      </c>
      <c r="L37" s="163">
        <f t="shared" si="11"/>
        <v>1.6254033083301791</v>
      </c>
      <c r="M37" s="163">
        <v>1.87</v>
      </c>
      <c r="N37" s="163">
        <f>マクロ経済スライド!K37*(-100)</f>
        <v>1.7260079828601</v>
      </c>
      <c r="P37" s="35">
        <v>473711.54300397902</v>
      </c>
      <c r="Q37" s="44">
        <f t="shared" si="15"/>
        <v>1.0623956287425074E-2</v>
      </c>
      <c r="R37" s="39">
        <v>31.014951</v>
      </c>
      <c r="S37" s="44">
        <f t="shared" si="15"/>
        <v>-1.5091902565998461E-2</v>
      </c>
      <c r="T37" s="44">
        <f t="shared" si="9"/>
        <v>2.5715858853423534E-2</v>
      </c>
      <c r="U37" s="39">
        <f t="shared" si="12"/>
        <v>1.0255942256092521</v>
      </c>
      <c r="V37" s="39">
        <f t="shared" si="13"/>
        <v>1.6913295305010507</v>
      </c>
    </row>
    <row r="38" spans="1:22">
      <c r="A38" s="34">
        <f t="shared" si="14"/>
        <v>2040</v>
      </c>
      <c r="B38" s="163">
        <v>1.2</v>
      </c>
      <c r="C38" s="163">
        <v>2.5</v>
      </c>
      <c r="D38" s="163">
        <f t="shared" si="0"/>
        <v>1.2845849802371356</v>
      </c>
      <c r="E38" s="163">
        <f t="shared" si="3"/>
        <v>0.85456686752016786</v>
      </c>
      <c r="F38" s="163">
        <v>0</v>
      </c>
      <c r="G38" s="163">
        <f t="shared" si="5"/>
        <v>2.4999999999999911</v>
      </c>
      <c r="H38" s="163">
        <f t="shared" si="6"/>
        <v>1.2</v>
      </c>
      <c r="I38" s="206">
        <f t="shared" si="7"/>
        <v>1.0249999999999999</v>
      </c>
      <c r="J38" s="163">
        <f t="shared" si="8"/>
        <v>1.6919839912239634</v>
      </c>
      <c r="K38" s="163">
        <f t="shared" si="10"/>
        <v>1.6866067662364386</v>
      </c>
      <c r="L38" s="163">
        <f t="shared" si="11"/>
        <v>1.6660383910384333</v>
      </c>
      <c r="M38" s="163">
        <v>1.89</v>
      </c>
      <c r="N38" s="163">
        <f>マクロ経済スライド!K38*(-100)</f>
        <v>1.7039057985043899</v>
      </c>
      <c r="P38" s="35">
        <v>478857.359403615</v>
      </c>
      <c r="Q38" s="44">
        <f t="shared" si="15"/>
        <v>1.0862763374952733E-2</v>
      </c>
      <c r="R38" s="39">
        <v>30.546233000000001</v>
      </c>
      <c r="S38" s="44">
        <f t="shared" si="15"/>
        <v>-1.5112646800570451E-2</v>
      </c>
      <c r="T38" s="44">
        <f t="shared" si="9"/>
        <v>2.5975410175523184E-2</v>
      </c>
      <c r="U38" s="39">
        <f t="shared" si="12"/>
        <v>1.0258456263057714</v>
      </c>
      <c r="V38" s="39">
        <f t="shared" si="13"/>
        <v>1.7350430015062965</v>
      </c>
    </row>
    <row r="40" spans="1:22" hidden="1"/>
    <row r="41" spans="1:22" hidden="1"/>
    <row r="42" spans="1:22">
      <c r="B42" s="34" t="s">
        <v>145</v>
      </c>
    </row>
    <row r="43" spans="1:22">
      <c r="G43" s="34" t="s">
        <v>67</v>
      </c>
      <c r="I43" s="48" t="s">
        <v>42</v>
      </c>
      <c r="J43" s="201" t="s">
        <v>6</v>
      </c>
      <c r="K43" s="202"/>
      <c r="L43" s="202"/>
      <c r="M43" s="49"/>
      <c r="N43" s="49"/>
      <c r="P43" s="49"/>
      <c r="Q43" s="49"/>
      <c r="R43" s="49"/>
      <c r="S43" s="49"/>
      <c r="T43" s="43"/>
      <c r="U43" s="43"/>
    </row>
    <row r="44" spans="1:22">
      <c r="B44" s="49" t="s">
        <v>4</v>
      </c>
      <c r="C44" s="49" t="s">
        <v>41</v>
      </c>
      <c r="D44" s="49" t="s">
        <v>5</v>
      </c>
      <c r="E44" s="49" t="s">
        <v>39</v>
      </c>
      <c r="F44" s="50" t="s">
        <v>40</v>
      </c>
      <c r="G44" s="49" t="s">
        <v>81</v>
      </c>
      <c r="H44" s="49" t="s">
        <v>1</v>
      </c>
      <c r="I44" s="201" t="s">
        <v>7</v>
      </c>
      <c r="J44" s="43" t="s">
        <v>86</v>
      </c>
      <c r="K44" s="203"/>
      <c r="L44" s="203"/>
      <c r="M44" s="49"/>
      <c r="N44" s="49"/>
      <c r="P44" s="49"/>
      <c r="Q44" s="49"/>
      <c r="R44" s="49"/>
      <c r="S44" s="49"/>
      <c r="T44" s="43"/>
      <c r="U44" s="43"/>
    </row>
    <row r="45" spans="1:22">
      <c r="B45" s="49" t="s">
        <v>63</v>
      </c>
      <c r="C45" s="49" t="s">
        <v>63</v>
      </c>
      <c r="D45" s="49" t="s">
        <v>38</v>
      </c>
      <c r="G45" s="49"/>
      <c r="I45" s="201" t="s">
        <v>8</v>
      </c>
      <c r="J45" s="201" t="s">
        <v>8</v>
      </c>
      <c r="K45" s="203"/>
      <c r="L45" s="203"/>
      <c r="M45" s="49"/>
      <c r="N45" s="49"/>
      <c r="T45" s="43"/>
      <c r="U45" s="43"/>
    </row>
    <row r="46" spans="1:22">
      <c r="A46" s="34">
        <v>2007</v>
      </c>
      <c r="B46" s="46"/>
      <c r="C46" s="46"/>
      <c r="D46" s="46"/>
      <c r="E46" s="46"/>
      <c r="F46" s="46"/>
      <c r="G46" s="46"/>
      <c r="H46" s="46"/>
      <c r="I46" s="51"/>
      <c r="J46" s="51"/>
      <c r="K46" s="46"/>
      <c r="L46" s="46"/>
      <c r="M46" s="46"/>
      <c r="N46" s="46"/>
      <c r="P46" s="45"/>
      <c r="Q46" s="45"/>
      <c r="R46" s="45"/>
      <c r="S46" s="45"/>
    </row>
    <row r="47" spans="1:22">
      <c r="A47" s="34">
        <f>A46+1</f>
        <v>2008</v>
      </c>
      <c r="B47" s="163">
        <v>1.4</v>
      </c>
      <c r="C47" s="163">
        <v>-0.49</v>
      </c>
      <c r="D47" s="163">
        <f t="shared" ref="D47:D79" si="16">((1+C47/100)/(1+B47/100)-1)*100</f>
        <v>-1.8639053254437932</v>
      </c>
      <c r="E47" s="163"/>
      <c r="F47" s="163">
        <v>-0.21197097075519311</v>
      </c>
      <c r="G47" s="163"/>
      <c r="H47" s="163"/>
      <c r="I47" s="165"/>
      <c r="J47" s="163">
        <v>0.999</v>
      </c>
      <c r="K47" s="163"/>
      <c r="L47" s="163"/>
      <c r="M47" s="46"/>
      <c r="N47" s="46"/>
      <c r="P47" s="45"/>
      <c r="Q47" s="45"/>
      <c r="R47" s="45"/>
      <c r="S47" s="45"/>
      <c r="T47" s="53"/>
      <c r="U47" s="53"/>
      <c r="V47" s="53"/>
    </row>
    <row r="48" spans="1:22">
      <c r="A48" s="34">
        <f t="shared" ref="A48:A79" si="17">A47+1</f>
        <v>2009</v>
      </c>
      <c r="B48" s="163">
        <v>-1.4</v>
      </c>
      <c r="C48" s="163">
        <v>-3.03</v>
      </c>
      <c r="D48" s="163">
        <f t="shared" si="16"/>
        <v>-1.6531440162271815</v>
      </c>
      <c r="E48" s="163">
        <f t="shared" ref="E48:E50" si="18">(POWER((1+D47/100)*(1+D48/100)*(1+D49/100),1/3)-1)*100</f>
        <v>-1.089674640455196</v>
      </c>
      <c r="F48" s="163">
        <v>-0.21242124212420554</v>
      </c>
      <c r="G48" s="163"/>
      <c r="H48" s="163"/>
      <c r="I48" s="165"/>
      <c r="J48" s="163">
        <v>0.997</v>
      </c>
      <c r="K48" s="163"/>
      <c r="L48" s="163"/>
      <c r="M48" s="46"/>
      <c r="N48" s="46"/>
      <c r="P48" s="45"/>
      <c r="Q48" s="45"/>
      <c r="R48" s="45"/>
      <c r="S48" s="45"/>
      <c r="T48" s="53"/>
      <c r="U48" s="53"/>
      <c r="V48" s="53"/>
    </row>
    <row r="49" spans="1:22">
      <c r="A49" s="34">
        <f t="shared" si="17"/>
        <v>2010</v>
      </c>
      <c r="B49" s="163">
        <v>-0.7</v>
      </c>
      <c r="C49" s="163">
        <v>-0.44</v>
      </c>
      <c r="D49" s="163">
        <f t="shared" si="16"/>
        <v>0.26183282980867251</v>
      </c>
      <c r="E49" s="163">
        <f t="shared" si="18"/>
        <v>-0.39423796675185363</v>
      </c>
      <c r="F49" s="163">
        <v>-0.21287343050946372</v>
      </c>
      <c r="G49" s="163"/>
      <c r="H49" s="163"/>
      <c r="I49" s="165"/>
      <c r="J49" s="163">
        <v>1.008</v>
      </c>
      <c r="K49" s="163"/>
      <c r="L49" s="163"/>
      <c r="M49" s="46"/>
      <c r="N49" s="46"/>
      <c r="P49" s="45"/>
      <c r="Q49" s="45"/>
      <c r="R49" s="45"/>
      <c r="S49" s="45"/>
      <c r="T49" s="53"/>
      <c r="U49" s="53"/>
      <c r="V49" s="53"/>
    </row>
    <row r="50" spans="1:22">
      <c r="A50" s="34">
        <f t="shared" si="17"/>
        <v>2011</v>
      </c>
      <c r="B50" s="163">
        <v>-0.3</v>
      </c>
      <c r="C50" s="163">
        <v>-0.08</v>
      </c>
      <c r="D50" s="163">
        <f t="shared" si="16"/>
        <v>0.22066198595787068</v>
      </c>
      <c r="E50" s="163">
        <f t="shared" si="18"/>
        <v>5.3813285784376497E-2</v>
      </c>
      <c r="F50" s="163">
        <v>-0.21332754817947608</v>
      </c>
      <c r="G50" s="163"/>
      <c r="H50" s="163"/>
      <c r="I50" s="165"/>
      <c r="J50" s="163">
        <v>0.98399999999999999</v>
      </c>
      <c r="K50" s="163"/>
      <c r="L50" s="163"/>
      <c r="M50" s="46"/>
      <c r="N50" s="46"/>
      <c r="P50" s="45"/>
      <c r="Q50" s="45"/>
      <c r="R50" s="45"/>
      <c r="S50" s="45"/>
      <c r="T50" s="53"/>
      <c r="U50" s="53"/>
      <c r="V50" s="53"/>
    </row>
    <row r="51" spans="1:22">
      <c r="A51" s="34">
        <f t="shared" si="17"/>
        <v>2012</v>
      </c>
      <c r="B51" s="163">
        <v>0</v>
      </c>
      <c r="C51" s="163">
        <v>-0.32</v>
      </c>
      <c r="D51" s="163">
        <f t="shared" si="16"/>
        <v>-0.31999999999999806</v>
      </c>
      <c r="E51" s="163">
        <f>(POWER((1+D50/100)*(1+D51/100)*(1+D52/100),1/3)-1)*100</f>
        <v>-0.21290451229462048</v>
      </c>
      <c r="F51" s="163">
        <v>-0.21378360750780034</v>
      </c>
      <c r="G51" s="163"/>
      <c r="H51" s="163"/>
      <c r="I51" s="165"/>
      <c r="J51" s="163">
        <v>0.96399999999999997</v>
      </c>
      <c r="K51" s="163"/>
      <c r="L51" s="163"/>
      <c r="M51" s="46"/>
      <c r="N51" s="46"/>
      <c r="P51" s="45"/>
      <c r="Q51" s="45"/>
      <c r="R51" s="45"/>
      <c r="S51" s="45"/>
      <c r="T51" s="53"/>
      <c r="U51" s="53"/>
      <c r="V51" s="53"/>
    </row>
    <row r="52" spans="1:22">
      <c r="A52" s="34">
        <f t="shared" si="17"/>
        <v>2013</v>
      </c>
      <c r="B52" s="163">
        <v>0.4</v>
      </c>
      <c r="C52" s="163">
        <v>-0.14000000000000001</v>
      </c>
      <c r="D52" s="163">
        <f t="shared" si="16"/>
        <v>-0.53784860557768432</v>
      </c>
      <c r="E52" s="163">
        <f t="shared" ref="E52:E79" si="19">(POWER((1+D51/100)*(1+D52/100)*(1+D53/100),1/3)-1)*100</f>
        <v>-0.81981603493205268</v>
      </c>
      <c r="F52" s="163">
        <v>-0.21424162097388733</v>
      </c>
      <c r="G52" s="163"/>
      <c r="H52" s="163"/>
      <c r="I52" s="206">
        <f>ROUND((1+B50/100)*(1+E48/100),3)</f>
        <v>0.98599999999999999</v>
      </c>
      <c r="J52" s="163">
        <v>0.95099999999999996</v>
      </c>
      <c r="K52" s="163"/>
      <c r="L52" s="163"/>
      <c r="M52" s="46"/>
      <c r="N52" s="46"/>
      <c r="P52" s="45"/>
      <c r="Q52" s="45"/>
      <c r="R52" s="45"/>
      <c r="S52" s="45"/>
      <c r="T52" s="53"/>
      <c r="U52" s="53"/>
      <c r="V52" s="53"/>
    </row>
    <row r="53" spans="1:22">
      <c r="A53" s="34">
        <f t="shared" si="17"/>
        <v>2014</v>
      </c>
      <c r="B53" s="163">
        <v>2.7</v>
      </c>
      <c r="C53" s="163">
        <v>1.06</v>
      </c>
      <c r="D53" s="163">
        <f t="shared" si="16"/>
        <v>-1.5968841285296964</v>
      </c>
      <c r="E53" s="163">
        <f t="shared" si="19"/>
        <v>-0.86835192116387905</v>
      </c>
      <c r="F53" s="163">
        <v>-0.21470160116449089</v>
      </c>
      <c r="G53" s="163"/>
      <c r="H53" s="163"/>
      <c r="I53" s="206">
        <f>ROUND((1+B51/100)*(1+E49/100),3)</f>
        <v>0.996</v>
      </c>
      <c r="J53" s="163">
        <v>0.94699999999999995</v>
      </c>
      <c r="K53" s="163"/>
      <c r="L53" s="163"/>
      <c r="M53" s="46"/>
      <c r="N53" s="46"/>
      <c r="P53" s="45"/>
      <c r="Q53" s="45"/>
      <c r="R53" s="45"/>
      <c r="S53" s="45"/>
      <c r="T53" s="53"/>
      <c r="U53" s="53"/>
      <c r="V53" s="53"/>
    </row>
    <row r="54" spans="1:22">
      <c r="A54" s="34">
        <f t="shared" si="17"/>
        <v>2015</v>
      </c>
      <c r="B54" s="163">
        <v>0.8</v>
      </c>
      <c r="C54" s="163">
        <v>0.33</v>
      </c>
      <c r="D54" s="163">
        <f t="shared" si="16"/>
        <v>-0.46626984126982851</v>
      </c>
      <c r="E54" s="163">
        <f t="shared" si="19"/>
        <v>-0.6734204423703205</v>
      </c>
      <c r="F54" s="163">
        <v>-0.21516356077457832</v>
      </c>
      <c r="G54" s="163"/>
      <c r="H54" s="163"/>
      <c r="I54" s="206">
        <f>ROUND((1+B52/100)*(1+E50/100),3)</f>
        <v>1.0049999999999999</v>
      </c>
      <c r="J54" s="163">
        <v>0.95199999999999996</v>
      </c>
      <c r="K54" s="163" t="s">
        <v>138</v>
      </c>
      <c r="L54" s="163"/>
      <c r="M54" s="46"/>
      <c r="N54" s="46"/>
      <c r="P54" s="45"/>
      <c r="Q54" s="45"/>
      <c r="R54" s="45"/>
      <c r="S54" s="45"/>
      <c r="T54" s="53"/>
      <c r="U54" s="53"/>
      <c r="V54" s="53"/>
    </row>
    <row r="55" spans="1:22">
      <c r="A55" s="34">
        <f t="shared" si="17"/>
        <v>2016</v>
      </c>
      <c r="B55" s="163">
        <v>-0.1</v>
      </c>
      <c r="C55" s="163">
        <v>-0.05</v>
      </c>
      <c r="D55" s="163">
        <f t="shared" si="16"/>
        <v>5.0050050050054473E-2</v>
      </c>
      <c r="E55" s="163">
        <f t="shared" si="19"/>
        <v>-0.13901087051580996</v>
      </c>
      <c r="F55" s="163">
        <v>-0.21562751260872925</v>
      </c>
      <c r="G55" s="163">
        <f>MAX(((1+E52/100)*(1+B54/100)*(1+F52/100)-1)*100,0)</f>
        <v>0</v>
      </c>
      <c r="H55" s="163">
        <f t="shared" ref="H55:H79" si="20">MIN(G55,B54)</f>
        <v>0</v>
      </c>
      <c r="I55" s="206">
        <f>ROUND((1+B53/100)*(1+E51/100),3)</f>
        <v>1.0249999999999999</v>
      </c>
      <c r="J55" s="163">
        <v>0.97599999999999998</v>
      </c>
      <c r="K55" s="163" t="s">
        <v>65</v>
      </c>
      <c r="L55" s="163" t="s">
        <v>66</v>
      </c>
      <c r="M55" s="46"/>
      <c r="N55" s="46"/>
      <c r="P55" s="45"/>
      <c r="Q55" s="45"/>
      <c r="R55" s="45"/>
      <c r="S55" s="45"/>
      <c r="T55" s="43" t="s">
        <v>139</v>
      </c>
      <c r="V55" s="52"/>
    </row>
    <row r="56" spans="1:22">
      <c r="A56" s="34">
        <f t="shared" si="17"/>
        <v>2017</v>
      </c>
      <c r="B56" s="163">
        <v>0.5</v>
      </c>
      <c r="C56" s="163">
        <v>0.5</v>
      </c>
      <c r="D56" s="163">
        <f t="shared" si="16"/>
        <v>0</v>
      </c>
      <c r="E56" s="163">
        <f t="shared" si="19"/>
        <v>0.24721044586735186</v>
      </c>
      <c r="F56" s="163">
        <v>-7.2031156527374574E-2</v>
      </c>
      <c r="G56" s="163">
        <f>B55</f>
        <v>-0.1</v>
      </c>
      <c r="H56" s="163">
        <f t="shared" si="20"/>
        <v>-0.1</v>
      </c>
      <c r="I56" s="206">
        <f t="shared" ref="I56:I79" si="21">(1+B54/100)*(1+E52/100)</f>
        <v>0.99973625436788494</v>
      </c>
      <c r="J56" s="163">
        <f>I56*J55</f>
        <v>0.97574258426305571</v>
      </c>
      <c r="K56" s="163">
        <v>1</v>
      </c>
      <c r="L56" s="163">
        <v>1</v>
      </c>
      <c r="M56" s="46"/>
      <c r="N56" s="46"/>
      <c r="P56" s="45"/>
      <c r="Q56" s="45"/>
      <c r="R56" s="45"/>
      <c r="S56" s="45"/>
      <c r="T56" s="166">
        <v>1</v>
      </c>
      <c r="U56" s="166"/>
      <c r="V56" s="166">
        <v>1</v>
      </c>
    </row>
    <row r="57" spans="1:22">
      <c r="A57" s="34">
        <f t="shared" si="17"/>
        <v>2018</v>
      </c>
      <c r="B57" s="163">
        <v>1</v>
      </c>
      <c r="C57" s="163">
        <v>1.7</v>
      </c>
      <c r="D57" s="163">
        <f t="shared" si="16"/>
        <v>0.69306930693069368</v>
      </c>
      <c r="E57" s="163">
        <f t="shared" si="19"/>
        <v>0.49287611372725859</v>
      </c>
      <c r="F57" s="163">
        <v>0</v>
      </c>
      <c r="G57" s="163">
        <f t="shared" ref="G57:G79" si="22">MAX(((1+E54/100)*(1+B56/100)*(1+F54/100)-1)*100,0)</f>
        <v>0</v>
      </c>
      <c r="H57" s="163">
        <f t="shared" si="20"/>
        <v>0</v>
      </c>
      <c r="I57" s="206">
        <f t="shared" si="21"/>
        <v>0.99032516430757289</v>
      </c>
      <c r="J57" s="163">
        <f t="shared" ref="J57:J79" si="23">I57*J56</f>
        <v>0.96630243508220648</v>
      </c>
      <c r="K57" s="163">
        <v>1</v>
      </c>
      <c r="L57" s="163">
        <f>AVERAGE(K56:K57)</f>
        <v>1</v>
      </c>
      <c r="M57" s="46"/>
      <c r="N57" s="46"/>
      <c r="P57" s="45"/>
      <c r="Q57" s="45"/>
      <c r="R57" s="45"/>
      <c r="S57" s="45"/>
      <c r="T57" s="166">
        <f t="shared" ref="T57:T79" si="24">POWER((1+C56/100)*(1+C57/100),1/2)</f>
        <v>1.0109821956889249</v>
      </c>
      <c r="U57" s="166"/>
      <c r="V57" s="166">
        <v>1</v>
      </c>
    </row>
    <row r="58" spans="1:22">
      <c r="A58" s="34">
        <f t="shared" si="17"/>
        <v>2019</v>
      </c>
      <c r="B58" s="163">
        <v>1.6</v>
      </c>
      <c r="C58" s="163">
        <v>2.4</v>
      </c>
      <c r="D58" s="163">
        <f t="shared" si="16"/>
        <v>0.78740157480314821</v>
      </c>
      <c r="E58" s="163">
        <f t="shared" si="19"/>
        <v>0.65729537961043416</v>
      </c>
      <c r="F58" s="163">
        <v>0</v>
      </c>
      <c r="G58" s="163">
        <f t="shared" si="22"/>
        <v>0.64211797618338728</v>
      </c>
      <c r="H58" s="163">
        <f t="shared" si="20"/>
        <v>0.64211797618338728</v>
      </c>
      <c r="I58" s="206">
        <f t="shared" si="21"/>
        <v>0.9982321245541782</v>
      </c>
      <c r="J58" s="163">
        <f t="shared" si="23"/>
        <v>0.96459413273398686</v>
      </c>
      <c r="K58" s="163">
        <f t="shared" ref="K58:K79" si="25">K57*I58</f>
        <v>0.9982321245541782</v>
      </c>
      <c r="L58" s="163">
        <f t="shared" ref="L58:L79" si="26">AVERAGE(K57:K58)</f>
        <v>0.99911606227708916</v>
      </c>
      <c r="M58" s="46"/>
      <c r="N58" s="46"/>
      <c r="P58" s="45"/>
      <c r="Q58" s="45"/>
      <c r="R58" s="45"/>
      <c r="S58" s="45"/>
      <c r="T58" s="166">
        <f t="shared" si="24"/>
        <v>1.0204939980225263</v>
      </c>
      <c r="U58" s="166"/>
      <c r="V58" s="166">
        <f t="shared" ref="V58:V79" si="27">T58*V57</f>
        <v>1.0204939980225263</v>
      </c>
    </row>
    <row r="59" spans="1:22">
      <c r="A59" s="34">
        <f t="shared" si="17"/>
        <v>2020</v>
      </c>
      <c r="B59" s="163">
        <v>1.7</v>
      </c>
      <c r="C59" s="163">
        <v>2.2000000000000002</v>
      </c>
      <c r="D59" s="163">
        <f t="shared" si="16"/>
        <v>0.49164208456244918</v>
      </c>
      <c r="E59" s="163">
        <f t="shared" si="19"/>
        <v>0.62370636990258799</v>
      </c>
      <c r="F59" s="163">
        <v>0</v>
      </c>
      <c r="G59" s="163">
        <f t="shared" si="22"/>
        <v>1.7778012403295129</v>
      </c>
      <c r="H59" s="163">
        <f t="shared" si="20"/>
        <v>1.6</v>
      </c>
      <c r="I59" s="206">
        <f t="shared" si="21"/>
        <v>1.0085959902077903</v>
      </c>
      <c r="J59" s="163">
        <f t="shared" si="23"/>
        <v>0.97288577445346025</v>
      </c>
      <c r="K59" s="163">
        <f t="shared" si="25"/>
        <v>1.0068129181219476</v>
      </c>
      <c r="L59" s="163">
        <f t="shared" si="26"/>
        <v>1.0025225213380629</v>
      </c>
      <c r="M59" s="46"/>
      <c r="N59" s="46"/>
      <c r="P59" s="45"/>
      <c r="Q59" s="45"/>
      <c r="R59" s="45"/>
      <c r="S59" s="45"/>
      <c r="T59" s="166">
        <f t="shared" si="24"/>
        <v>1.0229995112413299</v>
      </c>
      <c r="U59" s="166"/>
      <c r="V59" s="166">
        <f t="shared" si="27"/>
        <v>1.0439648612017551</v>
      </c>
    </row>
    <row r="60" spans="1:22">
      <c r="A60" s="34">
        <f t="shared" si="17"/>
        <v>2021</v>
      </c>
      <c r="B60" s="163">
        <v>1.3</v>
      </c>
      <c r="C60" s="163">
        <v>1.9</v>
      </c>
      <c r="D60" s="163">
        <f t="shared" si="16"/>
        <v>0.59230009871669154</v>
      </c>
      <c r="E60" s="163">
        <f t="shared" si="19"/>
        <v>0.59207527038245278</v>
      </c>
      <c r="F60" s="163">
        <v>0</v>
      </c>
      <c r="G60" s="163">
        <f t="shared" si="22"/>
        <v>2.2012550076606185</v>
      </c>
      <c r="H60" s="163">
        <f t="shared" si="20"/>
        <v>1.7</v>
      </c>
      <c r="I60" s="206">
        <f t="shared" si="21"/>
        <v>1.0185116581300122</v>
      </c>
      <c r="J60" s="163">
        <f t="shared" si="23"/>
        <v>0.99089550330969489</v>
      </c>
      <c r="K60" s="163">
        <f t="shared" si="25"/>
        <v>1.025450694663101</v>
      </c>
      <c r="L60" s="163">
        <f t="shared" si="26"/>
        <v>1.0161318063925244</v>
      </c>
      <c r="M60" s="46"/>
      <c r="N60" s="46"/>
      <c r="P60" s="45"/>
      <c r="Q60" s="45"/>
      <c r="R60" s="45"/>
      <c r="S60" s="45"/>
      <c r="T60" s="166">
        <f t="shared" si="24"/>
        <v>1.0204988975986207</v>
      </c>
      <c r="U60" s="166"/>
      <c r="V60" s="166">
        <f t="shared" si="27"/>
        <v>1.0653649899880882</v>
      </c>
    </row>
    <row r="61" spans="1:22">
      <c r="A61" s="34">
        <f t="shared" si="17"/>
        <v>2022</v>
      </c>
      <c r="B61" s="163">
        <v>1.1000000000000001</v>
      </c>
      <c r="C61" s="163">
        <v>1.8</v>
      </c>
      <c r="D61" s="163">
        <f t="shared" si="16"/>
        <v>0.69238377843721111</v>
      </c>
      <c r="E61" s="163">
        <f t="shared" si="19"/>
        <v>0.65901149257219238</v>
      </c>
      <c r="F61" s="163">
        <v>0</v>
      </c>
      <c r="G61" s="163">
        <f t="shared" si="22"/>
        <v>1.9658402195453561</v>
      </c>
      <c r="H61" s="163">
        <f t="shared" si="20"/>
        <v>1.3</v>
      </c>
      <c r="I61" s="206">
        <f t="shared" si="21"/>
        <v>1.0220125500766062</v>
      </c>
      <c r="J61" s="163">
        <f t="shared" si="23"/>
        <v>1.0127076401969834</v>
      </c>
      <c r="K61" s="163">
        <f t="shared" si="25"/>
        <v>1.048023479430463</v>
      </c>
      <c r="L61" s="163">
        <f t="shared" si="26"/>
        <v>1.036737087046782</v>
      </c>
      <c r="M61" s="46"/>
      <c r="N61" s="46"/>
      <c r="P61" s="45"/>
      <c r="Q61" s="45"/>
      <c r="R61" s="45"/>
      <c r="S61" s="45"/>
      <c r="T61" s="166">
        <f t="shared" si="24"/>
        <v>1.0184998772704885</v>
      </c>
      <c r="U61" s="166"/>
      <c r="V61" s="166">
        <f t="shared" si="27"/>
        <v>1.0850741115511431</v>
      </c>
    </row>
    <row r="62" spans="1:22">
      <c r="A62" s="34">
        <f t="shared" si="17"/>
        <v>2023</v>
      </c>
      <c r="B62" s="163">
        <v>1.1000000000000001</v>
      </c>
      <c r="C62" s="163">
        <v>1.8</v>
      </c>
      <c r="D62" s="163">
        <f t="shared" si="16"/>
        <v>0.69238377843721111</v>
      </c>
      <c r="E62" s="163">
        <f t="shared" si="19"/>
        <v>0.69238377843721111</v>
      </c>
      <c r="F62" s="163">
        <v>0</v>
      </c>
      <c r="G62" s="163">
        <f t="shared" si="22"/>
        <v>1.7305671399715061</v>
      </c>
      <c r="H62" s="163">
        <f t="shared" si="20"/>
        <v>1.1000000000000001</v>
      </c>
      <c r="I62" s="206">
        <f t="shared" si="21"/>
        <v>1.0196584021954536</v>
      </c>
      <c r="J62" s="163">
        <f t="shared" si="23"/>
        <v>1.0326158542943844</v>
      </c>
      <c r="K62" s="163">
        <f t="shared" si="25"/>
        <v>1.0686259464993857</v>
      </c>
      <c r="L62" s="163">
        <f t="shared" si="26"/>
        <v>1.0583247129649243</v>
      </c>
      <c r="M62" s="46"/>
      <c r="N62" s="46"/>
      <c r="P62" s="45"/>
      <c r="Q62" s="45"/>
      <c r="R62" s="45"/>
      <c r="S62" s="45"/>
      <c r="T62" s="166">
        <f t="shared" si="24"/>
        <v>1.018</v>
      </c>
      <c r="U62" s="166"/>
      <c r="V62" s="166">
        <f t="shared" si="27"/>
        <v>1.1046054455590637</v>
      </c>
    </row>
    <row r="63" spans="1:22">
      <c r="A63" s="34">
        <f t="shared" si="17"/>
        <v>2024</v>
      </c>
      <c r="B63" s="163">
        <v>1.1000000000000001</v>
      </c>
      <c r="C63" s="163">
        <v>1.8</v>
      </c>
      <c r="D63" s="163">
        <f t="shared" si="16"/>
        <v>0.69238377843721111</v>
      </c>
      <c r="E63" s="163">
        <f t="shared" si="19"/>
        <v>0.69238377843721111</v>
      </c>
      <c r="F63" s="163">
        <v>0</v>
      </c>
      <c r="G63" s="163">
        <f t="shared" si="22"/>
        <v>1.698588098356657</v>
      </c>
      <c r="H63" s="163">
        <f t="shared" si="20"/>
        <v>1.1000000000000001</v>
      </c>
      <c r="I63" s="206">
        <f t="shared" si="21"/>
        <v>1.0173056713997151</v>
      </c>
      <c r="J63" s="163">
        <f t="shared" si="23"/>
        <v>1.050485964950939</v>
      </c>
      <c r="K63" s="163">
        <f t="shared" si="25"/>
        <v>1.0871192359787136</v>
      </c>
      <c r="L63" s="163">
        <f t="shared" si="26"/>
        <v>1.0778725912390497</v>
      </c>
      <c r="M63" s="46"/>
      <c r="N63" s="46"/>
      <c r="P63" s="45"/>
      <c r="Q63" s="45"/>
      <c r="R63" s="45"/>
      <c r="S63" s="45"/>
      <c r="T63" s="166">
        <f t="shared" si="24"/>
        <v>1.018</v>
      </c>
      <c r="U63" s="166"/>
      <c r="V63" s="166">
        <f t="shared" si="27"/>
        <v>1.1244883435791269</v>
      </c>
    </row>
    <row r="64" spans="1:22">
      <c r="A64" s="34">
        <f t="shared" si="17"/>
        <v>2025</v>
      </c>
      <c r="B64" s="163">
        <v>1.1000000000000001</v>
      </c>
      <c r="C64" s="163">
        <v>1.8</v>
      </c>
      <c r="D64" s="163">
        <f t="shared" si="16"/>
        <v>0.69238377843721111</v>
      </c>
      <c r="E64" s="163">
        <f t="shared" si="19"/>
        <v>0.69238377843721111</v>
      </c>
      <c r="F64" s="163">
        <v>0</v>
      </c>
      <c r="G64" s="163">
        <f t="shared" si="22"/>
        <v>1.7662606189904784</v>
      </c>
      <c r="H64" s="163">
        <f t="shared" si="20"/>
        <v>1.1000000000000001</v>
      </c>
      <c r="I64" s="206">
        <f t="shared" si="21"/>
        <v>1.0169858809835666</v>
      </c>
      <c r="J64" s="163">
        <f t="shared" si="23"/>
        <v>1.0683293945265029</v>
      </c>
      <c r="K64" s="163">
        <f t="shared" si="25"/>
        <v>1.1055849139359939</v>
      </c>
      <c r="L64" s="163">
        <f t="shared" si="26"/>
        <v>1.0963520749573537</v>
      </c>
      <c r="M64" s="46"/>
      <c r="N64" s="46"/>
      <c r="P64" s="45"/>
      <c r="Q64" s="45"/>
      <c r="R64" s="45"/>
      <c r="S64" s="45"/>
      <c r="T64" s="166">
        <f t="shared" si="24"/>
        <v>1.018</v>
      </c>
      <c r="U64" s="166"/>
      <c r="V64" s="166">
        <f t="shared" si="27"/>
        <v>1.1447291337635512</v>
      </c>
    </row>
    <row r="65" spans="1:22">
      <c r="A65" s="34">
        <f t="shared" si="17"/>
        <v>2026</v>
      </c>
      <c r="B65" s="163">
        <v>1.1000000000000001</v>
      </c>
      <c r="C65" s="163">
        <v>1.8</v>
      </c>
      <c r="D65" s="163">
        <f t="shared" si="16"/>
        <v>0.69238377843721111</v>
      </c>
      <c r="E65" s="163">
        <f t="shared" si="19"/>
        <v>0.65940232053298686</v>
      </c>
      <c r="F65" s="163">
        <v>0</v>
      </c>
      <c r="G65" s="163">
        <f t="shared" si="22"/>
        <v>1.8000000000000016</v>
      </c>
      <c r="H65" s="163">
        <f t="shared" si="20"/>
        <v>1.1000000000000001</v>
      </c>
      <c r="I65" s="206">
        <f t="shared" si="21"/>
        <v>1.0176626061899048</v>
      </c>
      <c r="J65" s="163">
        <f t="shared" si="23"/>
        <v>1.0871988759031239</v>
      </c>
      <c r="K65" s="163">
        <f t="shared" si="25"/>
        <v>1.125112424880345</v>
      </c>
      <c r="L65" s="163">
        <f t="shared" si="26"/>
        <v>1.1153486694081693</v>
      </c>
      <c r="M65" s="46"/>
      <c r="N65" s="46"/>
      <c r="P65" s="45"/>
      <c r="Q65" s="45"/>
      <c r="R65" s="45"/>
      <c r="S65" s="45"/>
      <c r="T65" s="166">
        <f t="shared" si="24"/>
        <v>1.018</v>
      </c>
      <c r="U65" s="166"/>
      <c r="V65" s="166">
        <f t="shared" si="27"/>
        <v>1.1653342581712951</v>
      </c>
    </row>
    <row r="66" spans="1:22">
      <c r="A66" s="34">
        <f t="shared" si="17"/>
        <v>2027</v>
      </c>
      <c r="B66" s="163">
        <v>1.1000000000000001</v>
      </c>
      <c r="C66" s="163">
        <v>1.7</v>
      </c>
      <c r="D66" s="163">
        <f t="shared" si="16"/>
        <v>0.59347181008901906</v>
      </c>
      <c r="E66" s="163">
        <f t="shared" si="19"/>
        <v>0.85635245940813842</v>
      </c>
      <c r="F66" s="163">
        <v>0</v>
      </c>
      <c r="G66" s="163">
        <f t="shared" si="22"/>
        <v>1.8000000000000016</v>
      </c>
      <c r="H66" s="163">
        <f t="shared" si="20"/>
        <v>1.1000000000000001</v>
      </c>
      <c r="I66" s="206">
        <f t="shared" si="21"/>
        <v>1.018</v>
      </c>
      <c r="J66" s="163">
        <f t="shared" si="23"/>
        <v>1.1067684556693802</v>
      </c>
      <c r="K66" s="163">
        <f t="shared" si="25"/>
        <v>1.1453644485281913</v>
      </c>
      <c r="L66" s="163">
        <f t="shared" si="26"/>
        <v>1.1352384367042681</v>
      </c>
      <c r="M66" s="46"/>
      <c r="N66" s="46"/>
      <c r="P66" s="45"/>
      <c r="Q66" s="45"/>
      <c r="R66" s="45"/>
      <c r="S66" s="45"/>
      <c r="T66" s="166">
        <f t="shared" si="24"/>
        <v>1.0174998771498696</v>
      </c>
      <c r="U66" s="166"/>
      <c r="V66" s="166">
        <f t="shared" si="27"/>
        <v>1.1857274645278271</v>
      </c>
    </row>
    <row r="67" spans="1:22">
      <c r="A67" s="34">
        <f t="shared" si="17"/>
        <v>2028</v>
      </c>
      <c r="B67" s="163">
        <v>1.2</v>
      </c>
      <c r="C67" s="163">
        <v>2.5</v>
      </c>
      <c r="D67" s="163">
        <f t="shared" si="16"/>
        <v>1.2845849802371356</v>
      </c>
      <c r="E67" s="163">
        <f t="shared" si="19"/>
        <v>1.0536879508316721</v>
      </c>
      <c r="F67" s="163">
        <v>0</v>
      </c>
      <c r="G67" s="163">
        <f t="shared" si="22"/>
        <v>1.8000000000000016</v>
      </c>
      <c r="H67" s="163">
        <f t="shared" si="20"/>
        <v>1.1000000000000001</v>
      </c>
      <c r="I67" s="206">
        <f t="shared" si="21"/>
        <v>1.018</v>
      </c>
      <c r="J67" s="163">
        <f t="shared" si="23"/>
        <v>1.1266902878714291</v>
      </c>
      <c r="K67" s="163">
        <f t="shared" si="25"/>
        <v>1.1659810086016988</v>
      </c>
      <c r="L67" s="163">
        <f t="shared" si="26"/>
        <v>1.1556727285649451</v>
      </c>
      <c r="M67" s="46"/>
      <c r="N67" s="46"/>
      <c r="P67" s="45"/>
      <c r="Q67" s="45"/>
      <c r="R67" s="45"/>
      <c r="S67" s="45"/>
      <c r="T67" s="166">
        <f t="shared" si="24"/>
        <v>1.0209921645144979</v>
      </c>
      <c r="U67" s="166"/>
      <c r="V67" s="166">
        <f t="shared" si="27"/>
        <v>1.2106184505325537</v>
      </c>
    </row>
    <row r="68" spans="1:22">
      <c r="A68" s="34">
        <f t="shared" si="17"/>
        <v>2029</v>
      </c>
      <c r="B68" s="163">
        <v>1.2</v>
      </c>
      <c r="C68" s="163">
        <v>2.5</v>
      </c>
      <c r="D68" s="163">
        <f t="shared" si="16"/>
        <v>1.2845849802371356</v>
      </c>
      <c r="E68" s="163">
        <f t="shared" si="19"/>
        <v>1.2845849802371356</v>
      </c>
      <c r="F68" s="163">
        <v>0</v>
      </c>
      <c r="G68" s="163">
        <f t="shared" si="22"/>
        <v>1.8673151483793893</v>
      </c>
      <c r="H68" s="163">
        <f t="shared" si="20"/>
        <v>1.2</v>
      </c>
      <c r="I68" s="206">
        <f t="shared" si="21"/>
        <v>1.018</v>
      </c>
      <c r="J68" s="163">
        <f t="shared" si="23"/>
        <v>1.1469707130531148</v>
      </c>
      <c r="K68" s="163">
        <f t="shared" si="25"/>
        <v>1.1869686667565293</v>
      </c>
      <c r="L68" s="163">
        <f t="shared" si="26"/>
        <v>1.1764748376791141</v>
      </c>
      <c r="M68" s="46"/>
      <c r="N68" s="46"/>
      <c r="P68" s="45"/>
      <c r="Q68" s="45"/>
      <c r="R68" s="45"/>
      <c r="S68" s="45"/>
      <c r="T68" s="166">
        <f t="shared" si="24"/>
        <v>1.0249999999999999</v>
      </c>
      <c r="U68" s="166"/>
      <c r="V68" s="166">
        <f t="shared" si="27"/>
        <v>1.2408839117958674</v>
      </c>
    </row>
    <row r="69" spans="1:22">
      <c r="A69" s="34">
        <f t="shared" si="17"/>
        <v>2030</v>
      </c>
      <c r="B69" s="163">
        <v>1.2</v>
      </c>
      <c r="C69" s="163">
        <v>2.5</v>
      </c>
      <c r="D69" s="163">
        <f t="shared" si="16"/>
        <v>1.2845849802371356</v>
      </c>
      <c r="E69" s="163">
        <f t="shared" si="19"/>
        <v>1.2845849802371356</v>
      </c>
      <c r="F69" s="163">
        <v>0</v>
      </c>
      <c r="G69" s="163">
        <f t="shared" si="22"/>
        <v>2.0666286889210461</v>
      </c>
      <c r="H69" s="163">
        <f t="shared" si="20"/>
        <v>1.2</v>
      </c>
      <c r="I69" s="206">
        <f t="shared" si="21"/>
        <v>1.0186731514837939</v>
      </c>
      <c r="J69" s="163">
        <f t="shared" si="23"/>
        <v>1.1683882709254307</v>
      </c>
      <c r="K69" s="163">
        <f t="shared" si="25"/>
        <v>1.209133112477391</v>
      </c>
      <c r="L69" s="163">
        <f t="shared" si="26"/>
        <v>1.1980508896169602</v>
      </c>
      <c r="M69" s="46"/>
      <c r="N69" s="46"/>
      <c r="P69" s="45"/>
      <c r="Q69" s="45"/>
      <c r="R69" s="45"/>
      <c r="S69" s="45"/>
      <c r="T69" s="166">
        <f t="shared" si="24"/>
        <v>1.0249999999999999</v>
      </c>
      <c r="U69" s="166"/>
      <c r="V69" s="166">
        <f t="shared" si="27"/>
        <v>1.2719060095907639</v>
      </c>
    </row>
    <row r="70" spans="1:22">
      <c r="A70" s="34">
        <f t="shared" si="17"/>
        <v>2031</v>
      </c>
      <c r="B70" s="163">
        <v>1.2</v>
      </c>
      <c r="C70" s="163">
        <v>2.5</v>
      </c>
      <c r="D70" s="163">
        <f t="shared" si="16"/>
        <v>1.2845849802371356</v>
      </c>
      <c r="E70" s="163">
        <f t="shared" si="19"/>
        <v>1.2845849802371356</v>
      </c>
      <c r="F70" s="163">
        <v>0</v>
      </c>
      <c r="G70" s="163">
        <f t="shared" si="22"/>
        <v>2.2663322062416613</v>
      </c>
      <c r="H70" s="163">
        <f t="shared" si="20"/>
        <v>1.2</v>
      </c>
      <c r="I70" s="206">
        <f t="shared" si="21"/>
        <v>1.0206662868892105</v>
      </c>
      <c r="J70" s="163">
        <f t="shared" si="23"/>
        <v>1.1925345181303642</v>
      </c>
      <c r="K70" s="163">
        <f t="shared" si="25"/>
        <v>1.2341214042670927</v>
      </c>
      <c r="L70" s="163">
        <f t="shared" si="26"/>
        <v>1.2216272583722418</v>
      </c>
      <c r="M70" s="46"/>
      <c r="N70" s="46"/>
      <c r="P70" s="45"/>
      <c r="Q70" s="45"/>
      <c r="R70" s="45"/>
      <c r="S70" s="45"/>
      <c r="T70" s="166">
        <f t="shared" si="24"/>
        <v>1.0249999999999999</v>
      </c>
      <c r="U70" s="166"/>
      <c r="V70" s="166">
        <f t="shared" si="27"/>
        <v>1.3037036598305329</v>
      </c>
    </row>
    <row r="71" spans="1:22">
      <c r="A71" s="34">
        <f t="shared" si="17"/>
        <v>2032</v>
      </c>
      <c r="B71" s="163">
        <v>1.2</v>
      </c>
      <c r="C71" s="163">
        <v>2.5</v>
      </c>
      <c r="D71" s="163">
        <f t="shared" si="16"/>
        <v>1.2845849802371356</v>
      </c>
      <c r="E71" s="163">
        <f t="shared" si="19"/>
        <v>1.2845849802371356</v>
      </c>
      <c r="F71" s="163">
        <v>0</v>
      </c>
      <c r="G71" s="163">
        <f t="shared" si="22"/>
        <v>2.4999999999999911</v>
      </c>
      <c r="H71" s="163">
        <f t="shared" si="20"/>
        <v>1.2</v>
      </c>
      <c r="I71" s="206">
        <f t="shared" si="21"/>
        <v>1.0226633220624166</v>
      </c>
      <c r="J71" s="163">
        <f t="shared" si="23"/>
        <v>1.2195613119853015</v>
      </c>
      <c r="K71" s="163">
        <f t="shared" si="25"/>
        <v>1.2620906951161197</v>
      </c>
      <c r="L71" s="163">
        <f t="shared" si="26"/>
        <v>1.2481060496916063</v>
      </c>
      <c r="M71" s="46"/>
      <c r="N71" s="46"/>
      <c r="P71" s="45"/>
      <c r="Q71" s="45"/>
      <c r="R71" s="45"/>
      <c r="S71" s="45"/>
      <c r="T71" s="166">
        <f t="shared" si="24"/>
        <v>1.0249999999999999</v>
      </c>
      <c r="U71" s="166"/>
      <c r="V71" s="166">
        <f t="shared" si="27"/>
        <v>1.3362962513262961</v>
      </c>
    </row>
    <row r="72" spans="1:22">
      <c r="A72" s="34">
        <f t="shared" si="17"/>
        <v>2033</v>
      </c>
      <c r="B72" s="163">
        <v>1.2</v>
      </c>
      <c r="C72" s="163">
        <v>2.5</v>
      </c>
      <c r="D72" s="163">
        <f t="shared" si="16"/>
        <v>1.2845849802371356</v>
      </c>
      <c r="E72" s="163">
        <f t="shared" si="19"/>
        <v>1.2845849802371356</v>
      </c>
      <c r="F72" s="163">
        <v>0</v>
      </c>
      <c r="G72" s="163">
        <f t="shared" si="22"/>
        <v>2.4999999999999911</v>
      </c>
      <c r="H72" s="163">
        <f t="shared" si="20"/>
        <v>1.2</v>
      </c>
      <c r="I72" s="206">
        <f t="shared" si="21"/>
        <v>1.0249999999999999</v>
      </c>
      <c r="J72" s="163">
        <f t="shared" si="23"/>
        <v>1.2500503447849338</v>
      </c>
      <c r="K72" s="163">
        <f t="shared" si="25"/>
        <v>1.2936429624940227</v>
      </c>
      <c r="L72" s="163">
        <f t="shared" si="26"/>
        <v>1.2778668288050712</v>
      </c>
      <c r="M72" s="46"/>
      <c r="N72" s="46"/>
      <c r="P72" s="45"/>
      <c r="Q72" s="45"/>
      <c r="R72" s="45"/>
      <c r="S72" s="45"/>
      <c r="T72" s="166">
        <f t="shared" si="24"/>
        <v>1.0249999999999999</v>
      </c>
      <c r="U72" s="166"/>
      <c r="V72" s="166">
        <f t="shared" si="27"/>
        <v>1.3697036576094535</v>
      </c>
    </row>
    <row r="73" spans="1:22">
      <c r="A73" s="34">
        <f t="shared" si="17"/>
        <v>2034</v>
      </c>
      <c r="B73" s="163">
        <v>1.2</v>
      </c>
      <c r="C73" s="163">
        <v>2.5</v>
      </c>
      <c r="D73" s="163">
        <f t="shared" si="16"/>
        <v>1.2845849802371356</v>
      </c>
      <c r="E73" s="163">
        <f t="shared" si="19"/>
        <v>1.2845849802371356</v>
      </c>
      <c r="F73" s="163">
        <v>0</v>
      </c>
      <c r="G73" s="163">
        <f t="shared" si="22"/>
        <v>2.4999999999999911</v>
      </c>
      <c r="H73" s="163">
        <f t="shared" si="20"/>
        <v>1.2</v>
      </c>
      <c r="I73" s="206">
        <f t="shared" si="21"/>
        <v>1.0249999999999999</v>
      </c>
      <c r="J73" s="163">
        <f t="shared" si="23"/>
        <v>1.281301603404557</v>
      </c>
      <c r="K73" s="163">
        <f t="shared" si="25"/>
        <v>1.3259840365563731</v>
      </c>
      <c r="L73" s="163">
        <f t="shared" si="26"/>
        <v>1.3098134995251978</v>
      </c>
      <c r="M73" s="46"/>
      <c r="N73" s="46"/>
      <c r="P73" s="45"/>
      <c r="Q73" s="45"/>
      <c r="R73" s="45"/>
      <c r="S73" s="45"/>
      <c r="T73" s="166">
        <f t="shared" si="24"/>
        <v>1.0249999999999999</v>
      </c>
      <c r="U73" s="166"/>
      <c r="V73" s="166">
        <f t="shared" si="27"/>
        <v>1.4039462490496897</v>
      </c>
    </row>
    <row r="74" spans="1:22">
      <c r="A74" s="34">
        <f t="shared" si="17"/>
        <v>2035</v>
      </c>
      <c r="B74" s="163">
        <v>1.2</v>
      </c>
      <c r="C74" s="163">
        <v>2.5</v>
      </c>
      <c r="D74" s="163">
        <f t="shared" si="16"/>
        <v>1.2845849802371356</v>
      </c>
      <c r="E74" s="163">
        <f t="shared" si="19"/>
        <v>1.2845849802371356</v>
      </c>
      <c r="F74" s="163">
        <v>0</v>
      </c>
      <c r="G74" s="163">
        <f t="shared" si="22"/>
        <v>2.4999999999999911</v>
      </c>
      <c r="H74" s="163">
        <f t="shared" si="20"/>
        <v>1.2</v>
      </c>
      <c r="I74" s="206">
        <f t="shared" si="21"/>
        <v>1.0249999999999999</v>
      </c>
      <c r="J74" s="163">
        <f t="shared" si="23"/>
        <v>1.3133341434896708</v>
      </c>
      <c r="K74" s="163">
        <f t="shared" si="25"/>
        <v>1.3591336374702823</v>
      </c>
      <c r="L74" s="163">
        <f t="shared" si="26"/>
        <v>1.3425588370133277</v>
      </c>
      <c r="M74" s="46"/>
      <c r="N74" s="46"/>
      <c r="P74" s="45"/>
      <c r="Q74" s="45"/>
      <c r="R74" s="45"/>
      <c r="S74" s="45"/>
      <c r="T74" s="166">
        <f t="shared" si="24"/>
        <v>1.0249999999999999</v>
      </c>
      <c r="U74" s="166"/>
      <c r="V74" s="166">
        <f t="shared" si="27"/>
        <v>1.4390449052759318</v>
      </c>
    </row>
    <row r="75" spans="1:22">
      <c r="A75" s="34">
        <f t="shared" si="17"/>
        <v>2036</v>
      </c>
      <c r="B75" s="163">
        <v>1.2</v>
      </c>
      <c r="C75" s="163">
        <v>2.5</v>
      </c>
      <c r="D75" s="163">
        <f t="shared" si="16"/>
        <v>1.2845849802371356</v>
      </c>
      <c r="E75" s="163">
        <f t="shared" si="19"/>
        <v>1.2845849802371356</v>
      </c>
      <c r="F75" s="163">
        <v>0</v>
      </c>
      <c r="G75" s="163">
        <f t="shared" si="22"/>
        <v>2.4999999999999911</v>
      </c>
      <c r="H75" s="163">
        <f t="shared" si="20"/>
        <v>1.2</v>
      </c>
      <c r="I75" s="206">
        <f t="shared" si="21"/>
        <v>1.0249999999999999</v>
      </c>
      <c r="J75" s="163">
        <f t="shared" si="23"/>
        <v>1.3461674970769124</v>
      </c>
      <c r="K75" s="163">
        <f t="shared" si="25"/>
        <v>1.3931119784070392</v>
      </c>
      <c r="L75" s="163">
        <f t="shared" si="26"/>
        <v>1.3761228079386607</v>
      </c>
      <c r="M75" s="46"/>
      <c r="N75" s="46"/>
      <c r="P75" s="45"/>
      <c r="Q75" s="45"/>
      <c r="R75" s="45"/>
      <c r="S75" s="45"/>
      <c r="T75" s="166">
        <f t="shared" si="24"/>
        <v>1.0249999999999999</v>
      </c>
      <c r="U75" s="166"/>
      <c r="V75" s="166">
        <f t="shared" si="27"/>
        <v>1.47502102790783</v>
      </c>
    </row>
    <row r="76" spans="1:22">
      <c r="A76" s="34">
        <f t="shared" si="17"/>
        <v>2037</v>
      </c>
      <c r="B76" s="163">
        <v>1.2</v>
      </c>
      <c r="C76" s="163">
        <v>2.5</v>
      </c>
      <c r="D76" s="163">
        <f t="shared" si="16"/>
        <v>1.2845849802371356</v>
      </c>
      <c r="E76" s="163">
        <f t="shared" si="19"/>
        <v>1.2845849802371356</v>
      </c>
      <c r="F76" s="163">
        <v>0</v>
      </c>
      <c r="G76" s="163">
        <f t="shared" si="22"/>
        <v>2.4999999999999911</v>
      </c>
      <c r="H76" s="163">
        <f t="shared" si="20"/>
        <v>1.2</v>
      </c>
      <c r="I76" s="206">
        <f t="shared" si="21"/>
        <v>1.0249999999999999</v>
      </c>
      <c r="J76" s="163">
        <f t="shared" si="23"/>
        <v>1.3798216845038351</v>
      </c>
      <c r="K76" s="163">
        <f t="shared" si="25"/>
        <v>1.4279397778672149</v>
      </c>
      <c r="L76" s="163">
        <f t="shared" si="26"/>
        <v>1.410525878137127</v>
      </c>
      <c r="M76" s="46"/>
      <c r="N76" s="46"/>
      <c r="P76" s="45"/>
      <c r="Q76" s="45"/>
      <c r="R76" s="45"/>
      <c r="S76" s="45"/>
      <c r="T76" s="166">
        <f t="shared" si="24"/>
        <v>1.0249999999999999</v>
      </c>
      <c r="U76" s="166"/>
      <c r="V76" s="166">
        <f t="shared" si="27"/>
        <v>1.5118965536055256</v>
      </c>
    </row>
    <row r="77" spans="1:22">
      <c r="A77" s="34">
        <f t="shared" si="17"/>
        <v>2038</v>
      </c>
      <c r="B77" s="163">
        <v>1.2</v>
      </c>
      <c r="C77" s="163">
        <v>2.5</v>
      </c>
      <c r="D77" s="163">
        <f t="shared" si="16"/>
        <v>1.2845849802371356</v>
      </c>
      <c r="E77" s="163">
        <f t="shared" si="19"/>
        <v>1.2845849802371356</v>
      </c>
      <c r="F77" s="163">
        <v>0</v>
      </c>
      <c r="G77" s="163">
        <f t="shared" si="22"/>
        <v>2.4999999999999911</v>
      </c>
      <c r="H77" s="163">
        <f t="shared" si="20"/>
        <v>1.2</v>
      </c>
      <c r="I77" s="206">
        <f t="shared" si="21"/>
        <v>1.0249999999999999</v>
      </c>
      <c r="J77" s="163">
        <f t="shared" si="23"/>
        <v>1.4143172266164308</v>
      </c>
      <c r="K77" s="163">
        <f t="shared" si="25"/>
        <v>1.4636382723138952</v>
      </c>
      <c r="L77" s="163">
        <f t="shared" si="26"/>
        <v>1.445789025090555</v>
      </c>
      <c r="M77" s="46"/>
      <c r="N77" s="46"/>
      <c r="P77" s="45"/>
      <c r="Q77" s="45"/>
      <c r="R77" s="45"/>
      <c r="S77" s="45"/>
      <c r="T77" s="166">
        <f t="shared" si="24"/>
        <v>1.0249999999999999</v>
      </c>
      <c r="U77" s="166"/>
      <c r="V77" s="166">
        <f t="shared" si="27"/>
        <v>1.5496939674456636</v>
      </c>
    </row>
    <row r="78" spans="1:22">
      <c r="A78" s="34">
        <f t="shared" si="17"/>
        <v>2039</v>
      </c>
      <c r="B78" s="163">
        <v>1.2</v>
      </c>
      <c r="C78" s="163">
        <v>2.5</v>
      </c>
      <c r="D78" s="163">
        <f t="shared" si="16"/>
        <v>1.2845849802371356</v>
      </c>
      <c r="E78" s="163">
        <f t="shared" si="19"/>
        <v>1.2845849802371356</v>
      </c>
      <c r="F78" s="163">
        <v>0</v>
      </c>
      <c r="G78" s="163">
        <f t="shared" si="22"/>
        <v>2.4999999999999911</v>
      </c>
      <c r="H78" s="163">
        <f t="shared" si="20"/>
        <v>1.2</v>
      </c>
      <c r="I78" s="206">
        <f t="shared" si="21"/>
        <v>1.0249999999999999</v>
      </c>
      <c r="J78" s="163">
        <f t="shared" si="23"/>
        <v>1.4496751572818414</v>
      </c>
      <c r="K78" s="163">
        <f t="shared" si="25"/>
        <v>1.5002292291217425</v>
      </c>
      <c r="L78" s="163">
        <f t="shared" si="26"/>
        <v>1.4819337507178187</v>
      </c>
      <c r="M78" s="46"/>
      <c r="N78" s="46"/>
      <c r="P78" s="45"/>
      <c r="Q78" s="45"/>
      <c r="R78" s="45"/>
      <c r="S78" s="45"/>
      <c r="T78" s="166">
        <f t="shared" si="24"/>
        <v>1.0249999999999999</v>
      </c>
      <c r="U78" s="166"/>
      <c r="V78" s="166">
        <f t="shared" si="27"/>
        <v>1.588436316631805</v>
      </c>
    </row>
    <row r="79" spans="1:22">
      <c r="A79" s="34">
        <f t="shared" si="17"/>
        <v>2040</v>
      </c>
      <c r="B79" s="163">
        <v>1.2</v>
      </c>
      <c r="C79" s="163">
        <v>2.5</v>
      </c>
      <c r="D79" s="163">
        <f t="shared" si="16"/>
        <v>1.2845849802371356</v>
      </c>
      <c r="E79" s="163">
        <f t="shared" si="19"/>
        <v>0.85456686752016786</v>
      </c>
      <c r="F79" s="163">
        <v>0</v>
      </c>
      <c r="G79" s="163">
        <f t="shared" si="22"/>
        <v>2.4999999999999911</v>
      </c>
      <c r="H79" s="163">
        <f t="shared" si="20"/>
        <v>1.2</v>
      </c>
      <c r="I79" s="206">
        <f t="shared" si="21"/>
        <v>1.0249999999999999</v>
      </c>
      <c r="J79" s="163">
        <f t="shared" si="23"/>
        <v>1.4859170362138874</v>
      </c>
      <c r="K79" s="163">
        <f t="shared" si="25"/>
        <v>1.537734959849786</v>
      </c>
      <c r="L79" s="163">
        <f t="shared" si="26"/>
        <v>1.5189820944857644</v>
      </c>
      <c r="M79" s="46"/>
      <c r="N79" s="46"/>
      <c r="P79" s="45"/>
      <c r="Q79" s="45"/>
      <c r="R79" s="45"/>
      <c r="S79" s="45"/>
      <c r="T79" s="166">
        <f t="shared" si="24"/>
        <v>1.0249999999999999</v>
      </c>
      <c r="U79" s="166"/>
      <c r="V79" s="166">
        <f t="shared" si="27"/>
        <v>1.6281472245475999</v>
      </c>
    </row>
  </sheetData>
  <mergeCells count="6">
    <mergeCell ref="P2:Q2"/>
    <mergeCell ref="R2:S2"/>
    <mergeCell ref="P3:P4"/>
    <mergeCell ref="Q3:Q4"/>
    <mergeCell ref="R3:R4"/>
    <mergeCell ref="S3:S4"/>
  </mergeCells>
  <phoneticPr fontId="1"/>
  <pageMargins left="0.11811023622047245" right="0.11811023622047245" top="0.55118110236220474" bottom="0.55118110236220474" header="0.31496062992125984" footer="0.31496062992125984"/>
  <pageSetup paperSize="9" scale="83" orientation="landscape" horizontalDpi="300" verticalDpi="300" r:id="rId1"/>
  <rowBreaks count="1" manualBreakCount="1">
    <brk id="39" max="21" man="1"/>
  </rowBreaks>
  <ignoredErrors>
    <ignoredError sqref="G5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Normal="100" workbookViewId="0"/>
  </sheetViews>
  <sheetFormatPr defaultRowHeight="13.5"/>
  <cols>
    <col min="1" max="1" width="9" style="34" customWidth="1"/>
    <col min="2" max="2" width="14" style="34" customWidth="1"/>
    <col min="3" max="3" width="14.125" style="34" customWidth="1"/>
    <col min="4" max="4" width="12" style="34" customWidth="1"/>
    <col min="5" max="5" width="2.625" style="34" customWidth="1"/>
    <col min="6" max="10" width="9" style="34"/>
    <col min="11" max="11" width="8.375" style="34" customWidth="1"/>
    <col min="12" max="16384" width="9" style="34"/>
  </cols>
  <sheetData>
    <row r="1" spans="1:14">
      <c r="B1" s="34" t="s">
        <v>91</v>
      </c>
      <c r="C1" s="34" t="s">
        <v>92</v>
      </c>
      <c r="D1" s="34" t="s">
        <v>93</v>
      </c>
      <c r="F1" s="34" t="s">
        <v>94</v>
      </c>
    </row>
    <row r="2" spans="1:14">
      <c r="B2" s="35" t="s">
        <v>184</v>
      </c>
      <c r="C2" s="35" t="s">
        <v>185</v>
      </c>
      <c r="D2" s="34" t="s">
        <v>95</v>
      </c>
      <c r="F2" s="34" t="s">
        <v>85</v>
      </c>
      <c r="H2" s="34" t="s">
        <v>96</v>
      </c>
      <c r="I2" s="34" t="s">
        <v>96</v>
      </c>
      <c r="J2" s="34" t="s">
        <v>97</v>
      </c>
      <c r="K2" s="36" t="s">
        <v>98</v>
      </c>
    </row>
    <row r="3" spans="1:14">
      <c r="B3" s="35" t="s">
        <v>74</v>
      </c>
      <c r="C3" s="35" t="s">
        <v>74</v>
      </c>
      <c r="D3" s="35" t="s">
        <v>99</v>
      </c>
      <c r="F3" s="35" t="s">
        <v>100</v>
      </c>
      <c r="H3" s="35" t="s">
        <v>101</v>
      </c>
      <c r="I3" s="34" t="s">
        <v>101</v>
      </c>
      <c r="J3" s="35" t="s">
        <v>102</v>
      </c>
      <c r="K3" s="34" t="s">
        <v>103</v>
      </c>
    </row>
    <row r="4" spans="1:14">
      <c r="A4" s="34">
        <v>2012</v>
      </c>
      <c r="B4" s="35">
        <v>74125322</v>
      </c>
      <c r="C4" s="35">
        <v>74125322</v>
      </c>
      <c r="F4" s="34" t="s">
        <v>104</v>
      </c>
      <c r="I4" s="34" t="s">
        <v>105</v>
      </c>
      <c r="M4" s="35"/>
    </row>
    <row r="5" spans="1:14">
      <c r="A5" s="34">
        <v>2013</v>
      </c>
      <c r="B5" s="35">
        <v>72962347</v>
      </c>
      <c r="C5" s="35">
        <v>72971794</v>
      </c>
      <c r="D5" s="37">
        <f t="shared" ref="D5:D19" si="0">B5/C5</f>
        <v>0.99987053901950118</v>
      </c>
      <c r="G5" s="34" t="s">
        <v>152</v>
      </c>
      <c r="H5" s="44"/>
      <c r="I5" s="167">
        <v>-4.4686596627372399E-3</v>
      </c>
      <c r="J5" s="44"/>
      <c r="K5" s="44"/>
      <c r="M5" s="35"/>
      <c r="N5" s="44"/>
    </row>
    <row r="6" spans="1:14">
      <c r="A6" s="34">
        <v>2014</v>
      </c>
      <c r="B6" s="35">
        <v>71844389</v>
      </c>
      <c r="C6" s="35">
        <v>71825165</v>
      </c>
      <c r="D6" s="37">
        <f t="shared" si="0"/>
        <v>1.0002676499246468</v>
      </c>
      <c r="F6" s="39">
        <v>66.354147999999995</v>
      </c>
      <c r="G6" s="39">
        <f t="shared" ref="G6:G19" si="1">D6*F6</f>
        <v>66.371907682712191</v>
      </c>
      <c r="H6" s="44"/>
      <c r="I6" s="167">
        <v>-1.954550177758918E-3</v>
      </c>
      <c r="J6" s="44"/>
      <c r="K6" s="44"/>
      <c r="M6" s="35"/>
      <c r="N6" s="44"/>
    </row>
    <row r="7" spans="1:14">
      <c r="A7" s="34">
        <v>2015</v>
      </c>
      <c r="B7" s="35">
        <v>71227144</v>
      </c>
      <c r="C7" s="35">
        <v>70885270</v>
      </c>
      <c r="D7" s="37">
        <f t="shared" si="0"/>
        <v>1.0048229201920229</v>
      </c>
      <c r="F7" s="39">
        <v>65.931816999999995</v>
      </c>
      <c r="G7" s="39">
        <f t="shared" si="1"/>
        <v>66.249800891506055</v>
      </c>
      <c r="H7" s="44">
        <f t="shared" ref="H7:H19" si="2">G7/G6-1</f>
        <v>-1.8397360490203241E-3</v>
      </c>
      <c r="I7" s="167">
        <v>-5.5504178569232288E-4</v>
      </c>
      <c r="J7" s="44"/>
      <c r="K7" s="44"/>
      <c r="M7" s="35"/>
      <c r="N7" s="44"/>
    </row>
    <row r="8" spans="1:14" ht="14.25" customHeight="1">
      <c r="A8" s="34">
        <v>2016</v>
      </c>
      <c r="B8" s="35">
        <v>70522039</v>
      </c>
      <c r="C8" s="35">
        <v>70068882</v>
      </c>
      <c r="D8" s="37">
        <f t="shared" si="0"/>
        <v>1.0064673074132966</v>
      </c>
      <c r="F8" s="39">
        <v>65.561588</v>
      </c>
      <c r="G8" s="39">
        <f t="shared" si="1"/>
        <v>65.985594944099901</v>
      </c>
      <c r="H8" s="44">
        <f t="shared" si="2"/>
        <v>-3.9880262861292648E-3</v>
      </c>
      <c r="I8" s="167">
        <v>1.8490866445883825E-3</v>
      </c>
      <c r="J8" s="44"/>
      <c r="K8" s="44"/>
      <c r="M8" s="35"/>
      <c r="N8" s="44"/>
    </row>
    <row r="9" spans="1:14">
      <c r="A9" s="34">
        <v>2017</v>
      </c>
      <c r="B9" s="35">
        <v>69812873</v>
      </c>
      <c r="C9" s="35">
        <v>69380762</v>
      </c>
      <c r="D9" s="37">
        <f t="shared" si="0"/>
        <v>1.0062281097460417</v>
      </c>
      <c r="F9" s="39">
        <v>65.209658000000005</v>
      </c>
      <c r="G9" s="39">
        <f t="shared" si="1"/>
        <v>65.615790906525845</v>
      </c>
      <c r="H9" s="44">
        <f t="shared" si="2"/>
        <v>-5.6043146672745126E-3</v>
      </c>
      <c r="I9" s="44">
        <f t="shared" ref="I9:I19" si="3">H9</f>
        <v>-5.6043146672745126E-3</v>
      </c>
      <c r="J9" s="44">
        <f t="shared" ref="J9:J19" si="4">((1+I5)*(1+I6)*(1+I7))^(1/3)-1</f>
        <v>-2.327398281975035E-3</v>
      </c>
      <c r="K9" s="44">
        <f t="shared" ref="K9:K19" si="5">J9-0.3/100</f>
        <v>-5.327398281975035E-3</v>
      </c>
    </row>
    <row r="10" spans="1:14">
      <c r="A10" s="34">
        <v>2018</v>
      </c>
      <c r="B10" s="35">
        <v>69281976</v>
      </c>
      <c r="C10" s="35">
        <v>68802013</v>
      </c>
      <c r="D10" s="37">
        <f t="shared" si="0"/>
        <v>1.0069760022864447</v>
      </c>
      <c r="F10" s="39">
        <v>64.820700000000002</v>
      </c>
      <c r="G10" s="39">
        <f t="shared" si="1"/>
        <v>65.272889351408949</v>
      </c>
      <c r="H10" s="44">
        <f t="shared" si="2"/>
        <v>-5.2258998996961292E-3</v>
      </c>
      <c r="I10" s="44">
        <f t="shared" si="3"/>
        <v>-5.2258998996961292E-3</v>
      </c>
      <c r="J10" s="44">
        <f t="shared" si="4"/>
        <v>-2.2140198483133755E-4</v>
      </c>
      <c r="K10" s="44">
        <f t="shared" si="5"/>
        <v>-3.2214019848313376E-3</v>
      </c>
    </row>
    <row r="11" spans="1:14">
      <c r="A11" s="34">
        <v>2019</v>
      </c>
      <c r="B11" s="35">
        <v>68843376</v>
      </c>
      <c r="C11" s="35">
        <v>68311767</v>
      </c>
      <c r="D11" s="37">
        <f t="shared" si="0"/>
        <v>1.0077820999711513</v>
      </c>
      <c r="F11" s="39">
        <v>64.435546000000002</v>
      </c>
      <c r="G11" s="39">
        <f t="shared" si="1"/>
        <v>64.936989860667722</v>
      </c>
      <c r="H11" s="44">
        <f t="shared" si="2"/>
        <v>-5.1460796983086032E-3</v>
      </c>
      <c r="I11" s="44">
        <f t="shared" si="3"/>
        <v>-5.1460796983086032E-3</v>
      </c>
      <c r="J11" s="44">
        <f t="shared" si="4"/>
        <v>-1.4415913909375799E-3</v>
      </c>
      <c r="K11" s="44">
        <f t="shared" si="5"/>
        <v>-4.44159139093758E-3</v>
      </c>
    </row>
    <row r="12" spans="1:14">
      <c r="A12" s="34">
        <v>2020</v>
      </c>
      <c r="B12" s="35">
        <v>68412444</v>
      </c>
      <c r="C12" s="35">
        <v>67830463</v>
      </c>
      <c r="D12" s="37">
        <f t="shared" si="0"/>
        <v>1.0085799355372231</v>
      </c>
      <c r="F12" s="39">
        <v>64.071385000000006</v>
      </c>
      <c r="G12" s="39">
        <f t="shared" si="1"/>
        <v>64.621113353080617</v>
      </c>
      <c r="H12" s="44">
        <f t="shared" si="2"/>
        <v>-4.8643540186397161E-3</v>
      </c>
      <c r="I12" s="44">
        <f t="shared" si="3"/>
        <v>-4.8643540186397161E-3</v>
      </c>
      <c r="J12" s="44">
        <f t="shared" si="4"/>
        <v>-2.9995926211425772E-3</v>
      </c>
      <c r="K12" s="44">
        <f t="shared" si="5"/>
        <v>-5.9995926211425772E-3</v>
      </c>
    </row>
    <row r="13" spans="1:14">
      <c r="A13" s="34">
        <v>2021</v>
      </c>
      <c r="B13" s="35">
        <v>68012383</v>
      </c>
      <c r="C13" s="35">
        <v>67395371</v>
      </c>
      <c r="D13" s="37">
        <f t="shared" si="0"/>
        <v>1.0091551094807387</v>
      </c>
      <c r="F13" s="39">
        <v>63.713855999999993</v>
      </c>
      <c r="G13" s="39">
        <f t="shared" si="1"/>
        <v>64.297163327120018</v>
      </c>
      <c r="H13" s="44">
        <f t="shared" si="2"/>
        <v>-5.0130678527710026E-3</v>
      </c>
      <c r="I13" s="44">
        <f t="shared" si="3"/>
        <v>-5.0130678527710026E-3</v>
      </c>
      <c r="J13" s="44">
        <f t="shared" si="4"/>
        <v>-5.325451505286849E-3</v>
      </c>
      <c r="K13" s="44">
        <f t="shared" si="5"/>
        <v>-8.3254515052868482E-3</v>
      </c>
    </row>
    <row r="14" spans="1:14">
      <c r="A14" s="34">
        <v>2022</v>
      </c>
      <c r="B14" s="35">
        <v>67675416</v>
      </c>
      <c r="C14" s="35">
        <v>67021815</v>
      </c>
      <c r="D14" s="37">
        <f t="shared" si="0"/>
        <v>1.0097520635631847</v>
      </c>
      <c r="F14" s="39">
        <v>63.340461999999995</v>
      </c>
      <c r="G14" s="39">
        <f t="shared" si="1"/>
        <v>63.958162211545478</v>
      </c>
      <c r="H14" s="44">
        <f t="shared" si="2"/>
        <v>-5.2724116902300722E-3</v>
      </c>
      <c r="I14" s="44">
        <f t="shared" si="3"/>
        <v>-5.2724116902300722E-3</v>
      </c>
      <c r="J14" s="44">
        <f t="shared" si="4"/>
        <v>-5.0787899582217522E-3</v>
      </c>
      <c r="K14" s="44">
        <f t="shared" si="5"/>
        <v>-8.0787899582217514E-3</v>
      </c>
    </row>
    <row r="15" spans="1:14">
      <c r="A15" s="34">
        <v>2023</v>
      </c>
      <c r="B15" s="35">
        <v>67270362</v>
      </c>
      <c r="C15" s="35">
        <v>66583631</v>
      </c>
      <c r="D15" s="37">
        <f t="shared" si="0"/>
        <v>1.0103138112128489</v>
      </c>
      <c r="F15" s="39">
        <v>62.944411999999993</v>
      </c>
      <c r="G15" s="39">
        <f t="shared" si="1"/>
        <v>63.593608782271772</v>
      </c>
      <c r="H15" s="44">
        <f t="shared" si="2"/>
        <v>-5.6998734276936247E-3</v>
      </c>
      <c r="I15" s="44">
        <f t="shared" si="3"/>
        <v>-5.6998734276936247E-3</v>
      </c>
      <c r="J15" s="44">
        <f t="shared" si="4"/>
        <v>-5.0078405108235913E-3</v>
      </c>
      <c r="K15" s="44">
        <f t="shared" si="5"/>
        <v>-8.0078405108235905E-3</v>
      </c>
    </row>
    <row r="16" spans="1:14">
      <c r="A16" s="34">
        <v>2024</v>
      </c>
      <c r="B16" s="35">
        <v>66811326</v>
      </c>
      <c r="C16" s="35">
        <v>66093725</v>
      </c>
      <c r="D16" s="37">
        <f t="shared" si="0"/>
        <v>1.0108573242013519</v>
      </c>
      <c r="F16" s="39">
        <v>62.501272</v>
      </c>
      <c r="G16" s="39">
        <f t="shared" si="1"/>
        <v>63.179868573100876</v>
      </c>
      <c r="H16" s="44">
        <f t="shared" si="2"/>
        <v>-6.5060029945372966E-3</v>
      </c>
      <c r="I16" s="44">
        <f t="shared" si="3"/>
        <v>-6.5060029945372966E-3</v>
      </c>
      <c r="J16" s="44">
        <f t="shared" si="4"/>
        <v>-5.0499588091077463E-3</v>
      </c>
      <c r="K16" s="44">
        <f t="shared" si="5"/>
        <v>-8.0499588091077455E-3</v>
      </c>
    </row>
    <row r="17" spans="1:13">
      <c r="A17" s="34">
        <v>2025</v>
      </c>
      <c r="B17" s="35">
        <v>66347435</v>
      </c>
      <c r="C17" s="35">
        <v>65593420</v>
      </c>
      <c r="D17" s="37">
        <f t="shared" si="0"/>
        <v>1.0114952841306339</v>
      </c>
      <c r="F17" s="39">
        <v>62.021431</v>
      </c>
      <c r="G17" s="39">
        <f t="shared" si="1"/>
        <v>62.734384971533508</v>
      </c>
      <c r="H17" s="44">
        <f t="shared" si="2"/>
        <v>-7.0510371678271788E-3</v>
      </c>
      <c r="I17" s="44">
        <f t="shared" si="3"/>
        <v>-7.0510371678271788E-3</v>
      </c>
      <c r="J17" s="44">
        <f t="shared" si="4"/>
        <v>-5.328491300818361E-3</v>
      </c>
      <c r="K17" s="44">
        <f t="shared" si="5"/>
        <v>-8.3284913008183602E-3</v>
      </c>
    </row>
    <row r="18" spans="1:13">
      <c r="A18" s="34">
        <v>2026</v>
      </c>
      <c r="B18" s="35">
        <v>65896485</v>
      </c>
      <c r="C18" s="35">
        <v>65111665</v>
      </c>
      <c r="D18" s="37">
        <f t="shared" si="0"/>
        <v>1.0120534469514795</v>
      </c>
      <c r="F18" s="39">
        <v>61.586846999999999</v>
      </c>
      <c r="G18" s="39">
        <f t="shared" si="1"/>
        <v>62.329180793223379</v>
      </c>
      <c r="H18" s="44">
        <f t="shared" si="2"/>
        <v>-6.4590444059345886E-3</v>
      </c>
      <c r="I18" s="44">
        <f t="shared" si="3"/>
        <v>-6.4590444059345886E-3</v>
      </c>
      <c r="J18" s="44">
        <f t="shared" si="4"/>
        <v>-5.8262276153503434E-3</v>
      </c>
      <c r="K18" s="44">
        <f t="shared" si="5"/>
        <v>-8.8262276153503426E-3</v>
      </c>
    </row>
    <row r="19" spans="1:13">
      <c r="A19" s="34">
        <v>2027</v>
      </c>
      <c r="B19" s="35">
        <v>65435116</v>
      </c>
      <c r="C19" s="35">
        <v>64618092</v>
      </c>
      <c r="D19" s="37">
        <f t="shared" si="0"/>
        <v>1.0126438892686587</v>
      </c>
      <c r="F19" s="39">
        <v>61.125872999999999</v>
      </c>
      <c r="G19" s="39">
        <f t="shared" si="1"/>
        <v>61.898741769662088</v>
      </c>
      <c r="H19" s="44">
        <f t="shared" si="2"/>
        <v>-6.9058989398443904E-3</v>
      </c>
      <c r="I19" s="44">
        <f t="shared" si="3"/>
        <v>-6.9058989398443904E-3</v>
      </c>
      <c r="J19" s="44">
        <f t="shared" si="4"/>
        <v>-6.4191262090467216E-3</v>
      </c>
      <c r="K19" s="44">
        <f t="shared" si="5"/>
        <v>-9.4191262090467208E-3</v>
      </c>
    </row>
    <row r="20" spans="1:13" ht="7.5" customHeight="1">
      <c r="B20" s="35"/>
      <c r="C20" s="35"/>
      <c r="D20" s="37"/>
      <c r="F20" s="39"/>
      <c r="G20" s="39"/>
      <c r="H20" s="44"/>
      <c r="I20" s="44"/>
      <c r="J20" s="44"/>
      <c r="K20" s="44"/>
    </row>
    <row r="21" spans="1:13">
      <c r="A21" s="16">
        <v>2023</v>
      </c>
      <c r="B21" s="17">
        <v>67270362</v>
      </c>
      <c r="C21" s="17">
        <v>66583631</v>
      </c>
      <c r="D21" s="42">
        <f t="shared" ref="D21:D38" si="6">B21/C21</f>
        <v>1.0103138112128489</v>
      </c>
      <c r="E21" s="16"/>
      <c r="F21" s="18">
        <v>62.312114000000001</v>
      </c>
      <c r="G21" s="18">
        <f t="shared" ref="G21:G37" si="7">D21*F21</f>
        <v>62.954789380069521</v>
      </c>
      <c r="H21" s="168"/>
      <c r="I21" s="168"/>
      <c r="J21" s="168"/>
      <c r="K21" s="168"/>
    </row>
    <row r="22" spans="1:13">
      <c r="A22" s="16">
        <v>2024</v>
      </c>
      <c r="B22" s="17">
        <v>66811326</v>
      </c>
      <c r="C22" s="17">
        <v>66093725</v>
      </c>
      <c r="D22" s="42">
        <f t="shared" si="6"/>
        <v>1.0108573242013519</v>
      </c>
      <c r="E22" s="16"/>
      <c r="F22" s="18">
        <v>61.820079999999997</v>
      </c>
      <c r="G22" s="18">
        <f t="shared" si="7"/>
        <v>62.491280650713506</v>
      </c>
      <c r="H22" s="168">
        <f t="shared" ref="H22:H38" si="8">G22/G21-1</f>
        <v>-7.3625650076871718E-3</v>
      </c>
      <c r="I22" s="168">
        <f t="shared" ref="I22:I38" si="9">H22</f>
        <v>-7.3625650076871718E-3</v>
      </c>
      <c r="J22" s="168"/>
      <c r="K22" s="168"/>
    </row>
    <row r="23" spans="1:13">
      <c r="A23" s="16">
        <v>2025</v>
      </c>
      <c r="B23" s="17">
        <v>66347435</v>
      </c>
      <c r="C23" s="17">
        <v>65593420</v>
      </c>
      <c r="D23" s="42">
        <f t="shared" si="6"/>
        <v>1.0114952841306339</v>
      </c>
      <c r="E23" s="16"/>
      <c r="F23" s="18">
        <v>61.286445000000001</v>
      </c>
      <c r="G23" s="18">
        <f t="shared" si="7"/>
        <v>61.990950098631473</v>
      </c>
      <c r="H23" s="168">
        <f t="shared" si="8"/>
        <v>-8.0064058036922736E-3</v>
      </c>
      <c r="I23" s="168">
        <f t="shared" si="9"/>
        <v>-8.0064058036922736E-3</v>
      </c>
      <c r="J23" s="168"/>
      <c r="K23" s="168"/>
    </row>
    <row r="24" spans="1:13">
      <c r="A24" s="16">
        <v>2026</v>
      </c>
      <c r="B24" s="17">
        <v>65896485</v>
      </c>
      <c r="C24" s="17">
        <v>65111665</v>
      </c>
      <c r="D24" s="42">
        <f t="shared" si="6"/>
        <v>1.0120534469514795</v>
      </c>
      <c r="E24" s="16"/>
      <c r="F24" s="18">
        <v>60.799424999999992</v>
      </c>
      <c r="G24" s="18">
        <f t="shared" si="7"/>
        <v>61.532267643917947</v>
      </c>
      <c r="H24" s="168">
        <f t="shared" si="8"/>
        <v>-7.3991841387126556E-3</v>
      </c>
      <c r="I24" s="168">
        <f t="shared" si="9"/>
        <v>-7.3991841387126556E-3</v>
      </c>
      <c r="J24" s="168"/>
      <c r="K24" s="168"/>
    </row>
    <row r="25" spans="1:13">
      <c r="A25" s="16">
        <v>2027</v>
      </c>
      <c r="B25" s="17">
        <v>65435116</v>
      </c>
      <c r="C25" s="17">
        <v>64618092</v>
      </c>
      <c r="D25" s="42">
        <f t="shared" si="6"/>
        <v>1.0126438892686587</v>
      </c>
      <c r="E25" s="16"/>
      <c r="F25" s="18">
        <v>60.279216999999996</v>
      </c>
      <c r="G25" s="18">
        <f t="shared" si="7"/>
        <v>61.041380744949443</v>
      </c>
      <c r="H25" s="168">
        <f t="shared" si="8"/>
        <v>-7.9777150715333311E-3</v>
      </c>
      <c r="I25" s="168">
        <f t="shared" si="9"/>
        <v>-7.9777150715333311E-3</v>
      </c>
      <c r="J25" s="168"/>
      <c r="K25" s="168"/>
    </row>
    <row r="26" spans="1:13">
      <c r="A26" s="16">
        <v>2028</v>
      </c>
      <c r="B26" s="17">
        <v>64935949</v>
      </c>
      <c r="C26" s="17">
        <v>64083071</v>
      </c>
      <c r="D26" s="42">
        <f t="shared" si="6"/>
        <v>1.0133089439487069</v>
      </c>
      <c r="E26" s="16"/>
      <c r="F26" s="18">
        <v>59.653298000000007</v>
      </c>
      <c r="G26" s="18">
        <f t="shared" si="7"/>
        <v>60.447220399437512</v>
      </c>
      <c r="H26" s="168">
        <f t="shared" si="8"/>
        <v>-9.7337304343511066E-3</v>
      </c>
      <c r="I26" s="168">
        <f t="shared" si="9"/>
        <v>-9.7337304343511066E-3</v>
      </c>
      <c r="J26" s="168">
        <f t="shared" ref="J26:J38" si="10">((1+I22)*(1+I23)*(1+I24))^(1/3)-1</f>
        <v>-7.5894289111313462E-3</v>
      </c>
      <c r="K26" s="168">
        <f t="shared" ref="K26:K38" si="11">J26-0.3/100</f>
        <v>-1.0589428911131345E-2</v>
      </c>
      <c r="M26" s="40"/>
    </row>
    <row r="27" spans="1:13">
      <c r="A27" s="16">
        <v>2029</v>
      </c>
      <c r="B27" s="17">
        <v>64381372</v>
      </c>
      <c r="C27" s="17">
        <v>63485544</v>
      </c>
      <c r="D27" s="42">
        <f t="shared" si="6"/>
        <v>1.0141107399189964</v>
      </c>
      <c r="E27" s="16"/>
      <c r="F27" s="18">
        <v>58.990642000000008</v>
      </c>
      <c r="G27" s="18">
        <f t="shared" si="7"/>
        <v>59.823043606916634</v>
      </c>
      <c r="H27" s="168">
        <f t="shared" si="8"/>
        <v>-1.0325980059898487E-2</v>
      </c>
      <c r="I27" s="168">
        <f t="shared" si="9"/>
        <v>-1.0325980059898487E-2</v>
      </c>
      <c r="J27" s="168">
        <f t="shared" si="10"/>
        <v>-7.7944744312049563E-3</v>
      </c>
      <c r="K27" s="168">
        <f t="shared" si="11"/>
        <v>-1.0794474431204956E-2</v>
      </c>
      <c r="M27" s="40"/>
    </row>
    <row r="28" spans="1:13">
      <c r="A28" s="16">
        <v>2030</v>
      </c>
      <c r="B28" s="17">
        <v>63716049</v>
      </c>
      <c r="C28" s="17">
        <v>62784396</v>
      </c>
      <c r="D28" s="42">
        <f t="shared" si="6"/>
        <v>1.0148389259012702</v>
      </c>
      <c r="E28" s="16"/>
      <c r="F28" s="18">
        <v>58.300738000000003</v>
      </c>
      <c r="G28" s="18">
        <f t="shared" si="7"/>
        <v>59.165858331171371</v>
      </c>
      <c r="H28" s="168">
        <f t="shared" si="8"/>
        <v>-1.098548713207359E-2</v>
      </c>
      <c r="I28" s="168">
        <f t="shared" si="9"/>
        <v>-1.098548713207359E-2</v>
      </c>
      <c r="J28" s="168">
        <f t="shared" si="10"/>
        <v>-8.3707069052348926E-3</v>
      </c>
      <c r="K28" s="168">
        <f t="shared" si="11"/>
        <v>-1.1370706905234892E-2</v>
      </c>
      <c r="M28" s="40"/>
    </row>
    <row r="29" spans="1:13">
      <c r="A29" s="16">
        <v>2031</v>
      </c>
      <c r="B29" s="17">
        <v>63363234</v>
      </c>
      <c r="C29" s="17">
        <v>62407317</v>
      </c>
      <c r="D29" s="42">
        <f t="shared" si="6"/>
        <v>1.0153173865814484</v>
      </c>
      <c r="E29" s="16"/>
      <c r="F29" s="18">
        <v>57.566047999999995</v>
      </c>
      <c r="G29" s="18">
        <f t="shared" si="7"/>
        <v>58.447809411182213</v>
      </c>
      <c r="H29" s="168">
        <f t="shared" si="8"/>
        <v>-1.2136203889242969E-2</v>
      </c>
      <c r="I29" s="168">
        <f t="shared" si="9"/>
        <v>-1.2136203889242969E-2</v>
      </c>
      <c r="J29" s="168">
        <f t="shared" si="10"/>
        <v>-9.3463101854888153E-3</v>
      </c>
      <c r="K29" s="168">
        <f t="shared" si="11"/>
        <v>-1.2346310185488815E-2</v>
      </c>
      <c r="M29" s="40"/>
    </row>
    <row r="30" spans="1:13">
      <c r="A30" s="16">
        <v>2032</v>
      </c>
      <c r="B30" s="17">
        <v>62612572</v>
      </c>
      <c r="C30" s="17">
        <v>61632540</v>
      </c>
      <c r="D30" s="42">
        <f t="shared" si="6"/>
        <v>1.0159012106267242</v>
      </c>
      <c r="E30" s="16"/>
      <c r="F30" s="18">
        <v>56.765743999999998</v>
      </c>
      <c r="G30" s="18">
        <f t="shared" si="7"/>
        <v>57.668388051726708</v>
      </c>
      <c r="H30" s="168">
        <f t="shared" si="8"/>
        <v>-1.3335339122331313E-2</v>
      </c>
      <c r="I30" s="168">
        <f t="shared" si="9"/>
        <v>-1.3335339122331313E-2</v>
      </c>
      <c r="J30" s="168">
        <f t="shared" si="10"/>
        <v>-1.0348531278684736E-2</v>
      </c>
      <c r="K30" s="168">
        <f t="shared" si="11"/>
        <v>-1.3348531278684735E-2</v>
      </c>
      <c r="M30" s="40"/>
    </row>
    <row r="31" spans="1:13">
      <c r="A31" s="16">
        <v>2033</v>
      </c>
      <c r="B31" s="17">
        <v>61856301</v>
      </c>
      <c r="C31" s="17">
        <v>60839679</v>
      </c>
      <c r="D31" s="42">
        <f t="shared" si="6"/>
        <v>1.016709851477027</v>
      </c>
      <c r="E31" s="16"/>
      <c r="F31" s="18">
        <v>55.910007999999998</v>
      </c>
      <c r="G31" s="18">
        <f t="shared" si="7"/>
        <v>56.844255929759385</v>
      </c>
      <c r="H31" s="168">
        <f t="shared" si="8"/>
        <v>-1.4290881881909079E-2</v>
      </c>
      <c r="I31" s="168">
        <f t="shared" si="9"/>
        <v>-1.4290881881909079E-2</v>
      </c>
      <c r="J31" s="168">
        <f t="shared" si="10"/>
        <v>-1.1149506671927045E-2</v>
      </c>
      <c r="K31" s="168">
        <f t="shared" si="11"/>
        <v>-1.4149506671927044E-2</v>
      </c>
      <c r="M31" s="40"/>
    </row>
    <row r="32" spans="1:13">
      <c r="A32" s="16">
        <v>2034</v>
      </c>
      <c r="B32" s="17">
        <v>61028622</v>
      </c>
      <c r="C32" s="17">
        <v>59992160</v>
      </c>
      <c r="D32" s="42">
        <f t="shared" si="6"/>
        <v>1.0172766241455551</v>
      </c>
      <c r="E32" s="16"/>
      <c r="F32" s="18">
        <v>55.032090000000011</v>
      </c>
      <c r="G32" s="18">
        <f t="shared" si="7"/>
        <v>55.98285873487437</v>
      </c>
      <c r="H32" s="168">
        <f t="shared" si="8"/>
        <v>-1.5153636560031991E-2</v>
      </c>
      <c r="I32" s="168">
        <f t="shared" si="9"/>
        <v>-1.5153636560031991E-2</v>
      </c>
      <c r="J32" s="168">
        <f t="shared" si="10"/>
        <v>-1.2152809266028353E-2</v>
      </c>
      <c r="K32" s="168">
        <f t="shared" si="11"/>
        <v>-1.5152809266028352E-2</v>
      </c>
      <c r="M32" s="40"/>
    </row>
    <row r="33" spans="1:13">
      <c r="A33" s="16">
        <v>2035</v>
      </c>
      <c r="B33" s="17">
        <v>60163858</v>
      </c>
      <c r="C33" s="17">
        <v>59096270</v>
      </c>
      <c r="D33" s="42">
        <f t="shared" si="6"/>
        <v>1.0180652349124573</v>
      </c>
      <c r="E33" s="16"/>
      <c r="F33" s="18">
        <v>54.167500999999994</v>
      </c>
      <c r="G33" s="18">
        <f t="shared" si="7"/>
        <v>55.146049630185757</v>
      </c>
      <c r="H33" s="168">
        <f t="shared" si="8"/>
        <v>-1.4947595096056143E-2</v>
      </c>
      <c r="I33" s="168">
        <f t="shared" si="9"/>
        <v>-1.4947595096056143E-2</v>
      </c>
      <c r="J33" s="168">
        <f t="shared" si="10"/>
        <v>-1.3254535352661523E-2</v>
      </c>
      <c r="K33" s="168">
        <f t="shared" si="11"/>
        <v>-1.6254535352661522E-2</v>
      </c>
      <c r="M33" s="40"/>
    </row>
    <row r="34" spans="1:13">
      <c r="A34" s="16">
        <v>2036</v>
      </c>
      <c r="B34" s="17">
        <v>59284494</v>
      </c>
      <c r="C34" s="17">
        <v>58127723</v>
      </c>
      <c r="D34" s="42">
        <f t="shared" si="6"/>
        <v>1.0199005042740106</v>
      </c>
      <c r="E34" s="16"/>
      <c r="F34" s="18">
        <v>53.325471</v>
      </c>
      <c r="G34" s="18">
        <f t="shared" si="7"/>
        <v>54.386674763549131</v>
      </c>
      <c r="H34" s="168">
        <f t="shared" si="8"/>
        <v>-1.3770249577785942E-2</v>
      </c>
      <c r="I34" s="168">
        <f t="shared" si="9"/>
        <v>-1.3770249577785942E-2</v>
      </c>
      <c r="J34" s="168">
        <f t="shared" si="10"/>
        <v>-1.4260232258180183E-2</v>
      </c>
      <c r="K34" s="168">
        <f t="shared" si="11"/>
        <v>-1.7260232258180182E-2</v>
      </c>
      <c r="M34" s="40"/>
    </row>
    <row r="35" spans="1:13">
      <c r="A35" s="16">
        <v>2037</v>
      </c>
      <c r="B35" s="17">
        <v>58334098</v>
      </c>
      <c r="C35" s="17">
        <v>57091751</v>
      </c>
      <c r="D35" s="42">
        <f t="shared" si="6"/>
        <v>1.0217605341969631</v>
      </c>
      <c r="E35" s="16"/>
      <c r="F35" s="18">
        <v>52.479897999999991</v>
      </c>
      <c r="G35" s="18">
        <f t="shared" si="7"/>
        <v>53.621888615082128</v>
      </c>
      <c r="H35" s="168">
        <f t="shared" si="8"/>
        <v>-1.4062013384564809E-2</v>
      </c>
      <c r="I35" s="168">
        <f t="shared" si="9"/>
        <v>-1.4062013384564809E-2</v>
      </c>
      <c r="J35" s="168">
        <f t="shared" si="10"/>
        <v>-1.4797439857024197E-2</v>
      </c>
      <c r="K35" s="168">
        <f t="shared" si="11"/>
        <v>-1.7797439857024196E-2</v>
      </c>
      <c r="M35" s="40"/>
    </row>
    <row r="36" spans="1:13">
      <c r="A36" s="16">
        <v>2038</v>
      </c>
      <c r="B36" s="17">
        <v>57328769</v>
      </c>
      <c r="C36" s="17">
        <v>56001378</v>
      </c>
      <c r="D36" s="42">
        <f t="shared" si="6"/>
        <v>1.0237028274554243</v>
      </c>
      <c r="E36" s="16"/>
      <c r="F36" s="18">
        <v>51.632081999999997</v>
      </c>
      <c r="G36" s="18">
        <f t="shared" si="7"/>
        <v>52.855908330810315</v>
      </c>
      <c r="H36" s="168">
        <f t="shared" si="8"/>
        <v>-1.4284843448359341E-2</v>
      </c>
      <c r="I36" s="168">
        <f t="shared" si="9"/>
        <v>-1.4284843448359341E-2</v>
      </c>
      <c r="J36" s="168">
        <f t="shared" si="10"/>
        <v>-1.4624015469867913E-2</v>
      </c>
      <c r="K36" s="168">
        <f t="shared" si="11"/>
        <v>-1.7624015469867912E-2</v>
      </c>
      <c r="M36" s="40"/>
    </row>
    <row r="37" spans="1:13">
      <c r="A37" s="16">
        <v>2039</v>
      </c>
      <c r="B37" s="17">
        <v>56336451</v>
      </c>
      <c r="C37" s="17">
        <v>54927191</v>
      </c>
      <c r="D37" s="42">
        <f t="shared" si="6"/>
        <v>1.0256568736602605</v>
      </c>
      <c r="E37" s="16"/>
      <c r="F37" s="18">
        <v>50.806449000000001</v>
      </c>
      <c r="G37" s="18">
        <f t="shared" si="7"/>
        <v>52.10998364311947</v>
      </c>
      <c r="H37" s="168">
        <f t="shared" si="8"/>
        <v>-1.4112418294324081E-2</v>
      </c>
      <c r="I37" s="168">
        <f t="shared" si="9"/>
        <v>-1.4112418294324081E-2</v>
      </c>
      <c r="J37" s="168">
        <f t="shared" si="10"/>
        <v>-1.4260079828601002E-2</v>
      </c>
      <c r="K37" s="168">
        <f t="shared" si="11"/>
        <v>-1.7260079828601001E-2</v>
      </c>
      <c r="M37" s="40"/>
    </row>
    <row r="38" spans="1:13">
      <c r="A38" s="16">
        <v>2040</v>
      </c>
      <c r="B38" s="17">
        <v>55426050</v>
      </c>
      <c r="C38" s="17">
        <v>53932633</v>
      </c>
      <c r="D38" s="42">
        <f t="shared" si="6"/>
        <v>1.0276904151888895</v>
      </c>
      <c r="E38" s="16"/>
      <c r="F38" s="18">
        <v>50.015410999999993</v>
      </c>
      <c r="G38" s="18">
        <f>D38*F38</f>
        <v>51.400358496432943</v>
      </c>
      <c r="H38" s="168">
        <f t="shared" si="8"/>
        <v>-1.3617834761692982E-2</v>
      </c>
      <c r="I38" s="168">
        <f t="shared" si="9"/>
        <v>-1.3617834761692982E-2</v>
      </c>
      <c r="J38" s="168">
        <f t="shared" si="10"/>
        <v>-1.4039057985043901E-2</v>
      </c>
      <c r="K38" s="168">
        <f t="shared" si="11"/>
        <v>-1.70390579850439E-2</v>
      </c>
      <c r="M38" s="40"/>
    </row>
    <row r="40" spans="1:13">
      <c r="A40" s="34" t="s">
        <v>186</v>
      </c>
    </row>
  </sheetData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1"/>
  </sheetPr>
  <dimension ref="A1"/>
  <sheetViews>
    <sheetView zoomScaleNormal="100" workbookViewId="0"/>
  </sheetViews>
  <sheetFormatPr defaultRowHeight="13.5"/>
  <cols>
    <col min="1" max="16384" width="9" style="1"/>
  </cols>
  <sheetData/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27"/>
  <sheetViews>
    <sheetView zoomScaleNormal="100" workbookViewId="0"/>
  </sheetViews>
  <sheetFormatPr defaultRowHeight="13.5"/>
  <cols>
    <col min="1" max="1" width="7.625" style="1" customWidth="1"/>
    <col min="2" max="2" width="5.5" style="1" bestFit="1" customWidth="1"/>
    <col min="3" max="8" width="10.125" style="1" customWidth="1"/>
    <col min="9" max="9" width="10.125" style="22" customWidth="1"/>
    <col min="10" max="10" width="9" style="1"/>
    <col min="11" max="17" width="5.125" style="19" customWidth="1"/>
    <col min="18" max="18" width="9" style="19"/>
    <col min="19" max="25" width="6.625" style="19" customWidth="1"/>
    <col min="26" max="16384" width="9" style="1"/>
  </cols>
  <sheetData>
    <row r="1" spans="1:25">
      <c r="A1" s="1" t="s">
        <v>183</v>
      </c>
    </row>
    <row r="2" spans="1:25">
      <c r="I2" s="23" t="s">
        <v>109</v>
      </c>
    </row>
    <row r="3" spans="1:25">
      <c r="A3" s="2" t="s">
        <v>55</v>
      </c>
      <c r="B3" s="24" t="s">
        <v>110</v>
      </c>
      <c r="C3" s="2" t="s">
        <v>56</v>
      </c>
      <c r="D3" s="3" t="s">
        <v>57</v>
      </c>
      <c r="E3" s="30"/>
      <c r="F3" s="4"/>
      <c r="G3" s="4"/>
      <c r="H3" s="5" t="s">
        <v>13</v>
      </c>
      <c r="I3" s="25" t="s">
        <v>58</v>
      </c>
    </row>
    <row r="4" spans="1:25">
      <c r="A4" s="41"/>
      <c r="B4" s="137"/>
      <c r="C4" s="41" t="s">
        <v>59</v>
      </c>
      <c r="D4" s="41"/>
      <c r="E4" s="33" t="s">
        <v>141</v>
      </c>
      <c r="F4" s="33" t="s">
        <v>60</v>
      </c>
      <c r="G4" s="2" t="s">
        <v>61</v>
      </c>
      <c r="H4" s="118"/>
      <c r="I4" s="138"/>
    </row>
    <row r="5" spans="1:25">
      <c r="A5" s="121">
        <v>30</v>
      </c>
      <c r="B5" s="122">
        <v>2018</v>
      </c>
      <c r="C5" s="139">
        <f>共済!P33+共済!R33-共済!Q33+1064.30225922194</f>
        <v>14535.526905396076</v>
      </c>
      <c r="D5" s="139">
        <f>SUM(E5:G5)</f>
        <v>7755.8800880902936</v>
      </c>
      <c r="E5" s="139">
        <v>1081.8483912594199</v>
      </c>
      <c r="F5" s="139">
        <v>0</v>
      </c>
      <c r="G5" s="139">
        <f>共済!P33</f>
        <v>6674.0316968308734</v>
      </c>
      <c r="H5" s="139">
        <v>0.57615840328557355</v>
      </c>
      <c r="I5" s="140">
        <v>0</v>
      </c>
      <c r="K5" s="208"/>
      <c r="O5" s="208"/>
      <c r="P5" s="208"/>
      <c r="Q5" s="208"/>
      <c r="S5" s="208"/>
      <c r="T5" s="208"/>
      <c r="U5" s="208"/>
      <c r="V5" s="208"/>
      <c r="W5" s="208"/>
      <c r="X5" s="208"/>
      <c r="Y5" s="208"/>
    </row>
    <row r="6" spans="1:25">
      <c r="A6" s="7">
        <f t="shared" ref="A6:B20" si="0">A5+1</f>
        <v>31</v>
      </c>
      <c r="B6" s="73">
        <f t="shared" si="0"/>
        <v>2019</v>
      </c>
      <c r="C6" s="136">
        <f>共済!P34+共済!R34-共済!Q34+1064.30225922194/共済!$R$33*共済!R34</f>
        <v>14122.333092246336</v>
      </c>
      <c r="D6" s="136">
        <f t="shared" ref="D6:D27" si="1">SUM(E6:G6)</f>
        <v>7210.3788880343936</v>
      </c>
      <c r="E6" s="136">
        <f>E$5/共済!$O$33*共済!O34</f>
        <v>1038.7229326061026</v>
      </c>
      <c r="F6" s="136">
        <v>0</v>
      </c>
      <c r="G6" s="136">
        <f>共済!P34</f>
        <v>6171.6559554282912</v>
      </c>
      <c r="H6" s="136">
        <f>H$5/共済!$P$33*共済!P34</f>
        <v>0.53278911495070391</v>
      </c>
      <c r="I6" s="141">
        <v>0</v>
      </c>
      <c r="K6" s="208"/>
      <c r="O6" s="208"/>
      <c r="P6" s="208"/>
      <c r="Q6" s="208"/>
      <c r="S6" s="208"/>
      <c r="T6" s="208"/>
      <c r="U6" s="208"/>
      <c r="V6" s="208"/>
      <c r="W6" s="208"/>
      <c r="X6" s="208"/>
      <c r="Y6" s="208"/>
    </row>
    <row r="7" spans="1:25">
      <c r="A7" s="7">
        <f t="shared" si="0"/>
        <v>32</v>
      </c>
      <c r="B7" s="73">
        <f t="shared" si="0"/>
        <v>2020</v>
      </c>
      <c r="C7" s="136">
        <f>共済!P35+共済!R35-共済!Q35+1064.30225922194/共済!$R$33*共済!R35</f>
        <v>13740.342662823754</v>
      </c>
      <c r="D7" s="136">
        <f t="shared" si="1"/>
        <v>6667.377690202251</v>
      </c>
      <c r="E7" s="136">
        <f>E$5/共済!$O$33*共済!O35</f>
        <v>997.25208708168475</v>
      </c>
      <c r="F7" s="136">
        <v>0</v>
      </c>
      <c r="G7" s="136">
        <f>共済!P35</f>
        <v>5670.1256031205667</v>
      </c>
      <c r="H7" s="136">
        <f>H$5/共済!$P$33*共済!P35</f>
        <v>0.48949280769431469</v>
      </c>
      <c r="I7" s="141">
        <v>0</v>
      </c>
      <c r="K7" s="208"/>
      <c r="O7" s="208"/>
      <c r="P7" s="208"/>
      <c r="Q7" s="208"/>
      <c r="S7" s="208"/>
      <c r="T7" s="208"/>
      <c r="U7" s="208"/>
      <c r="V7" s="208"/>
      <c r="W7" s="208"/>
      <c r="X7" s="208"/>
      <c r="Y7" s="208"/>
    </row>
    <row r="8" spans="1:25">
      <c r="A8" s="7">
        <f t="shared" si="0"/>
        <v>33</v>
      </c>
      <c r="B8" s="73">
        <f t="shared" si="0"/>
        <v>2021</v>
      </c>
      <c r="C8" s="136">
        <f>共済!P36+共済!R36-共済!Q36+1064.30225922194/共済!$R$33*共済!R36</f>
        <v>13547.839023865628</v>
      </c>
      <c r="D8" s="136">
        <f t="shared" si="1"/>
        <v>6153.4255430998164</v>
      </c>
      <c r="E8" s="136">
        <f>E$5/共済!$O$33*共済!O36</f>
        <v>957.82955781201463</v>
      </c>
      <c r="F8" s="136">
        <v>0</v>
      </c>
      <c r="G8" s="136">
        <f>共済!P36</f>
        <v>5195.5959852878023</v>
      </c>
      <c r="H8" s="136">
        <f>H$5/共済!$P$33*共済!P36</f>
        <v>0.44852743034196207</v>
      </c>
      <c r="I8" s="141">
        <v>0</v>
      </c>
      <c r="K8" s="208"/>
      <c r="O8" s="208"/>
      <c r="P8" s="208"/>
      <c r="Q8" s="208"/>
      <c r="S8" s="208"/>
      <c r="T8" s="208"/>
      <c r="U8" s="208"/>
      <c r="V8" s="208"/>
      <c r="W8" s="208"/>
      <c r="X8" s="208"/>
      <c r="Y8" s="208"/>
    </row>
    <row r="9" spans="1:25">
      <c r="A9" s="7">
        <f t="shared" si="0"/>
        <v>34</v>
      </c>
      <c r="B9" s="73">
        <f t="shared" si="0"/>
        <v>2022</v>
      </c>
      <c r="C9" s="136">
        <f>共済!P37+共済!R37-共済!Q37+1064.30225922194/共済!$R$33*共済!R37</f>
        <v>13204.824402587561</v>
      </c>
      <c r="D9" s="136">
        <f t="shared" si="1"/>
        <v>5655.9868345960876</v>
      </c>
      <c r="E9" s="136">
        <f>E$5/共済!$O$33*共済!O37</f>
        <v>920.02282543932108</v>
      </c>
      <c r="F9" s="136">
        <v>0</v>
      </c>
      <c r="G9" s="136">
        <f>共済!P37</f>
        <v>4735.9640091567662</v>
      </c>
      <c r="H9" s="136">
        <f>H$5/共済!$P$33*共済!P37</f>
        <v>0.40884814239485823</v>
      </c>
      <c r="I9" s="141">
        <v>0</v>
      </c>
      <c r="K9" s="208"/>
      <c r="O9" s="208"/>
      <c r="P9" s="208"/>
      <c r="Q9" s="208"/>
      <c r="S9" s="208"/>
      <c r="T9" s="208"/>
      <c r="U9" s="208"/>
      <c r="V9" s="208"/>
      <c r="W9" s="208"/>
      <c r="X9" s="208"/>
      <c r="Y9" s="208"/>
    </row>
    <row r="10" spans="1:25">
      <c r="A10" s="7">
        <f t="shared" si="0"/>
        <v>35</v>
      </c>
      <c r="B10" s="73">
        <f t="shared" si="0"/>
        <v>2023</v>
      </c>
      <c r="C10" s="136">
        <f>共済!P38+共済!R38-共済!Q38+1064.30225922194/共済!$R$33*共済!R38</f>
        <v>12798.786359132704</v>
      </c>
      <c r="D10" s="136">
        <f t="shared" si="1"/>
        <v>5121.0059465848899</v>
      </c>
      <c r="E10" s="136">
        <f>E$5/共済!$O$33*共済!O38</f>
        <v>875.9886405786051</v>
      </c>
      <c r="F10" s="136">
        <v>0</v>
      </c>
      <c r="G10" s="136">
        <f>共済!P38</f>
        <v>4245.0173060062843</v>
      </c>
      <c r="H10" s="136">
        <f>H$5/共済!$P$33*共済!P38</f>
        <v>0.36646550451799376</v>
      </c>
      <c r="I10" s="141">
        <v>0</v>
      </c>
      <c r="K10" s="208"/>
      <c r="O10" s="208"/>
      <c r="P10" s="208"/>
      <c r="Q10" s="208"/>
      <c r="S10" s="208"/>
      <c r="T10" s="208"/>
      <c r="U10" s="208"/>
      <c r="V10" s="208"/>
      <c r="W10" s="208"/>
      <c r="X10" s="208"/>
      <c r="Y10" s="208"/>
    </row>
    <row r="11" spans="1:25">
      <c r="A11" s="7">
        <f t="shared" si="0"/>
        <v>36</v>
      </c>
      <c r="B11" s="73">
        <f t="shared" si="0"/>
        <v>2024</v>
      </c>
      <c r="C11" s="136">
        <f>共済!P39+共済!R39-共済!Q39+1064.30225922194/共済!$R$33*共済!R39</f>
        <v>12537.585400741824</v>
      </c>
      <c r="D11" s="136">
        <f t="shared" si="1"/>
        <v>4618.6721592414342</v>
      </c>
      <c r="E11" s="136">
        <f>E$5/共済!$O$33*共済!O39</f>
        <v>835.35422651602948</v>
      </c>
      <c r="F11" s="136">
        <v>0</v>
      </c>
      <c r="G11" s="136">
        <f>共済!P39</f>
        <v>3783.3179327254047</v>
      </c>
      <c r="H11" s="136">
        <f>H$5/共済!$P$33*共済!P39</f>
        <v>0.32660774150590377</v>
      </c>
      <c r="I11" s="141">
        <v>0</v>
      </c>
      <c r="K11" s="208"/>
      <c r="O11" s="208"/>
      <c r="P11" s="208"/>
      <c r="Q11" s="208"/>
      <c r="S11" s="208"/>
      <c r="T11" s="208"/>
      <c r="U11" s="208"/>
      <c r="V11" s="208"/>
      <c r="W11" s="208"/>
      <c r="X11" s="208"/>
      <c r="Y11" s="208"/>
    </row>
    <row r="12" spans="1:25">
      <c r="A12" s="7">
        <f t="shared" si="0"/>
        <v>37</v>
      </c>
      <c r="B12" s="73">
        <f t="shared" si="0"/>
        <v>2025</v>
      </c>
      <c r="C12" s="136">
        <f>共済!P40+共済!R40-共済!Q40+1064.30225922194/共済!$R$33*共済!R40</f>
        <v>12145.968547955299</v>
      </c>
      <c r="D12" s="136">
        <f t="shared" si="1"/>
        <v>4156.2468227144427</v>
      </c>
      <c r="E12" s="136">
        <f>E$5/共済!$O$33*共済!O40</f>
        <v>798.78306452554045</v>
      </c>
      <c r="F12" s="136">
        <v>0</v>
      </c>
      <c r="G12" s="136">
        <f>共済!P40</f>
        <v>3357.4637581889019</v>
      </c>
      <c r="H12" s="136">
        <f>H$5/共済!$P$33*共済!P40</f>
        <v>0.28984443674815819</v>
      </c>
      <c r="I12" s="141">
        <v>0</v>
      </c>
      <c r="K12" s="208"/>
      <c r="O12" s="208"/>
      <c r="P12" s="208"/>
      <c r="Q12" s="208"/>
      <c r="S12" s="208"/>
      <c r="T12" s="208"/>
      <c r="U12" s="208"/>
      <c r="V12" s="208"/>
      <c r="W12" s="208"/>
      <c r="X12" s="208"/>
      <c r="Y12" s="208"/>
    </row>
    <row r="13" spans="1:25">
      <c r="A13" s="7">
        <f t="shared" si="0"/>
        <v>38</v>
      </c>
      <c r="B13" s="73">
        <f t="shared" si="0"/>
        <v>2026</v>
      </c>
      <c r="C13" s="136">
        <f>共済!P41+共済!R41-共済!Q41+1064.30225922194/共済!$R$33*共済!R41</f>
        <v>11733.167227172813</v>
      </c>
      <c r="D13" s="136">
        <f t="shared" si="1"/>
        <v>3693.9982474453027</v>
      </c>
      <c r="E13" s="136">
        <f>E$5/共済!$O$33*共済!O41</f>
        <v>758.4609774252433</v>
      </c>
      <c r="F13" s="136">
        <v>0</v>
      </c>
      <c r="G13" s="136">
        <f>共済!P41</f>
        <v>2935.5372700200596</v>
      </c>
      <c r="H13" s="136">
        <f>H$5/共済!$P$33*共済!P41</f>
        <v>0.25342020282630212</v>
      </c>
      <c r="I13" s="141">
        <v>0</v>
      </c>
      <c r="K13" s="208"/>
      <c r="O13" s="208"/>
      <c r="P13" s="208"/>
      <c r="Q13" s="208"/>
      <c r="S13" s="208"/>
      <c r="T13" s="208"/>
      <c r="U13" s="208"/>
      <c r="V13" s="208"/>
      <c r="W13" s="208"/>
      <c r="X13" s="208"/>
      <c r="Y13" s="208"/>
    </row>
    <row r="14" spans="1:25">
      <c r="A14" s="7">
        <f t="shared" si="0"/>
        <v>39</v>
      </c>
      <c r="B14" s="73">
        <f t="shared" si="0"/>
        <v>2027</v>
      </c>
      <c r="C14" s="136">
        <f>共済!P42+共済!R42-共済!Q42+1064.30225922194/共済!$R$33*共済!R42</f>
        <v>11541.803626449859</v>
      </c>
      <c r="D14" s="136">
        <f t="shared" si="1"/>
        <v>3288.7304393089444</v>
      </c>
      <c r="E14" s="136">
        <f>E$5/共済!$O$33*共済!O42</f>
        <v>723.94038511923827</v>
      </c>
      <c r="F14" s="136">
        <v>0</v>
      </c>
      <c r="G14" s="136">
        <f>共済!P42</f>
        <v>2564.7900541897061</v>
      </c>
      <c r="H14" s="136">
        <f>H$5/共済!$P$33*共済!P42</f>
        <v>0.22141419302613596</v>
      </c>
      <c r="I14" s="141">
        <v>0</v>
      </c>
      <c r="K14" s="208"/>
      <c r="O14" s="208"/>
      <c r="P14" s="208"/>
      <c r="Q14" s="208"/>
      <c r="S14" s="208"/>
      <c r="T14" s="208"/>
      <c r="U14" s="208"/>
      <c r="V14" s="208"/>
      <c r="W14" s="208"/>
      <c r="X14" s="208"/>
      <c r="Y14" s="208"/>
    </row>
    <row r="15" spans="1:25">
      <c r="A15" s="7">
        <f t="shared" si="0"/>
        <v>40</v>
      </c>
      <c r="B15" s="73">
        <f t="shared" si="0"/>
        <v>2028</v>
      </c>
      <c r="C15" s="136">
        <f>共済!P43+共済!R43-共済!Q43+1064.30225922194/共済!$R$33*共済!R43</f>
        <v>11368.488184050488</v>
      </c>
      <c r="D15" s="136">
        <f t="shared" si="1"/>
        <v>2918.5232244824901</v>
      </c>
      <c r="E15" s="136">
        <f>E$5/共済!$O$33*共済!O43</f>
        <v>690.90023556904043</v>
      </c>
      <c r="F15" s="136">
        <v>0</v>
      </c>
      <c r="G15" s="136">
        <f>共済!P43</f>
        <v>2227.6229889134497</v>
      </c>
      <c r="H15" s="136">
        <f>H$5/共済!$P$33*共済!P43</f>
        <v>0.19230710351945973</v>
      </c>
      <c r="I15" s="141">
        <v>0</v>
      </c>
      <c r="K15" s="208"/>
      <c r="O15" s="208"/>
      <c r="P15" s="208"/>
      <c r="Q15" s="208"/>
      <c r="S15" s="208"/>
      <c r="T15" s="208"/>
      <c r="U15" s="208"/>
      <c r="V15" s="208"/>
      <c r="W15" s="208"/>
      <c r="X15" s="208"/>
      <c r="Y15" s="208"/>
    </row>
    <row r="16" spans="1:25">
      <c r="A16" s="7">
        <f t="shared" si="0"/>
        <v>41</v>
      </c>
      <c r="B16" s="73">
        <f t="shared" si="0"/>
        <v>2029</v>
      </c>
      <c r="C16" s="136">
        <f>共済!P44+共済!R44-共済!Q44+1064.30225922194/共済!$R$33*共済!R44</f>
        <v>11202.946597177526</v>
      </c>
      <c r="D16" s="136">
        <f t="shared" si="1"/>
        <v>2579.6912521729291</v>
      </c>
      <c r="E16" s="136">
        <f>E$5/共済!$O$33*共済!O44</f>
        <v>660.49099640754093</v>
      </c>
      <c r="F16" s="136">
        <v>0</v>
      </c>
      <c r="G16" s="136">
        <f>共済!P44</f>
        <v>1919.200255765388</v>
      </c>
      <c r="H16" s="136">
        <f>H$5/共済!$P$33*共済!P44</f>
        <v>0.16568146589296481</v>
      </c>
      <c r="I16" s="141">
        <v>0</v>
      </c>
      <c r="K16" s="208"/>
      <c r="O16" s="208"/>
      <c r="P16" s="208"/>
      <c r="Q16" s="208"/>
      <c r="S16" s="208"/>
      <c r="T16" s="208"/>
      <c r="U16" s="208"/>
      <c r="V16" s="208"/>
      <c r="W16" s="208"/>
      <c r="X16" s="208"/>
      <c r="Y16" s="208"/>
    </row>
    <row r="17" spans="1:25">
      <c r="A17" s="7">
        <f t="shared" si="0"/>
        <v>42</v>
      </c>
      <c r="B17" s="73">
        <f t="shared" si="0"/>
        <v>2030</v>
      </c>
      <c r="C17" s="136">
        <f>共済!P45+共済!R45-共済!Q45+1064.30225922194/共済!$R$33*共済!R45</f>
        <v>11043.166079274435</v>
      </c>
      <c r="D17" s="136">
        <f t="shared" si="1"/>
        <v>2270.502746450597</v>
      </c>
      <c r="E17" s="136">
        <f>E$5/共済!$O$33*共済!O45</f>
        <v>631.29538943851855</v>
      </c>
      <c r="F17" s="136">
        <v>0</v>
      </c>
      <c r="G17" s="136">
        <f>共済!P45</f>
        <v>1639.2073570120783</v>
      </c>
      <c r="H17" s="136">
        <f>H$5/共済!$P$33*共済!P45</f>
        <v>0.14151013006403726</v>
      </c>
      <c r="I17" s="141">
        <v>0</v>
      </c>
      <c r="K17" s="208"/>
      <c r="O17" s="208"/>
      <c r="P17" s="208"/>
      <c r="Q17" s="208"/>
      <c r="S17" s="208"/>
      <c r="T17" s="208"/>
      <c r="U17" s="208"/>
      <c r="V17" s="208"/>
      <c r="W17" s="208"/>
      <c r="X17" s="208"/>
      <c r="Y17" s="208"/>
    </row>
    <row r="18" spans="1:25">
      <c r="A18" s="7">
        <f t="shared" si="0"/>
        <v>43</v>
      </c>
      <c r="B18" s="73">
        <f t="shared" si="0"/>
        <v>2031</v>
      </c>
      <c r="C18" s="136">
        <f>共済!P46+共済!R46-共済!Q46+1064.30225922194/共済!$R$33*共済!R46</f>
        <v>10878.604792190181</v>
      </c>
      <c r="D18" s="136">
        <f t="shared" si="1"/>
        <v>1992.5735547103886</v>
      </c>
      <c r="E18" s="136">
        <f>E$5/共済!$O$33*共済!O46</f>
        <v>603.94815202481504</v>
      </c>
      <c r="F18" s="136">
        <v>0</v>
      </c>
      <c r="G18" s="136">
        <f>共済!P46</f>
        <v>1388.6254026855736</v>
      </c>
      <c r="H18" s="136">
        <f>H$5/共済!$P$33*共済!P46</f>
        <v>0.11987779368099415</v>
      </c>
      <c r="I18" s="141">
        <v>0</v>
      </c>
      <c r="O18" s="208"/>
      <c r="P18" s="208"/>
      <c r="Q18" s="208"/>
      <c r="S18" s="208"/>
      <c r="T18" s="208"/>
      <c r="U18" s="208"/>
      <c r="V18" s="208"/>
      <c r="W18" s="208"/>
      <c r="X18" s="208"/>
      <c r="Y18" s="208"/>
    </row>
    <row r="19" spans="1:25">
      <c r="A19" s="7">
        <f t="shared" si="0"/>
        <v>44</v>
      </c>
      <c r="B19" s="73">
        <f t="shared" si="0"/>
        <v>2032</v>
      </c>
      <c r="C19" s="136">
        <f>共済!P47+共済!R47-共済!Q47+1064.30225922194/共済!$R$33*共済!R47</f>
        <v>10722.047562801032</v>
      </c>
      <c r="D19" s="136">
        <f t="shared" si="1"/>
        <v>1741.3815152512495</v>
      </c>
      <c r="E19" s="136">
        <f>E$5/共済!$O$33*共済!O47</f>
        <v>575.86507616370932</v>
      </c>
      <c r="F19" s="136">
        <v>0</v>
      </c>
      <c r="G19" s="136">
        <f>共済!P47</f>
        <v>1165.5164390875402</v>
      </c>
      <c r="H19" s="136">
        <f>H$5/共済!$P$33*共済!P47</f>
        <v>0.10061715632346085</v>
      </c>
      <c r="I19" s="141">
        <v>0</v>
      </c>
      <c r="O19" s="208"/>
      <c r="P19" s="208"/>
      <c r="Q19" s="208"/>
      <c r="S19" s="208"/>
      <c r="T19" s="208"/>
      <c r="U19" s="208"/>
      <c r="V19" s="208"/>
      <c r="W19" s="208"/>
      <c r="X19" s="208"/>
      <c r="Y19" s="208"/>
    </row>
    <row r="20" spans="1:25">
      <c r="A20" s="7">
        <f t="shared" si="0"/>
        <v>45</v>
      </c>
      <c r="B20" s="73">
        <f t="shared" si="0"/>
        <v>2033</v>
      </c>
      <c r="C20" s="136">
        <f>共済!P48+共済!R48-共済!Q48+1064.30225922194/共済!$R$33*共済!R48</f>
        <v>10589.412305993215</v>
      </c>
      <c r="D20" s="136">
        <f t="shared" si="1"/>
        <v>1517.5084982631254</v>
      </c>
      <c r="E20" s="136">
        <f>E$5/共済!$O$33*共済!O48</f>
        <v>547.75750123799958</v>
      </c>
      <c r="F20" s="136">
        <v>0</v>
      </c>
      <c r="G20" s="136">
        <f>共済!P48</f>
        <v>969.7509970251258</v>
      </c>
      <c r="H20" s="136">
        <f>H$5/共済!$P$33*共済!P48</f>
        <v>8.3717041124617281E-2</v>
      </c>
      <c r="I20" s="141">
        <v>0</v>
      </c>
      <c r="O20" s="208"/>
      <c r="P20" s="208"/>
      <c r="Q20" s="208"/>
      <c r="S20" s="208"/>
      <c r="T20" s="208"/>
      <c r="U20" s="208"/>
      <c r="V20" s="208"/>
      <c r="W20" s="208"/>
      <c r="X20" s="208"/>
      <c r="Y20" s="208"/>
    </row>
    <row r="21" spans="1:25">
      <c r="A21" s="7">
        <f t="shared" ref="A21:B27" si="2">A20+1</f>
        <v>46</v>
      </c>
      <c r="B21" s="73">
        <f t="shared" si="2"/>
        <v>2034</v>
      </c>
      <c r="C21" s="136">
        <f>共済!P49+共済!R49-共済!Q49+1064.30225922194/共済!$R$33*共済!R49</f>
        <v>10485.916516267936</v>
      </c>
      <c r="D21" s="136">
        <f t="shared" si="1"/>
        <v>1321.4629766199921</v>
      </c>
      <c r="E21" s="136">
        <f>E$5/共済!$O$33*共済!O49</f>
        <v>521.66216188218505</v>
      </c>
      <c r="F21" s="136">
        <v>0</v>
      </c>
      <c r="G21" s="136">
        <f>共済!P49</f>
        <v>799.80081473780706</v>
      </c>
      <c r="H21" s="136">
        <f>H$5/共済!$P$33*共済!P49</f>
        <v>6.9045515708990382E-2</v>
      </c>
      <c r="I21" s="141">
        <v>0</v>
      </c>
      <c r="O21" s="208"/>
      <c r="P21" s="208"/>
      <c r="Q21" s="208"/>
      <c r="S21" s="208"/>
      <c r="T21" s="208"/>
      <c r="U21" s="208"/>
      <c r="V21" s="208"/>
      <c r="W21" s="208"/>
      <c r="X21" s="208"/>
      <c r="Y21" s="208"/>
    </row>
    <row r="22" spans="1:25">
      <c r="A22" s="7">
        <f t="shared" si="2"/>
        <v>47</v>
      </c>
      <c r="B22" s="73">
        <f t="shared" si="2"/>
        <v>2035</v>
      </c>
      <c r="C22" s="136">
        <f>共済!P50+共済!R50-共済!Q50+1064.30225922194/共済!$R$33*共済!R50</f>
        <v>10389.307328372608</v>
      </c>
      <c r="D22" s="136">
        <f t="shared" si="1"/>
        <v>1149.8083792357852</v>
      </c>
      <c r="E22" s="136">
        <f>E$5/共済!$O$33*共済!O50</f>
        <v>496.37080896015391</v>
      </c>
      <c r="F22" s="136">
        <v>0</v>
      </c>
      <c r="G22" s="136">
        <f>共済!P50</f>
        <v>653.43757027563129</v>
      </c>
      <c r="H22" s="136">
        <f>H$5/共済!$P$33*共済!P50</f>
        <v>5.6410212632880305E-2</v>
      </c>
      <c r="I22" s="141">
        <v>0</v>
      </c>
      <c r="O22" s="208"/>
      <c r="P22" s="208"/>
      <c r="Q22" s="208"/>
      <c r="S22" s="208"/>
      <c r="T22" s="208"/>
      <c r="U22" s="208"/>
      <c r="V22" s="208"/>
      <c r="W22" s="208"/>
      <c r="X22" s="208"/>
      <c r="Y22" s="208"/>
    </row>
    <row r="23" spans="1:25">
      <c r="A23" s="7">
        <f t="shared" si="2"/>
        <v>48</v>
      </c>
      <c r="B23" s="73">
        <f t="shared" si="2"/>
        <v>2036</v>
      </c>
      <c r="C23" s="136">
        <f>共済!P51+共済!R51-共済!Q51+1064.30225922194/共済!$R$33*共済!R51</f>
        <v>10292.892114165505</v>
      </c>
      <c r="D23" s="136">
        <f t="shared" si="1"/>
        <v>1000.3541349850525</v>
      </c>
      <c r="E23" s="136">
        <f>E$5/共済!$O$33*共済!O51</f>
        <v>471.19695225958486</v>
      </c>
      <c r="F23" s="136">
        <v>0</v>
      </c>
      <c r="G23" s="136">
        <f>共済!P51</f>
        <v>529.15718272546758</v>
      </c>
      <c r="H23" s="136">
        <f>H$5/共済!$P$33*共済!P51</f>
        <v>4.5681287014409551E-2</v>
      </c>
      <c r="I23" s="141">
        <v>0</v>
      </c>
      <c r="O23" s="208"/>
      <c r="P23" s="208"/>
      <c r="Q23" s="208"/>
      <c r="S23" s="208"/>
      <c r="T23" s="208"/>
      <c r="U23" s="208"/>
      <c r="V23" s="208"/>
      <c r="W23" s="208"/>
      <c r="X23" s="208"/>
      <c r="Y23" s="208"/>
    </row>
    <row r="24" spans="1:25">
      <c r="A24" s="7">
        <f t="shared" si="2"/>
        <v>49</v>
      </c>
      <c r="B24" s="73">
        <f t="shared" si="2"/>
        <v>2037</v>
      </c>
      <c r="C24" s="136">
        <f>共済!P52+共済!R52-共済!Q52+1064.30225922194/共済!$R$33*共済!R52</f>
        <v>10195.791436449572</v>
      </c>
      <c r="D24" s="136">
        <f t="shared" si="1"/>
        <v>870.61053145826668</v>
      </c>
      <c r="E24" s="136">
        <f>E$5/共済!$O$33*共済!O52</f>
        <v>445.47944880622026</v>
      </c>
      <c r="F24" s="136">
        <v>0</v>
      </c>
      <c r="G24" s="136">
        <f>共済!P52</f>
        <v>425.13108265204647</v>
      </c>
      <c r="H24" s="136">
        <f>H$5/共済!$P$33*共済!P52</f>
        <v>3.6700881400395513E-2</v>
      </c>
      <c r="I24" s="141">
        <v>0</v>
      </c>
      <c r="O24" s="208"/>
      <c r="P24" s="208"/>
      <c r="Q24" s="208"/>
      <c r="S24" s="208"/>
      <c r="T24" s="208"/>
      <c r="U24" s="208"/>
      <c r="V24" s="208"/>
      <c r="W24" s="208"/>
      <c r="X24" s="208"/>
      <c r="Y24" s="208"/>
    </row>
    <row r="25" spans="1:25">
      <c r="A25" s="7">
        <f t="shared" si="2"/>
        <v>50</v>
      </c>
      <c r="B25" s="73">
        <f t="shared" si="2"/>
        <v>2038</v>
      </c>
      <c r="C25" s="136">
        <f>共済!P53+共済!R53-共済!Q53+1064.30225922194/共済!$R$33*共済!R53</f>
        <v>10089.534900111435</v>
      </c>
      <c r="D25" s="136">
        <f t="shared" si="1"/>
        <v>758.19457332358661</v>
      </c>
      <c r="E25" s="136">
        <f>E$5/共済!$O$33*共済!O53</f>
        <v>420.16852453407324</v>
      </c>
      <c r="F25" s="136">
        <v>0</v>
      </c>
      <c r="G25" s="136">
        <f>共済!P53</f>
        <v>338.02604878951331</v>
      </c>
      <c r="H25" s="136">
        <f>H$5/共済!$P$33*共済!P53</f>
        <v>2.9181244169394108E-2</v>
      </c>
      <c r="I25" s="141">
        <v>0</v>
      </c>
      <c r="O25" s="208"/>
      <c r="P25" s="208"/>
      <c r="Q25" s="208"/>
      <c r="S25" s="208"/>
      <c r="T25" s="208"/>
      <c r="U25" s="208"/>
      <c r="V25" s="208"/>
      <c r="W25" s="208"/>
      <c r="X25" s="208"/>
      <c r="Y25" s="208"/>
    </row>
    <row r="26" spans="1:25">
      <c r="A26" s="7">
        <f t="shared" si="2"/>
        <v>51</v>
      </c>
      <c r="B26" s="73">
        <f t="shared" si="2"/>
        <v>2039</v>
      </c>
      <c r="C26" s="136">
        <f>共済!P54+共済!R54-共済!Q54+1064.30225922194/共済!$R$33*共済!R54</f>
        <v>9958.4764865525995</v>
      </c>
      <c r="D26" s="136">
        <f t="shared" si="1"/>
        <v>662.00283097265572</v>
      </c>
      <c r="E26" s="136">
        <f>E$5/共済!$O$33*共済!O54</f>
        <v>395.31176257722609</v>
      </c>
      <c r="F26" s="136">
        <v>0</v>
      </c>
      <c r="G26" s="136">
        <f>共済!P54</f>
        <v>266.69106839542962</v>
      </c>
      <c r="H26" s="136">
        <f>H$5/共済!$P$33*共済!P54</f>
        <v>2.3023010245845441E-2</v>
      </c>
      <c r="I26" s="141">
        <v>0</v>
      </c>
      <c r="O26" s="208"/>
      <c r="P26" s="208"/>
      <c r="Q26" s="208"/>
      <c r="S26" s="208"/>
      <c r="T26" s="208"/>
      <c r="U26" s="208"/>
      <c r="V26" s="208"/>
      <c r="W26" s="208"/>
      <c r="X26" s="208"/>
      <c r="Y26" s="208"/>
    </row>
    <row r="27" spans="1:25">
      <c r="A27" s="76">
        <f t="shared" si="2"/>
        <v>52</v>
      </c>
      <c r="B27" s="77">
        <f t="shared" si="2"/>
        <v>2040</v>
      </c>
      <c r="C27" s="142">
        <f>共済!P55+共済!R55-共済!Q55+1064.30225922194/共済!$R$33*共済!R55</f>
        <v>9806.4689478741748</v>
      </c>
      <c r="D27" s="142">
        <f t="shared" si="1"/>
        <v>580.61142808649106</v>
      </c>
      <c r="E27" s="142">
        <f>E$5/共済!$O$33*共済!O55</f>
        <v>371.71045831226229</v>
      </c>
      <c r="F27" s="142">
        <v>0</v>
      </c>
      <c r="G27" s="142">
        <f>共済!P55</f>
        <v>208.90096977422877</v>
      </c>
      <c r="H27" s="142">
        <f>H$5/共済!$P$33*共済!P55</f>
        <v>1.8034084142435194E-2</v>
      </c>
      <c r="I27" s="143">
        <v>0</v>
      </c>
      <c r="O27" s="208"/>
      <c r="P27" s="208"/>
      <c r="Q27" s="208"/>
      <c r="S27" s="208"/>
      <c r="T27" s="208"/>
      <c r="U27" s="208"/>
      <c r="V27" s="208"/>
      <c r="W27" s="208"/>
      <c r="X27" s="208"/>
      <c r="Y27" s="208"/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D58"/>
  <sheetViews>
    <sheetView zoomScaleNormal="100" zoomScaleSheetLayoutView="85" workbookViewId="0"/>
  </sheetViews>
  <sheetFormatPr defaultRowHeight="13.5"/>
  <cols>
    <col min="1" max="1" width="11.375" style="128" bestFit="1" customWidth="1"/>
    <col min="2" max="2" width="8" style="128" customWidth="1"/>
    <col min="3" max="5" width="9" style="128"/>
    <col min="6" max="6" width="3.25" style="128" customWidth="1"/>
    <col min="7" max="7" width="7.625" style="128" customWidth="1"/>
    <col min="8" max="10" width="9" style="128"/>
    <col min="11" max="11" width="3.25" style="128" customWidth="1"/>
    <col min="12" max="12" width="2.25" style="128" customWidth="1"/>
    <col min="13" max="13" width="7" style="128" customWidth="1"/>
    <col min="14" max="14" width="4.75" style="128" customWidth="1"/>
    <col min="15" max="15" width="7.625" style="128" customWidth="1"/>
    <col min="16" max="16" width="8.25" style="128" customWidth="1"/>
    <col min="17" max="18" width="9" style="128"/>
    <col min="19" max="20" width="5.75" style="128" customWidth="1"/>
    <col min="21" max="24" width="7.375" style="128" customWidth="1"/>
    <col min="25" max="25" width="4.75" style="128" customWidth="1"/>
    <col min="26" max="30" width="7.125" style="128" customWidth="1"/>
    <col min="31" max="16384" width="9" style="128"/>
  </cols>
  <sheetData>
    <row r="1" spans="1:30">
      <c r="A1" s="128" t="s">
        <v>113</v>
      </c>
      <c r="Z1" s="128" t="s">
        <v>29</v>
      </c>
    </row>
    <row r="2" spans="1:30">
      <c r="B2" s="134" t="s">
        <v>164</v>
      </c>
      <c r="C2" s="27"/>
      <c r="D2" s="27"/>
      <c r="E2" s="27"/>
      <c r="F2" s="27"/>
      <c r="G2" s="134" t="s">
        <v>165</v>
      </c>
      <c r="H2" s="27"/>
      <c r="I2" s="27"/>
      <c r="J2" s="27"/>
      <c r="K2" s="27"/>
      <c r="L2" s="134" t="s">
        <v>136</v>
      </c>
      <c r="M2" s="27"/>
      <c r="O2" s="128" t="s">
        <v>142</v>
      </c>
      <c r="U2" s="128" t="s">
        <v>25</v>
      </c>
      <c r="V2" s="128" t="s">
        <v>26</v>
      </c>
      <c r="AA2" s="128" t="s">
        <v>30</v>
      </c>
      <c r="AD2" s="128" t="s">
        <v>32</v>
      </c>
    </row>
    <row r="3" spans="1:30">
      <c r="B3" s="134" t="s">
        <v>115</v>
      </c>
      <c r="C3" s="134" t="s">
        <v>116</v>
      </c>
      <c r="D3" s="134"/>
      <c r="E3" s="134" t="s">
        <v>117</v>
      </c>
      <c r="F3" s="27"/>
      <c r="G3" s="134" t="s">
        <v>115</v>
      </c>
      <c r="H3" s="134" t="s">
        <v>116</v>
      </c>
      <c r="I3" s="134"/>
      <c r="J3" s="134" t="s">
        <v>117</v>
      </c>
      <c r="K3" s="27"/>
      <c r="L3" s="134"/>
      <c r="M3" s="134" t="s">
        <v>117</v>
      </c>
      <c r="O3" s="134" t="s">
        <v>115</v>
      </c>
      <c r="P3" s="134" t="s">
        <v>116</v>
      </c>
      <c r="Q3" s="134"/>
      <c r="R3" s="134" t="s">
        <v>117</v>
      </c>
      <c r="W3" s="128" t="s">
        <v>27</v>
      </c>
      <c r="X3" s="128" t="s">
        <v>28</v>
      </c>
      <c r="AA3" s="128" t="s">
        <v>112</v>
      </c>
      <c r="AB3" s="128" t="s">
        <v>0</v>
      </c>
      <c r="AC3" s="128" t="s">
        <v>28</v>
      </c>
      <c r="AD3" s="128" t="s">
        <v>31</v>
      </c>
    </row>
    <row r="4" spans="1:30" s="129" customFormat="1">
      <c r="A4" s="129" t="s">
        <v>110</v>
      </c>
      <c r="B4" s="135" t="s">
        <v>111</v>
      </c>
      <c r="C4" s="135"/>
      <c r="D4" s="135" t="s">
        <v>166</v>
      </c>
      <c r="E4" s="135" t="s">
        <v>111</v>
      </c>
      <c r="G4" s="135" t="s">
        <v>111</v>
      </c>
      <c r="H4" s="135"/>
      <c r="I4" s="135" t="s">
        <v>166</v>
      </c>
      <c r="J4" s="135" t="s">
        <v>111</v>
      </c>
      <c r="K4" s="131"/>
      <c r="L4" s="135"/>
      <c r="M4" s="135" t="s">
        <v>111</v>
      </c>
      <c r="O4" s="135" t="s">
        <v>111</v>
      </c>
      <c r="P4" s="135"/>
      <c r="Q4" s="135" t="s">
        <v>166</v>
      </c>
      <c r="R4" s="135" t="s">
        <v>111</v>
      </c>
    </row>
    <row r="5" spans="1:30">
      <c r="A5" s="130">
        <v>2018</v>
      </c>
      <c r="B5" s="28">
        <v>25.52760566591007</v>
      </c>
      <c r="C5" s="28">
        <v>2161.5669151458483</v>
      </c>
      <c r="D5" s="28">
        <v>137.56364570252128</v>
      </c>
      <c r="E5" s="28">
        <v>1753.3865413684316</v>
      </c>
      <c r="F5" s="28"/>
      <c r="G5" s="28">
        <v>36.302550931130092</v>
      </c>
      <c r="H5" s="28">
        <v>4891.3957642635478</v>
      </c>
      <c r="I5" s="28">
        <v>356.9906766066278</v>
      </c>
      <c r="J5" s="28">
        <v>5445.5447941043203</v>
      </c>
      <c r="K5" s="28"/>
      <c r="L5" s="28"/>
      <c r="M5" s="28">
        <v>381</v>
      </c>
      <c r="O5" s="133">
        <f t="shared" ref="O5:O27" si="0">B5+G5</f>
        <v>61.830156597040158</v>
      </c>
      <c r="P5" s="133">
        <f t="shared" ref="P5:P27" si="1">C5+H5</f>
        <v>7052.9626794093965</v>
      </c>
      <c r="Q5" s="133">
        <f t="shared" ref="Q5:Q27" si="2">D5+I5</f>
        <v>494.55432230914909</v>
      </c>
      <c r="R5" s="133">
        <f t="shared" ref="R5:R27" si="3">E5+J5+M5</f>
        <v>7579.9313354727519</v>
      </c>
      <c r="U5" s="207">
        <f>厚生年金!C5/厚生年金!C34</f>
        <v>1.0600448384350807</v>
      </c>
      <c r="V5" s="207">
        <f>厚生年金!D5/厚生年金!D34</f>
        <v>1.0603827180045455</v>
      </c>
      <c r="W5" s="207">
        <f>厚生年金!E5/厚生年金!E34</f>
        <v>1.0636300900457989</v>
      </c>
      <c r="X5" s="207">
        <f>厚生年金!F5/厚生年金!F34</f>
        <v>0.9805454475184201</v>
      </c>
      <c r="Z5" s="207">
        <f>厚生年金!G5/厚生年金!G34</f>
        <v>1.0091019328839064</v>
      </c>
      <c r="AA5" s="207">
        <f>SUM(厚生年金!I5:J5)/SUM(厚生年金!I34:J34)</f>
        <v>0.97319830711929223</v>
      </c>
      <c r="AB5" s="207">
        <f>厚生年金!I5/厚生年金!I34</f>
        <v>0.97319830711929223</v>
      </c>
      <c r="AC5" s="207">
        <f>厚生年金!J5/厚生年金!J34</f>
        <v>0.97319830711929223</v>
      </c>
      <c r="AD5" s="207">
        <f>厚生年金!K5/厚生年金!K34</f>
        <v>1.0636300900457989</v>
      </c>
    </row>
    <row r="6" spans="1:30">
      <c r="A6" s="130">
        <v>2019</v>
      </c>
      <c r="B6" s="28">
        <v>24.706599795963939</v>
      </c>
      <c r="C6" s="28">
        <v>2014.7985636646097</v>
      </c>
      <c r="D6" s="28">
        <v>127.17257876357253</v>
      </c>
      <c r="E6" s="28">
        <v>1726.9044085595367</v>
      </c>
      <c r="F6" s="28"/>
      <c r="G6" s="28">
        <v>35.043874916534236</v>
      </c>
      <c r="H6" s="28">
        <v>4515.872346209193</v>
      </c>
      <c r="I6" s="28">
        <v>327.90199718070272</v>
      </c>
      <c r="J6" s="28">
        <v>5518.0461253549702</v>
      </c>
      <c r="K6" s="28"/>
      <c r="L6" s="28"/>
      <c r="M6" s="28">
        <v>392</v>
      </c>
      <c r="O6" s="133">
        <f t="shared" si="0"/>
        <v>59.750474712498175</v>
      </c>
      <c r="P6" s="133">
        <f t="shared" si="1"/>
        <v>6530.6709098738029</v>
      </c>
      <c r="Q6" s="133">
        <f t="shared" si="2"/>
        <v>455.07457594427524</v>
      </c>
      <c r="R6" s="133">
        <f t="shared" si="3"/>
        <v>7636.9505339145071</v>
      </c>
      <c r="U6" s="207">
        <f>厚生年金!C6/厚生年金!C35</f>
        <v>1.0531999519734832</v>
      </c>
      <c r="V6" s="207">
        <f>厚生年金!D6/厚生年金!D35</f>
        <v>1.0588606884492295</v>
      </c>
      <c r="W6" s="207">
        <f>厚生年金!E6/厚生年金!E35</f>
        <v>1.0618387836272887</v>
      </c>
      <c r="X6" s="207">
        <f>厚生年金!F6/厚生年金!F35</f>
        <v>0.97920567526072877</v>
      </c>
      <c r="Z6" s="207">
        <f>厚生年金!G6/厚生年金!G35</f>
        <v>1.0079070422132244</v>
      </c>
      <c r="AA6" s="207">
        <f>SUM(厚生年金!I6:J6)/SUM(厚生年金!I35:J35)</f>
        <v>0.9718736613960236</v>
      </c>
      <c r="AB6" s="207">
        <f>厚生年金!I6/厚生年金!I35</f>
        <v>0.97193347733052282</v>
      </c>
      <c r="AC6" s="207">
        <f>厚生年金!J6/厚生年金!J35</f>
        <v>0.97158556578588362</v>
      </c>
      <c r="AD6" s="207">
        <f>厚生年金!K6/厚生年金!K35</f>
        <v>1.0618387836272887</v>
      </c>
    </row>
    <row r="7" spans="1:30">
      <c r="A7" s="130">
        <v>2020</v>
      </c>
      <c r="B7" s="28">
        <v>23.912063463623898</v>
      </c>
      <c r="C7" s="28">
        <v>1869.0741056651011</v>
      </c>
      <c r="D7" s="28">
        <v>117.20217320488506</v>
      </c>
      <c r="E7" s="28">
        <v>1744.3142766685089</v>
      </c>
      <c r="F7" s="28"/>
      <c r="G7" s="28">
        <v>33.477015372339103</v>
      </c>
      <c r="H7" s="28">
        <v>4102.3162733224945</v>
      </c>
      <c r="I7" s="28">
        <v>296.95645857497487</v>
      </c>
      <c r="J7" s="28">
        <v>5522.5771052197533</v>
      </c>
      <c r="K7" s="28"/>
      <c r="L7" s="28"/>
      <c r="M7" s="28">
        <v>413</v>
      </c>
      <c r="O7" s="133">
        <f t="shared" si="0"/>
        <v>57.389078835963005</v>
      </c>
      <c r="P7" s="133">
        <f t="shared" si="1"/>
        <v>5971.3903789875958</v>
      </c>
      <c r="Q7" s="133">
        <f t="shared" si="2"/>
        <v>414.15863177985995</v>
      </c>
      <c r="R7" s="133">
        <f t="shared" si="3"/>
        <v>7679.891381888262</v>
      </c>
      <c r="U7" s="207">
        <f>厚生年金!C7/厚生年金!C36</f>
        <v>1.0526874450881227</v>
      </c>
      <c r="V7" s="207">
        <f>厚生年金!D7/厚生年金!D36</f>
        <v>1.0648003474081091</v>
      </c>
      <c r="W7" s="207">
        <f>厚生年金!E7/厚生年金!E36</f>
        <v>1.0675858038691675</v>
      </c>
      <c r="X7" s="207">
        <f>厚生年金!F7/厚生年金!F36</f>
        <v>0.98350756902656999</v>
      </c>
      <c r="Z7" s="207">
        <f>厚生年金!G7/厚生年金!G36</f>
        <v>1.0130297134309092</v>
      </c>
      <c r="AA7" s="207">
        <f>SUM(厚生年金!I7:J7)/SUM(厚生年金!I36:J36)</f>
        <v>0.97614721733086207</v>
      </c>
      <c r="AB7" s="207">
        <f>厚生年金!I7/厚生年金!I36</f>
        <v>0.9759750734529451</v>
      </c>
      <c r="AC7" s="207">
        <f>厚生年金!J7/厚生年金!J36</f>
        <v>0.97699741074999424</v>
      </c>
      <c r="AD7" s="207">
        <f>厚生年金!K7/厚生年金!K36</f>
        <v>1.0675858038691675</v>
      </c>
    </row>
    <row r="8" spans="1:30">
      <c r="A8" s="130">
        <v>2021</v>
      </c>
      <c r="B8" s="28">
        <v>23.106222689897095</v>
      </c>
      <c r="C8" s="28">
        <v>1724.4371166322828</v>
      </c>
      <c r="D8" s="28">
        <v>107.62354186219261</v>
      </c>
      <c r="E8" s="28">
        <v>1766.5403045520898</v>
      </c>
      <c r="F8" s="28"/>
      <c r="G8" s="28">
        <v>32.099910105495361</v>
      </c>
      <c r="H8" s="28">
        <v>3721.7842910374457</v>
      </c>
      <c r="I8" s="28">
        <v>269.60260269004567</v>
      </c>
      <c r="J8" s="28">
        <v>5664.9993387651257</v>
      </c>
      <c r="K8" s="28"/>
      <c r="L8" s="28"/>
      <c r="M8" s="28">
        <v>436</v>
      </c>
      <c r="O8" s="133">
        <f t="shared" si="0"/>
        <v>55.206132795392456</v>
      </c>
      <c r="P8" s="133">
        <f t="shared" si="1"/>
        <v>5446.2214076697283</v>
      </c>
      <c r="Q8" s="133">
        <f t="shared" si="2"/>
        <v>377.22614455223828</v>
      </c>
      <c r="R8" s="133">
        <f t="shared" si="3"/>
        <v>7867.5396433172155</v>
      </c>
      <c r="U8" s="207">
        <f>厚生年金!C8/厚生年金!C37</f>
        <v>1.0510118791126228</v>
      </c>
      <c r="V8" s="207">
        <f>厚生年金!D8/厚生年金!D37</f>
        <v>1.0701700211078498</v>
      </c>
      <c r="W8" s="207">
        <f>厚生年金!E8/厚生年金!E37</f>
        <v>1.0727323326243312</v>
      </c>
      <c r="X8" s="207">
        <f>厚生年金!F8/厚生年金!F37</f>
        <v>0.98831863278513599</v>
      </c>
      <c r="Z8" s="207">
        <f>厚生年金!G8/厚生年金!G37</f>
        <v>1.0180021743936221</v>
      </c>
      <c r="AA8" s="207">
        <f>SUM(厚生年金!I8:J8)/SUM(厚生年金!I37:J37)</f>
        <v>0.98092542486462775</v>
      </c>
      <c r="AB8" s="207">
        <f>厚生年金!I8/厚生年金!I37</f>
        <v>0.9807311976559081</v>
      </c>
      <c r="AC8" s="207">
        <f>厚生年金!J8/厚生年金!J37</f>
        <v>0.98191946180539447</v>
      </c>
      <c r="AD8" s="207">
        <f>厚生年金!K8/厚生年金!K37</f>
        <v>1.0727323326243312</v>
      </c>
    </row>
    <row r="9" spans="1:30">
      <c r="A9" s="130">
        <v>2022</v>
      </c>
      <c r="B9" s="28">
        <v>22.265777867822745</v>
      </c>
      <c r="C9" s="28">
        <v>1581.9750975336865</v>
      </c>
      <c r="D9" s="28">
        <v>98.463523553538877</v>
      </c>
      <c r="E9" s="28">
        <v>1738.8933314213616</v>
      </c>
      <c r="F9" s="28"/>
      <c r="G9" s="28">
        <v>30.907102756649508</v>
      </c>
      <c r="H9" s="28">
        <v>3375.4035086744352</v>
      </c>
      <c r="I9" s="28">
        <v>245.42579628438497</v>
      </c>
      <c r="J9" s="28">
        <v>5741.2574229228539</v>
      </c>
      <c r="K9" s="28"/>
      <c r="L9" s="28"/>
      <c r="M9" s="28">
        <v>451</v>
      </c>
      <c r="O9" s="133">
        <f t="shared" si="0"/>
        <v>53.172880624472256</v>
      </c>
      <c r="P9" s="133">
        <f t="shared" si="1"/>
        <v>4957.3786062081217</v>
      </c>
      <c r="Q9" s="133">
        <f t="shared" si="2"/>
        <v>343.88931983792384</v>
      </c>
      <c r="R9" s="133">
        <f t="shared" si="3"/>
        <v>7931.1507543442158</v>
      </c>
      <c r="U9" s="207">
        <f>厚生年金!C9/厚生年金!C38</f>
        <v>1.0481256006136603</v>
      </c>
      <c r="V9" s="207">
        <f>厚生年金!D9/厚生年金!D38</f>
        <v>1.0714781935264635</v>
      </c>
      <c r="W9" s="207">
        <f>厚生年金!E9/厚生年金!E38</f>
        <v>1.0738007436814103</v>
      </c>
      <c r="X9" s="207">
        <f>厚生年金!F9/厚生年金!F38</f>
        <v>0.99000797001173912</v>
      </c>
      <c r="Z9" s="207">
        <f>厚生年金!G9/厚生年金!G38</f>
        <v>1.0196145118479372</v>
      </c>
      <c r="AA9" s="207">
        <f>SUM(厚生年金!I9:J9)/SUM(厚生年金!I38:J38)</f>
        <v>0.98260488937106616</v>
      </c>
      <c r="AB9" s="207">
        <f>厚生年金!I9/厚生年金!I38</f>
        <v>0.98250227923736655</v>
      </c>
      <c r="AC9" s="207">
        <f>厚生年金!J9/厚生年金!J38</f>
        <v>0.98314524427485261</v>
      </c>
      <c r="AD9" s="207">
        <f>厚生年金!K9/厚生年金!K38</f>
        <v>1.0738007436814103</v>
      </c>
    </row>
    <row r="10" spans="1:30">
      <c r="A10" s="130">
        <v>2023</v>
      </c>
      <c r="B10" s="28">
        <v>21.430698492560438</v>
      </c>
      <c r="C10" s="28">
        <v>1442.0787750150223</v>
      </c>
      <c r="D10" s="28">
        <v>89.730251300039441</v>
      </c>
      <c r="E10" s="28">
        <v>1763.6831797926002</v>
      </c>
      <c r="F10" s="28"/>
      <c r="G10" s="28">
        <v>29.379685734513878</v>
      </c>
      <c r="H10" s="28">
        <v>3005.781256698936</v>
      </c>
      <c r="I10" s="28">
        <v>219.6338301622356</v>
      </c>
      <c r="J10" s="28">
        <v>5747.079855820386</v>
      </c>
      <c r="K10" s="28"/>
      <c r="L10" s="28"/>
      <c r="M10" s="28">
        <v>473</v>
      </c>
      <c r="O10" s="133">
        <f t="shared" si="0"/>
        <v>50.810384227074316</v>
      </c>
      <c r="P10" s="133">
        <f t="shared" si="1"/>
        <v>4447.8600317139581</v>
      </c>
      <c r="Q10" s="133">
        <f t="shared" si="2"/>
        <v>309.36408146227507</v>
      </c>
      <c r="R10" s="133">
        <f t="shared" si="3"/>
        <v>7983.7630356129866</v>
      </c>
      <c r="U10" s="207">
        <f>厚生年金!C10/厚生年金!C39</f>
        <v>1.0442955003885743</v>
      </c>
      <c r="V10" s="207">
        <f>厚生年金!D10/厚生年金!D39</f>
        <v>1.0703085370233216</v>
      </c>
      <c r="W10" s="207">
        <f>厚生年金!E10/厚生年金!E39</f>
        <v>1.072398537798557</v>
      </c>
      <c r="X10" s="207">
        <f>厚生年金!F10/厚生年金!F39</f>
        <v>0.98942717028772953</v>
      </c>
      <c r="Z10" s="207">
        <f>厚生年金!G10/厚生年金!G39</f>
        <v>1.0189527485627428</v>
      </c>
      <c r="AA10" s="207">
        <f>SUM(厚生年金!I10:J10)/SUM(厚生年金!I39:J39)</f>
        <v>0.98202978429485688</v>
      </c>
      <c r="AB10" s="207">
        <f>厚生年金!I10/厚生年金!I39</f>
        <v>0.98200580577821495</v>
      </c>
      <c r="AC10" s="207">
        <f>厚生年金!J10/厚生年金!J39</f>
        <v>0.98215924975211177</v>
      </c>
      <c r="AD10" s="207">
        <f>厚生年金!K10/厚生年金!K39</f>
        <v>1.072398537798557</v>
      </c>
    </row>
    <row r="11" spans="1:30">
      <c r="A11" s="130">
        <v>2024</v>
      </c>
      <c r="B11" s="28">
        <v>20.629150076283278</v>
      </c>
      <c r="C11" s="28">
        <v>1306.7455218637328</v>
      </c>
      <c r="D11" s="28">
        <v>81.419477256223757</v>
      </c>
      <c r="E11" s="28">
        <v>1786.4538773325071</v>
      </c>
      <c r="F11" s="28"/>
      <c r="G11" s="28">
        <v>28.000567954839994</v>
      </c>
      <c r="H11" s="28">
        <v>2664.5966064689364</v>
      </c>
      <c r="I11" s="28">
        <v>196.15526042474693</v>
      </c>
      <c r="J11" s="28">
        <v>5865.6952376353111</v>
      </c>
      <c r="K11" s="28"/>
      <c r="L11" s="28"/>
      <c r="M11" s="28">
        <v>497</v>
      </c>
      <c r="O11" s="133">
        <f t="shared" si="0"/>
        <v>48.629718031123275</v>
      </c>
      <c r="P11" s="133">
        <f t="shared" si="1"/>
        <v>3971.3421283326693</v>
      </c>
      <c r="Q11" s="133">
        <f t="shared" si="2"/>
        <v>277.57473768097066</v>
      </c>
      <c r="R11" s="133">
        <f t="shared" si="3"/>
        <v>8149.1491149678186</v>
      </c>
      <c r="U11" s="207">
        <f>厚生年金!C11/厚生年金!C40</f>
        <v>1.0404574052623667</v>
      </c>
      <c r="V11" s="207">
        <f>厚生年金!D11/厚生年金!D40</f>
        <v>1.0686240267506117</v>
      </c>
      <c r="W11" s="207">
        <f>厚生年金!E11/厚生年金!E40</f>
        <v>1.0705011375887661</v>
      </c>
      <c r="X11" s="207">
        <f>厚生年金!F11/厚生年金!F40</f>
        <v>0.98801930994322751</v>
      </c>
      <c r="Z11" s="207">
        <f>厚生年金!G11/厚生年金!G40</f>
        <v>1.0174177449406803</v>
      </c>
      <c r="AA11" s="207">
        <f>SUM(厚生年金!I11:J11)/SUM(厚生年金!I40:J40)</f>
        <v>0.9806334532736134</v>
      </c>
      <c r="AB11" s="207">
        <f>厚生年金!I11/厚生年金!I40</f>
        <v>0.98061474739558785</v>
      </c>
      <c r="AC11" s="207">
        <f>厚生年金!J11/厚生年金!J40</f>
        <v>0.980737919271637</v>
      </c>
      <c r="AD11" s="207">
        <f>厚生年金!K11/厚生年金!K40</f>
        <v>1.0705011375887661</v>
      </c>
    </row>
    <row r="12" spans="1:30">
      <c r="A12" s="130">
        <v>2025</v>
      </c>
      <c r="B12" s="28">
        <v>19.859344136720573</v>
      </c>
      <c r="C12" s="28">
        <v>1175.1411110365996</v>
      </c>
      <c r="D12" s="28">
        <v>73.533178691327663</v>
      </c>
      <c r="E12" s="28">
        <v>1754.0790928280483</v>
      </c>
      <c r="F12" s="28"/>
      <c r="G12" s="28">
        <v>26.759447105326526</v>
      </c>
      <c r="H12" s="28">
        <v>2355.5411394157995</v>
      </c>
      <c r="I12" s="28">
        <v>175.01014180312922</v>
      </c>
      <c r="J12" s="28">
        <v>5906.0160712866955</v>
      </c>
      <c r="K12" s="28"/>
      <c r="L12" s="28"/>
      <c r="M12" s="28">
        <v>507</v>
      </c>
      <c r="O12" s="133">
        <f t="shared" si="0"/>
        <v>46.618791242047095</v>
      </c>
      <c r="P12" s="133">
        <f t="shared" si="1"/>
        <v>3530.6822504523989</v>
      </c>
      <c r="Q12" s="133">
        <f t="shared" si="2"/>
        <v>248.54332049445688</v>
      </c>
      <c r="R12" s="133">
        <f t="shared" si="3"/>
        <v>8167.095164114744</v>
      </c>
      <c r="U12" s="207">
        <f>厚生年金!C12/厚生年金!C41</f>
        <v>1.0377841673192345</v>
      </c>
      <c r="V12" s="207">
        <f>厚生年金!D12/厚生年金!D41</f>
        <v>1.0665594002769356</v>
      </c>
      <c r="W12" s="207">
        <f>厚生年金!E12/厚生年金!E41</f>
        <v>1.068230978503232</v>
      </c>
      <c r="X12" s="207">
        <f>厚生年金!F12/厚生年金!F41</f>
        <v>0.98652970015146224</v>
      </c>
      <c r="Z12" s="207">
        <f>厚生年金!G12/厚生年金!G41</f>
        <v>1.0158393776117085</v>
      </c>
      <c r="AA12" s="207">
        <f>SUM(厚生年金!I12:J12)/SUM(厚生年金!I41:J41)</f>
        <v>0.9791551968818889</v>
      </c>
      <c r="AB12" s="207">
        <f>厚生年金!I12/厚生年金!I41</f>
        <v>0.97917840226947317</v>
      </c>
      <c r="AC12" s="207">
        <f>厚生年金!J12/厚生年金!J41</f>
        <v>0.97902223814365541</v>
      </c>
      <c r="AD12" s="207">
        <f>厚生年金!K12/厚生年金!K41</f>
        <v>1.068230978503232</v>
      </c>
    </row>
    <row r="13" spans="1:30">
      <c r="A13" s="130">
        <v>2026</v>
      </c>
      <c r="B13" s="28">
        <v>19.082593952203432</v>
      </c>
      <c r="C13" s="28">
        <v>1048.3532957871573</v>
      </c>
      <c r="D13" s="28">
        <v>65.993788284522083</v>
      </c>
      <c r="E13" s="28">
        <v>1770.7128522367254</v>
      </c>
      <c r="F13" s="28"/>
      <c r="G13" s="28">
        <v>25.273172713613278</v>
      </c>
      <c r="H13" s="28">
        <v>2044.8459145616573</v>
      </c>
      <c r="I13" s="28">
        <v>153.53878147487745</v>
      </c>
      <c r="J13" s="28">
        <v>5869.0960531091814</v>
      </c>
      <c r="K13" s="28"/>
      <c r="L13" s="28"/>
      <c r="M13" s="28">
        <v>524</v>
      </c>
      <c r="O13" s="133">
        <f t="shared" si="0"/>
        <v>44.355766665816709</v>
      </c>
      <c r="P13" s="133">
        <f t="shared" si="1"/>
        <v>3093.1992103488146</v>
      </c>
      <c r="Q13" s="133">
        <f t="shared" si="2"/>
        <v>219.53256975939954</v>
      </c>
      <c r="R13" s="133">
        <f t="shared" si="3"/>
        <v>8163.8089053459071</v>
      </c>
      <c r="U13" s="207">
        <f>厚生年金!C13/厚生年金!C42</f>
        <v>1.0355810428115673</v>
      </c>
      <c r="V13" s="207">
        <f>厚生年金!D13/厚生年金!D42</f>
        <v>1.0642500755623749</v>
      </c>
      <c r="W13" s="207">
        <f>厚生年金!E13/厚生年金!E42</f>
        <v>1.0657266659850155</v>
      </c>
      <c r="X13" s="207">
        <f>厚生年金!F13/厚生年金!F42</f>
        <v>0.98502222436385534</v>
      </c>
      <c r="Z13" s="207">
        <f>厚生年金!G13/厚生年金!G42</f>
        <v>1.0142062736577073</v>
      </c>
      <c r="AA13" s="207">
        <f>SUM(厚生年金!I13:J13)/SUM(厚生年金!I42:J42)</f>
        <v>0.97765830633926232</v>
      </c>
      <c r="AB13" s="207">
        <f>厚生年金!I13/厚生年金!I42</f>
        <v>0.97774470554236381</v>
      </c>
      <c r="AC13" s="207">
        <f>厚生年金!J13/厚生年金!J42</f>
        <v>0.97715166440821588</v>
      </c>
      <c r="AD13" s="207">
        <f>厚生年金!K13/厚生年金!K42</f>
        <v>1.0657266659850155</v>
      </c>
    </row>
    <row r="14" spans="1:30">
      <c r="A14" s="130">
        <v>2027</v>
      </c>
      <c r="B14" s="28">
        <v>18.411228543691092</v>
      </c>
      <c r="C14" s="28">
        <v>933.08246472657686</v>
      </c>
      <c r="D14" s="28">
        <v>59.298422805579392</v>
      </c>
      <c r="E14" s="28">
        <v>1798.7917213492703</v>
      </c>
      <c r="F14" s="28"/>
      <c r="G14" s="28">
        <v>24.02310474095064</v>
      </c>
      <c r="H14" s="28">
        <v>1776.6025375528643</v>
      </c>
      <c r="I14" s="28">
        <v>135.3417576192241</v>
      </c>
      <c r="J14" s="28">
        <v>5980.9379511554753</v>
      </c>
      <c r="K14" s="28"/>
      <c r="L14" s="28"/>
      <c r="M14" s="28">
        <v>542</v>
      </c>
      <c r="O14" s="133">
        <f t="shared" si="0"/>
        <v>42.434333284641731</v>
      </c>
      <c r="P14" s="133">
        <f t="shared" si="1"/>
        <v>2709.6850022794411</v>
      </c>
      <c r="Q14" s="133">
        <f t="shared" si="2"/>
        <v>194.64018042480348</v>
      </c>
      <c r="R14" s="133">
        <f t="shared" si="3"/>
        <v>8321.7296725047454</v>
      </c>
      <c r="U14" s="207">
        <f>厚生年金!C14/厚生年金!C43</f>
        <v>1.0331258043219007</v>
      </c>
      <c r="V14" s="207">
        <f>厚生年金!D14/厚生年金!D43</f>
        <v>1.0617981891203265</v>
      </c>
      <c r="W14" s="207">
        <f>厚生年金!E14/厚生年金!E43</f>
        <v>1.0631063449246725</v>
      </c>
      <c r="X14" s="207">
        <f>厚生年金!F14/厚生年金!F43</f>
        <v>0.98303895445944589</v>
      </c>
      <c r="Z14" s="207">
        <f>厚生年金!G14/厚生年金!G43</f>
        <v>1.0118941971620887</v>
      </c>
      <c r="AA14" s="207">
        <f>SUM(厚生年金!I14:J14)/SUM(厚生年金!I43:J43)</f>
        <v>0.97568830004709106</v>
      </c>
      <c r="AB14" s="207">
        <f>厚生年金!I14/厚生年金!I43</f>
        <v>0.97578722141936547</v>
      </c>
      <c r="AC14" s="207">
        <f>厚生年金!J14/厚生年金!J43</f>
        <v>0.97508513773414796</v>
      </c>
      <c r="AD14" s="207">
        <f>厚生年金!K14/厚生年金!K43</f>
        <v>1.0631063449246725</v>
      </c>
    </row>
    <row r="15" spans="1:30">
      <c r="A15" s="130">
        <v>2028</v>
      </c>
      <c r="B15" s="28">
        <v>17.793523770479425</v>
      </c>
      <c r="C15" s="28">
        <v>826.15308167847047</v>
      </c>
      <c r="D15" s="28">
        <v>53.135907487536748</v>
      </c>
      <c r="E15" s="28">
        <v>1828.3284712580162</v>
      </c>
      <c r="F15" s="28"/>
      <c r="G15" s="28">
        <v>22.802566224236049</v>
      </c>
      <c r="H15" s="28">
        <v>1536.0625956838164</v>
      </c>
      <c r="I15" s="28">
        <v>118.84453522745648</v>
      </c>
      <c r="J15" s="28">
        <v>6090.3973075692911</v>
      </c>
      <c r="K15" s="28"/>
      <c r="L15" s="28"/>
      <c r="M15" s="28">
        <v>559</v>
      </c>
      <c r="O15" s="133">
        <f t="shared" si="0"/>
        <v>40.59608999471547</v>
      </c>
      <c r="P15" s="133">
        <f t="shared" si="1"/>
        <v>2362.2156773622869</v>
      </c>
      <c r="Q15" s="133">
        <f t="shared" si="2"/>
        <v>171.98044271499322</v>
      </c>
      <c r="R15" s="133">
        <f t="shared" si="3"/>
        <v>8477.7257788273073</v>
      </c>
      <c r="U15" s="207">
        <f>厚生年金!C15/厚生年金!C44</f>
        <v>1.0305255914114635</v>
      </c>
      <c r="V15" s="207">
        <f>厚生年金!D15/厚生年金!D44</f>
        <v>1.0583461038589457</v>
      </c>
      <c r="W15" s="207">
        <f>厚生年金!E15/厚生年金!E44</f>
        <v>1.0595013244686367</v>
      </c>
      <c r="X15" s="207">
        <f>厚生年金!F15/厚生年金!F44</f>
        <v>0.97993018838640567</v>
      </c>
      <c r="Z15" s="207">
        <f>厚生年金!G15/厚生年金!G44</f>
        <v>1.0085061681044809</v>
      </c>
      <c r="AA15" s="207">
        <f>SUM(厚生年金!I15:J15)/SUM(厚生年金!I44:J44)</f>
        <v>0.97260009655920387</v>
      </c>
      <c r="AB15" s="207">
        <f>厚生年金!I15/厚生年金!I44</f>
        <v>0.97268093617364038</v>
      </c>
      <c r="AC15" s="207">
        <f>厚生年金!J15/厚生年金!J44</f>
        <v>0.9720870926545051</v>
      </c>
      <c r="AD15" s="207">
        <f>厚生年金!K15/厚生年金!K44</f>
        <v>1.0595013244686367</v>
      </c>
    </row>
    <row r="16" spans="1:30">
      <c r="A16" s="130">
        <v>2029</v>
      </c>
      <c r="B16" s="28">
        <v>17.183410796147779</v>
      </c>
      <c r="C16" s="28">
        <v>725.43141742146759</v>
      </c>
      <c r="D16" s="28">
        <v>47.318734298055894</v>
      </c>
      <c r="E16" s="28">
        <v>1855.0177950942036</v>
      </c>
      <c r="F16" s="28"/>
      <c r="G16" s="28">
        <v>21.549892187129739</v>
      </c>
      <c r="H16" s="28">
        <v>1316.5979026343196</v>
      </c>
      <c r="I16" s="28">
        <v>103.5844072675195</v>
      </c>
      <c r="J16" s="28">
        <v>6184.2124063177216</v>
      </c>
      <c r="K16" s="28"/>
      <c r="L16" s="28"/>
      <c r="M16" s="28">
        <v>576</v>
      </c>
      <c r="O16" s="133">
        <f t="shared" si="0"/>
        <v>38.733302983277518</v>
      </c>
      <c r="P16" s="133">
        <f t="shared" si="1"/>
        <v>2042.0293200557871</v>
      </c>
      <c r="Q16" s="133">
        <f t="shared" si="2"/>
        <v>150.9031415655754</v>
      </c>
      <c r="R16" s="133">
        <f t="shared" si="3"/>
        <v>8615.230201411925</v>
      </c>
      <c r="U16" s="207">
        <f>厚生年金!C16/厚生年金!C45</f>
        <v>1.0324327032007143</v>
      </c>
      <c r="V16" s="207">
        <f>厚生年金!D16/厚生年金!D45</f>
        <v>1.0556173774401794</v>
      </c>
      <c r="W16" s="207">
        <f>厚生年金!E16/厚生年金!E45</f>
        <v>1.056636037906034</v>
      </c>
      <c r="X16" s="207">
        <f>厚生年金!F16/厚生年金!F45</f>
        <v>0.97704442430959682</v>
      </c>
      <c r="Z16" s="207">
        <f>厚生年金!G16/厚生年金!G45</f>
        <v>1.0054784921993161</v>
      </c>
      <c r="AA16" s="207">
        <f>SUM(厚生年金!I16:J16)/SUM(厚生年金!I45:J45)</f>
        <v>0.96973198113488857</v>
      </c>
      <c r="AB16" s="207">
        <f>厚生年金!I16/厚生年金!I45</f>
        <v>0.9697411829121777</v>
      </c>
      <c r="AC16" s="207">
        <f>厚生年金!J16/厚生年金!J45</f>
        <v>0.96967098516259231</v>
      </c>
      <c r="AD16" s="207">
        <f>厚生年金!K16/厚生年金!K45</f>
        <v>1.056636037906034</v>
      </c>
    </row>
    <row r="17" spans="1:30">
      <c r="A17" s="130">
        <v>2030</v>
      </c>
      <c r="B17" s="28">
        <v>16.564034717090063</v>
      </c>
      <c r="C17" s="28">
        <v>630.82023130166624</v>
      </c>
      <c r="D17" s="28">
        <v>41.874873688648556</v>
      </c>
      <c r="E17" s="28">
        <v>1874.3117584057388</v>
      </c>
      <c r="F17" s="28"/>
      <c r="G17" s="28">
        <v>20.382197349858508</v>
      </c>
      <c r="H17" s="28">
        <v>1118.8490226636093</v>
      </c>
      <c r="I17" s="28">
        <v>89.651064765659271</v>
      </c>
      <c r="J17" s="28">
        <v>6267.3578304417288</v>
      </c>
      <c r="K17" s="28"/>
      <c r="L17" s="28"/>
      <c r="M17" s="28">
        <v>591</v>
      </c>
      <c r="O17" s="133">
        <f t="shared" si="0"/>
        <v>36.946232066948568</v>
      </c>
      <c r="P17" s="133">
        <f t="shared" si="1"/>
        <v>1749.6692539652754</v>
      </c>
      <c r="Q17" s="133">
        <f t="shared" si="2"/>
        <v>131.52593845430783</v>
      </c>
      <c r="R17" s="133">
        <f t="shared" si="3"/>
        <v>8732.6695888474678</v>
      </c>
      <c r="U17" s="207">
        <f>厚生年金!C17/厚生年金!C46</f>
        <v>1.034425763299508</v>
      </c>
      <c r="V17" s="207">
        <f>厚生年金!D17/厚生年金!D46</f>
        <v>1.0529488298237368</v>
      </c>
      <c r="W17" s="207">
        <f>厚生年金!E17/厚生年金!E46</f>
        <v>1.0538388136348906</v>
      </c>
      <c r="X17" s="207">
        <f>厚生年金!F17/厚生年金!F46</f>
        <v>0.974340357761871</v>
      </c>
      <c r="Z17" s="207">
        <f>厚生年金!G17/厚生年金!G46</f>
        <v>1.0026376167900755</v>
      </c>
      <c r="AA17" s="207">
        <f>SUM(厚生年金!I17:J17)/SUM(厚生年金!I46:J46)</f>
        <v>0.96704289614987715</v>
      </c>
      <c r="AB17" s="207">
        <f>厚生年金!I17/厚生年金!I46</f>
        <v>0.96700566683053368</v>
      </c>
      <c r="AC17" s="207">
        <f>厚生年金!J17/厚生年金!J46</f>
        <v>0.96729990656913989</v>
      </c>
      <c r="AD17" s="207">
        <f>厚生年金!K17/厚生年金!K46</f>
        <v>1.0538388136348906</v>
      </c>
    </row>
    <row r="18" spans="1:30">
      <c r="A18" s="130">
        <v>2031</v>
      </c>
      <c r="B18" s="28">
        <v>15.944818984718676</v>
      </c>
      <c r="C18" s="28">
        <v>543.27826209279874</v>
      </c>
      <c r="D18" s="28">
        <v>36.738541925194824</v>
      </c>
      <c r="E18" s="28">
        <v>1886.951540909914</v>
      </c>
      <c r="F18" s="28"/>
      <c r="G18" s="28">
        <v>19.334688477202455</v>
      </c>
      <c r="H18" s="28">
        <v>943.45542411642407</v>
      </c>
      <c r="I18" s="28">
        <v>77.095679602244232</v>
      </c>
      <c r="J18" s="28">
        <v>6329.4476822138358</v>
      </c>
      <c r="K18" s="28"/>
      <c r="L18" s="28"/>
      <c r="M18" s="28">
        <v>602.20000000000005</v>
      </c>
      <c r="O18" s="133">
        <f t="shared" si="0"/>
        <v>35.279507461921128</v>
      </c>
      <c r="P18" s="133">
        <f t="shared" si="1"/>
        <v>1486.7336862092229</v>
      </c>
      <c r="Q18" s="133">
        <f t="shared" si="2"/>
        <v>113.83422152743906</v>
      </c>
      <c r="R18" s="133">
        <f t="shared" si="3"/>
        <v>8818.5992231237506</v>
      </c>
      <c r="U18" s="207">
        <f>厚生年金!C18/厚生年金!C47</f>
        <v>1.0362896030984112</v>
      </c>
      <c r="V18" s="207">
        <f>厚生年金!D18/厚生年金!D47</f>
        <v>1.0500851907374587</v>
      </c>
      <c r="W18" s="207">
        <f>厚生年金!E18/厚生年金!E47</f>
        <v>1.0508543440094325</v>
      </c>
      <c r="X18" s="207">
        <f>厚生年金!F18/厚生年金!F47</f>
        <v>0.9718805606475146</v>
      </c>
      <c r="Z18" s="207">
        <f>厚生年金!G18/厚生年金!G47</f>
        <v>0.99990325001394931</v>
      </c>
      <c r="AA18" s="207">
        <f>SUM(厚生年金!I18:J18)/SUM(厚生年金!I47:J47)</f>
        <v>0.96459410626099173</v>
      </c>
      <c r="AB18" s="207">
        <f>厚生年金!I18/厚生年金!I47</f>
        <v>0.96455893024160599</v>
      </c>
      <c r="AC18" s="207">
        <f>厚生年金!J18/厚生年金!J47</f>
        <v>0.96484675080564075</v>
      </c>
      <c r="AD18" s="207">
        <f>厚生年金!K18/厚生年金!K47</f>
        <v>1.0508543440094325</v>
      </c>
    </row>
    <row r="19" spans="1:30">
      <c r="A19" s="130">
        <v>2032</v>
      </c>
      <c r="B19" s="28">
        <v>15.308415321008026</v>
      </c>
      <c r="C19" s="28">
        <v>463.80699305102621</v>
      </c>
      <c r="D19" s="28">
        <v>32.010687778155003</v>
      </c>
      <c r="E19" s="28">
        <v>1901.6958430991626</v>
      </c>
      <c r="F19" s="28"/>
      <c r="G19" s="28">
        <v>18.260895489573656</v>
      </c>
      <c r="H19" s="28">
        <v>787.60621402957509</v>
      </c>
      <c r="I19" s="28">
        <v>65.705878134445143</v>
      </c>
      <c r="J19" s="28">
        <v>6372.1807139755138</v>
      </c>
      <c r="K19" s="28"/>
      <c r="L19" s="28"/>
      <c r="M19" s="28">
        <v>613.40000000000009</v>
      </c>
      <c r="O19" s="133">
        <f t="shared" si="0"/>
        <v>33.569310810581683</v>
      </c>
      <c r="P19" s="133">
        <f t="shared" si="1"/>
        <v>1251.4132070806013</v>
      </c>
      <c r="Q19" s="133">
        <f t="shared" si="2"/>
        <v>97.716565912600146</v>
      </c>
      <c r="R19" s="133">
        <f t="shared" si="3"/>
        <v>8887.276557074676</v>
      </c>
      <c r="U19" s="207">
        <f>厚生年金!C19/厚生年金!C48</f>
        <v>1.0383540936617663</v>
      </c>
      <c r="V19" s="207">
        <f>厚生年金!D19/厚生年金!D48</f>
        <v>1.0477809664873412</v>
      </c>
      <c r="W19" s="207">
        <f>厚生年金!E19/厚生年金!E48</f>
        <v>1.0484440600017031</v>
      </c>
      <c r="X19" s="207">
        <f>厚生年金!F19/厚生年金!F48</f>
        <v>0.96957211490192541</v>
      </c>
      <c r="Z19" s="207">
        <f>厚生年金!G19/厚生年金!G48</f>
        <v>0.99740881283039839</v>
      </c>
      <c r="AA19" s="207">
        <f>SUM(厚生年金!I19:J19)/SUM(厚生年金!I48:J48)</f>
        <v>0.96229346732898979</v>
      </c>
      <c r="AB19" s="207">
        <f>厚生年金!I19/厚生年金!I48</f>
        <v>0.96220265714009201</v>
      </c>
      <c r="AC19" s="207">
        <f>厚生年金!J19/厚生年金!J48</f>
        <v>0.96297499603979797</v>
      </c>
      <c r="AD19" s="207">
        <f>厚生年金!K19/厚生年金!K48</f>
        <v>1.0484440600017031</v>
      </c>
    </row>
    <row r="20" spans="1:30">
      <c r="A20" s="130">
        <v>2033</v>
      </c>
      <c r="B20" s="28">
        <v>14.653251094995962</v>
      </c>
      <c r="C20" s="28">
        <v>392.59060773813434</v>
      </c>
      <c r="D20" s="28">
        <v>27.713722430553734</v>
      </c>
      <c r="E20" s="28">
        <v>1914.7125935255497</v>
      </c>
      <c r="F20" s="28"/>
      <c r="G20" s="28">
        <v>17.203698756421783</v>
      </c>
      <c r="H20" s="28">
        <v>651.78680668906929</v>
      </c>
      <c r="I20" s="28">
        <v>55.607608424679299</v>
      </c>
      <c r="J20" s="28">
        <v>6417.1072110329287</v>
      </c>
      <c r="K20" s="28"/>
      <c r="L20" s="28"/>
      <c r="M20" s="28">
        <v>624.60000000000014</v>
      </c>
      <c r="O20" s="133">
        <f t="shared" si="0"/>
        <v>31.856949851417745</v>
      </c>
      <c r="P20" s="133">
        <f t="shared" si="1"/>
        <v>1044.3774144272036</v>
      </c>
      <c r="Q20" s="133">
        <f t="shared" si="2"/>
        <v>83.321330855233029</v>
      </c>
      <c r="R20" s="133">
        <f t="shared" si="3"/>
        <v>8956.4198045584781</v>
      </c>
      <c r="U20" s="207">
        <f>厚生年金!C20/厚生年金!C49</f>
        <v>1.0406760731942766</v>
      </c>
      <c r="V20" s="207">
        <f>厚生年金!D20/厚生年金!D49</f>
        <v>1.0452709611711728</v>
      </c>
      <c r="W20" s="207">
        <f>厚生年金!E20/厚生年金!E49</f>
        <v>1.045835190508452</v>
      </c>
      <c r="X20" s="207">
        <f>厚生年金!F20/厚生年金!F49</f>
        <v>0.96707322552200081</v>
      </c>
      <c r="Z20" s="207">
        <f>厚生年金!G20/厚生年金!G49</f>
        <v>0.9947407664267528</v>
      </c>
      <c r="AA20" s="207">
        <f>SUM(厚生年金!I20:J20)/SUM(厚生年金!I49:J49)</f>
        <v>0.95980211502578239</v>
      </c>
      <c r="AB20" s="207">
        <f>厚生年金!I20/厚生年金!I49</f>
        <v>0.95967669561334779</v>
      </c>
      <c r="AC20" s="207">
        <f>厚生年金!J20/厚生年金!J49</f>
        <v>0.96078215085496999</v>
      </c>
      <c r="AD20" s="207">
        <f>厚生年金!K20/厚生年金!K49</f>
        <v>1.045835190508452</v>
      </c>
    </row>
    <row r="21" spans="1:30">
      <c r="A21" s="130">
        <v>2034</v>
      </c>
      <c r="B21" s="28">
        <v>14.020190042977411</v>
      </c>
      <c r="C21" s="28">
        <v>329.03513222572388</v>
      </c>
      <c r="D21" s="28">
        <v>23.784350987922103</v>
      </c>
      <c r="E21" s="28">
        <v>1922.3111710308995</v>
      </c>
      <c r="F21" s="28"/>
      <c r="G21" s="28">
        <v>16.260135028905598</v>
      </c>
      <c r="H21" s="28">
        <v>534.84305536275224</v>
      </c>
      <c r="I21" s="28">
        <v>46.872635415052201</v>
      </c>
      <c r="J21" s="28">
        <v>6471.8558222934071</v>
      </c>
      <c r="K21" s="28"/>
      <c r="L21" s="28"/>
      <c r="M21" s="28">
        <v>635.80000000000018</v>
      </c>
      <c r="O21" s="133">
        <f t="shared" si="0"/>
        <v>30.280325071883009</v>
      </c>
      <c r="P21" s="133">
        <f t="shared" si="1"/>
        <v>863.87818758847607</v>
      </c>
      <c r="Q21" s="133">
        <f t="shared" si="2"/>
        <v>70.656986402974297</v>
      </c>
      <c r="R21" s="133">
        <f t="shared" si="3"/>
        <v>9029.9669933243058</v>
      </c>
      <c r="U21" s="207">
        <f>厚生年金!C21/厚生年金!C50</f>
        <v>1.0426359081188721</v>
      </c>
      <c r="V21" s="207">
        <f>厚生年金!D21/厚生年金!D50</f>
        <v>1.0428641643018066</v>
      </c>
      <c r="W21" s="207">
        <f>厚生年金!E21/厚生年金!E50</f>
        <v>1.0433404857568993</v>
      </c>
      <c r="X21" s="207">
        <f>厚生年金!F21/厚生年金!F50</f>
        <v>0.96462956574766689</v>
      </c>
      <c r="Z21" s="207">
        <f>厚生年金!G21/厚生年金!G50</f>
        <v>0.99215442034625445</v>
      </c>
      <c r="AA21" s="207">
        <f>SUM(厚生年金!I21:J21)/SUM(厚生年金!I50:J50)</f>
        <v>0.95736362307345235</v>
      </c>
      <c r="AB21" s="207">
        <f>厚生年金!I21/厚生年金!I50</f>
        <v>0.95720616305831197</v>
      </c>
      <c r="AC21" s="207">
        <f>厚生年金!J21/厚生年金!J50</f>
        <v>0.9586438347360412</v>
      </c>
      <c r="AD21" s="207">
        <f>厚生年金!K21/厚生年金!K50</f>
        <v>1.0433404857568993</v>
      </c>
    </row>
    <row r="22" spans="1:30">
      <c r="A22" s="130">
        <v>2035</v>
      </c>
      <c r="B22" s="28">
        <v>13.402633282091591</v>
      </c>
      <c r="C22" s="28">
        <v>273.00271419398678</v>
      </c>
      <c r="D22" s="28">
        <v>20.246458222074445</v>
      </c>
      <c r="E22" s="28">
        <v>1925.8304615041661</v>
      </c>
      <c r="F22" s="28"/>
      <c r="G22" s="28">
        <v>15.356072379461379</v>
      </c>
      <c r="H22" s="28">
        <v>434.77932267732996</v>
      </c>
      <c r="I22" s="28">
        <v>39.198925934939965</v>
      </c>
      <c r="J22" s="28">
        <v>6516.2714198368958</v>
      </c>
      <c r="K22" s="28"/>
      <c r="L22" s="28"/>
      <c r="M22" s="28">
        <v>647</v>
      </c>
      <c r="O22" s="133">
        <f t="shared" si="0"/>
        <v>28.75870566155297</v>
      </c>
      <c r="P22" s="133">
        <f t="shared" si="1"/>
        <v>707.78203687131668</v>
      </c>
      <c r="Q22" s="133">
        <f t="shared" si="2"/>
        <v>59.445384157014409</v>
      </c>
      <c r="R22" s="133">
        <f t="shared" si="3"/>
        <v>9089.1018813410628</v>
      </c>
      <c r="U22" s="207">
        <f>厚生年金!C22/厚生年金!C51</f>
        <v>1.0445118910296951</v>
      </c>
      <c r="V22" s="207">
        <f>厚生年金!D22/厚生年金!D51</f>
        <v>1.040614804841824</v>
      </c>
      <c r="W22" s="207">
        <f>厚生年金!E22/厚生年金!E51</f>
        <v>1.0410139324459977</v>
      </c>
      <c r="X22" s="207">
        <f>厚生年金!F22/厚生年金!F51</f>
        <v>0.96225701539658881</v>
      </c>
      <c r="Z22" s="207">
        <f>厚生年金!G22/厚生年金!G51</f>
        <v>0.98967673938268386</v>
      </c>
      <c r="AA22" s="207">
        <f>SUM(厚生年金!I22:J22)/SUM(厚生年金!I51:J51)</f>
        <v>0.95499355202799985</v>
      </c>
      <c r="AB22" s="207">
        <f>厚生年金!I22/厚生年金!I51</f>
        <v>0.95480062340583538</v>
      </c>
      <c r="AC22" s="207">
        <f>厚生年金!J22/厚生年金!J51</f>
        <v>0.95662543480953444</v>
      </c>
      <c r="AD22" s="207">
        <f>厚生年金!K22/厚生年金!K51</f>
        <v>1.0410139324459977</v>
      </c>
    </row>
    <row r="23" spans="1:30">
      <c r="A23" s="130">
        <v>2036</v>
      </c>
      <c r="B23" s="28">
        <v>12.775357045141654</v>
      </c>
      <c r="C23" s="28">
        <v>224.38931989819255</v>
      </c>
      <c r="D23" s="28">
        <v>17.105224557245677</v>
      </c>
      <c r="E23" s="28">
        <v>1927.2214116023874</v>
      </c>
      <c r="F23" s="28"/>
      <c r="G23" s="28">
        <v>14.457407840125896</v>
      </c>
      <c r="H23" s="28">
        <v>350.30546107161433</v>
      </c>
      <c r="I23" s="28">
        <v>32.49191019910436</v>
      </c>
      <c r="J23" s="28">
        <v>6549.255277426123</v>
      </c>
      <c r="K23" s="28"/>
      <c r="L23" s="28"/>
      <c r="M23" s="28">
        <v>651.4</v>
      </c>
      <c r="O23" s="133">
        <f t="shared" si="0"/>
        <v>27.232764885267549</v>
      </c>
      <c r="P23" s="133">
        <f t="shared" si="1"/>
        <v>574.69478096980686</v>
      </c>
      <c r="Q23" s="133">
        <f t="shared" si="2"/>
        <v>49.597134756350037</v>
      </c>
      <c r="R23" s="133">
        <f t="shared" si="3"/>
        <v>9127.8766890285096</v>
      </c>
      <c r="U23" s="207">
        <f>厚生年金!C23/厚生年金!C52</f>
        <v>1.0470305264450435</v>
      </c>
      <c r="V23" s="207">
        <f>厚生年金!D23/厚生年金!D52</f>
        <v>1.0385608107454716</v>
      </c>
      <c r="W23" s="207">
        <f>厚生年金!E23/厚生年金!E52</f>
        <v>1.0388927936935348</v>
      </c>
      <c r="X23" s="207">
        <f>厚生年金!F23/厚生年金!F52</f>
        <v>0.9600151980456102</v>
      </c>
      <c r="Z23" s="207">
        <f>厚生年金!G23/厚生年金!G52</f>
        <v>0.9873525516341537</v>
      </c>
      <c r="AA23" s="207">
        <f>SUM(厚生年金!I23:J23)/SUM(厚生年金!I52:J52)</f>
        <v>0.95274805696299059</v>
      </c>
      <c r="AB23" s="207">
        <f>厚生年金!I23/厚生年金!I52</f>
        <v>0.95252086202035724</v>
      </c>
      <c r="AC23" s="207">
        <f>厚生年金!J23/厚生年金!J52</f>
        <v>0.95474788529308352</v>
      </c>
      <c r="AD23" s="207">
        <f>厚生年金!K23/厚生年金!K52</f>
        <v>1.0388927936935348</v>
      </c>
    </row>
    <row r="24" spans="1:30">
      <c r="A24" s="130">
        <v>2037</v>
      </c>
      <c r="B24" s="28">
        <v>12.154525511546415</v>
      </c>
      <c r="C24" s="28">
        <v>182.1742585790472</v>
      </c>
      <c r="D24" s="28">
        <v>14.310915287084754</v>
      </c>
      <c r="E24" s="28">
        <v>1929.923250798631</v>
      </c>
      <c r="F24" s="28"/>
      <c r="G24" s="28">
        <v>13.538717170280979</v>
      </c>
      <c r="H24" s="28">
        <v>280.63427782990453</v>
      </c>
      <c r="I24" s="28">
        <v>26.663426082124516</v>
      </c>
      <c r="J24" s="28">
        <v>6560.7086217150454</v>
      </c>
      <c r="K24" s="28"/>
      <c r="L24" s="28"/>
      <c r="M24" s="28">
        <v>655.8</v>
      </c>
      <c r="O24" s="133">
        <f t="shared" si="0"/>
        <v>25.693242681827392</v>
      </c>
      <c r="P24" s="133">
        <f t="shared" si="1"/>
        <v>462.80853640895174</v>
      </c>
      <c r="Q24" s="133">
        <f t="shared" si="2"/>
        <v>40.97434136920927</v>
      </c>
      <c r="R24" s="133">
        <f t="shared" si="3"/>
        <v>9146.4318725136764</v>
      </c>
      <c r="U24" s="207">
        <f>厚生年金!C24/厚生年金!C53</f>
        <v>1.0491114777820565</v>
      </c>
      <c r="V24" s="207">
        <f>厚生年金!D24/厚生年金!D53</f>
        <v>1.0367488401216902</v>
      </c>
      <c r="W24" s="207">
        <f>厚生年金!E24/厚生年金!E53</f>
        <v>1.0370240480841357</v>
      </c>
      <c r="X24" s="207">
        <f>厚生年金!F24/厚生年金!F53</f>
        <v>0.95800219626049699</v>
      </c>
      <c r="Z24" s="207">
        <f>厚生年金!G24/厚生年金!G53</f>
        <v>0.98523004682914139</v>
      </c>
      <c r="AA24" s="207">
        <f>SUM(厚生年金!I24:J24)/SUM(厚生年金!I53:J53)</f>
        <v>0.95072532188421777</v>
      </c>
      <c r="AB24" s="207">
        <f>厚生年金!I24/厚生年金!I53</f>
        <v>0.95047086606317588</v>
      </c>
      <c r="AC24" s="207">
        <f>厚生年金!J24/厚生年金!J53</f>
        <v>0.95305717492361541</v>
      </c>
      <c r="AD24" s="207">
        <f>厚生年金!K24/厚生年金!K53</f>
        <v>1.0370240480841357</v>
      </c>
    </row>
    <row r="25" spans="1:30">
      <c r="A25" s="130">
        <v>2038</v>
      </c>
      <c r="B25" s="28">
        <v>11.558868407706065</v>
      </c>
      <c r="C25" s="28">
        <v>145.84504132665745</v>
      </c>
      <c r="D25" s="28">
        <v>11.827415875609031</v>
      </c>
      <c r="E25" s="28">
        <v>1930.305894283315</v>
      </c>
      <c r="F25" s="28"/>
      <c r="G25" s="28">
        <v>12.632313044596968</v>
      </c>
      <c r="H25" s="28">
        <v>222.9445933746056</v>
      </c>
      <c r="I25" s="28">
        <v>21.693511165355631</v>
      </c>
      <c r="J25" s="28">
        <v>6550.8933329160218</v>
      </c>
      <c r="K25" s="28"/>
      <c r="L25" s="28"/>
      <c r="M25" s="28">
        <v>660.19999999999993</v>
      </c>
      <c r="O25" s="133">
        <f t="shared" si="0"/>
        <v>24.191181452303034</v>
      </c>
      <c r="P25" s="133">
        <f t="shared" si="1"/>
        <v>368.78963470126303</v>
      </c>
      <c r="Q25" s="133">
        <f t="shared" si="2"/>
        <v>33.520927040964665</v>
      </c>
      <c r="R25" s="133">
        <f t="shared" si="3"/>
        <v>9141.3992271993375</v>
      </c>
      <c r="U25" s="207">
        <f>厚生年金!C25/厚生年金!C54</f>
        <v>1.0508393317978082</v>
      </c>
      <c r="V25" s="207">
        <f>厚生年金!D25/厚生年金!D54</f>
        <v>1.0351062672713172</v>
      </c>
      <c r="W25" s="207">
        <f>厚生年金!E25/厚生年金!E54</f>
        <v>1.0353328919652589</v>
      </c>
      <c r="X25" s="207">
        <f>厚生年金!F25/厚生年金!F54</f>
        <v>0.9560412301207265</v>
      </c>
      <c r="Z25" s="207">
        <f>厚生年金!G25/厚生年金!G54</f>
        <v>0.98319702169545098</v>
      </c>
      <c r="AA25" s="207">
        <f>SUM(厚生年金!I25:J25)/SUM(厚生年金!I54:J54)</f>
        <v>0.9487530609008179</v>
      </c>
      <c r="AB25" s="207">
        <f>厚生年金!I25/厚生年金!I54</f>
        <v>0.94846362842506493</v>
      </c>
      <c r="AC25" s="207">
        <f>厚生年金!J25/厚生年金!J54</f>
        <v>0.95151325399276376</v>
      </c>
      <c r="AD25" s="207">
        <f>厚生年金!K25/厚生年金!K54</f>
        <v>1.0353328919652589</v>
      </c>
    </row>
    <row r="26" spans="1:30">
      <c r="A26" s="130">
        <v>2039</v>
      </c>
      <c r="B26" s="28">
        <v>10.974780934002952</v>
      </c>
      <c r="C26" s="28">
        <v>115.83774195315078</v>
      </c>
      <c r="D26" s="28">
        <v>9.7192946983448802</v>
      </c>
      <c r="E26" s="28">
        <v>1926.2785556323479</v>
      </c>
      <c r="F26" s="28"/>
      <c r="G26" s="28">
        <v>11.752378371245495</v>
      </c>
      <c r="H26" s="28">
        <v>175.71381818428554</v>
      </c>
      <c r="I26" s="28">
        <v>17.488104886275536</v>
      </c>
      <c r="J26" s="28">
        <v>6507.6481142227349</v>
      </c>
      <c r="K26" s="28"/>
      <c r="L26" s="28"/>
      <c r="M26" s="28">
        <v>664.59999999999991</v>
      </c>
      <c r="O26" s="133">
        <f t="shared" si="0"/>
        <v>22.727159305248449</v>
      </c>
      <c r="P26" s="133">
        <f t="shared" si="1"/>
        <v>291.55156013743635</v>
      </c>
      <c r="Q26" s="133">
        <f t="shared" si="2"/>
        <v>27.207399584620418</v>
      </c>
      <c r="R26" s="133">
        <f t="shared" si="3"/>
        <v>9098.5266698550822</v>
      </c>
      <c r="U26" s="207">
        <f>厚生年金!C26/厚生年金!C55</f>
        <v>1.0522489161067776</v>
      </c>
      <c r="V26" s="207">
        <f>厚生年金!D26/厚生年金!D55</f>
        <v>1.0337289212552727</v>
      </c>
      <c r="W26" s="207">
        <f>厚生年金!E26/厚生年金!E55</f>
        <v>1.0339143163731028</v>
      </c>
      <c r="X26" s="207">
        <f>厚生年金!F26/厚生年金!F55</f>
        <v>0.95419246683101455</v>
      </c>
      <c r="Z26" s="207">
        <f>厚生年金!G26/厚生年金!G55</f>
        <v>0.9813303761942882</v>
      </c>
      <c r="AA26" s="207">
        <f>SUM(厚生年金!I26:J26)/SUM(厚生年金!I55:J55)</f>
        <v>0.94689112729986868</v>
      </c>
      <c r="AB26" s="207">
        <f>厚生年金!I26/厚生年金!I55</f>
        <v>0.94655407675360115</v>
      </c>
      <c r="AC26" s="207">
        <f>厚生年金!J26/厚生年金!J55</f>
        <v>0.95023830461859971</v>
      </c>
      <c r="AD26" s="207">
        <f>厚生年金!K26/厚生年金!K55</f>
        <v>1.0339143163731028</v>
      </c>
    </row>
    <row r="27" spans="1:30">
      <c r="A27" s="130">
        <v>2040</v>
      </c>
      <c r="B27" s="28">
        <v>10.405877058059891</v>
      </c>
      <c r="C27" s="28">
        <v>91.283611735480335</v>
      </c>
      <c r="D27" s="28">
        <v>7.9286278896391389</v>
      </c>
      <c r="E27" s="28">
        <v>1912.5865349476992</v>
      </c>
      <c r="F27" s="28"/>
      <c r="G27" s="28">
        <v>10.937350968842839</v>
      </c>
      <c r="H27" s="28">
        <v>137.52544113440484</v>
      </c>
      <c r="I27" s="28">
        <v>13.992998255704856</v>
      </c>
      <c r="J27" s="28">
        <v>6442.0333610572607</v>
      </c>
      <c r="K27" s="28"/>
      <c r="L27" s="28"/>
      <c r="M27" s="28">
        <v>669</v>
      </c>
      <c r="O27" s="133">
        <f t="shared" si="0"/>
        <v>21.343228026902729</v>
      </c>
      <c r="P27" s="133">
        <f t="shared" si="1"/>
        <v>228.80905286988519</v>
      </c>
      <c r="Q27" s="133">
        <f t="shared" si="2"/>
        <v>21.921626145343996</v>
      </c>
      <c r="R27" s="133">
        <f t="shared" si="3"/>
        <v>9023.6198960049605</v>
      </c>
      <c r="U27" s="207">
        <f>厚生年金!C27/厚生年金!C56</f>
        <v>1.0534803452125505</v>
      </c>
      <c r="V27" s="207">
        <f>厚生年金!D27/厚生年金!D56</f>
        <v>1.0325658647966953</v>
      </c>
      <c r="W27" s="207">
        <f>厚生年金!E27/厚生年金!E56</f>
        <v>1.0327167238648649</v>
      </c>
      <c r="X27" s="207">
        <f>厚生年金!F27/厚生年金!F56</f>
        <v>0.95241399832921914</v>
      </c>
      <c r="Z27" s="207">
        <f>厚生年金!G27/厚生年金!G56</f>
        <v>0.97957217183006462</v>
      </c>
      <c r="AA27" s="207">
        <f>SUM(厚生年金!I27:J27)/SUM(厚生年金!I56:J56)</f>
        <v>0.94508379409927035</v>
      </c>
      <c r="AB27" s="207">
        <f>厚生年金!I27/厚生年金!I56</f>
        <v>0.94468377715334451</v>
      </c>
      <c r="AC27" s="207">
        <f>厚生年金!J27/厚生年金!J56</f>
        <v>0.94922933075495386</v>
      </c>
      <c r="AD27" s="207">
        <f>厚生年金!K27/厚生年金!K56</f>
        <v>1.0327167238648649</v>
      </c>
    </row>
    <row r="29" spans="1:30">
      <c r="A29" s="128" t="s">
        <v>177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30">
      <c r="B30" s="134" t="s">
        <v>164</v>
      </c>
      <c r="C30" s="27"/>
      <c r="D30" s="27"/>
      <c r="E30" s="27"/>
      <c r="F30" s="27"/>
      <c r="G30" s="134" t="s">
        <v>165</v>
      </c>
      <c r="H30" s="27"/>
      <c r="I30" s="27"/>
      <c r="J30" s="27"/>
      <c r="K30" s="27"/>
      <c r="L30" s="134" t="s">
        <v>136</v>
      </c>
      <c r="M30" s="27"/>
      <c r="O30" s="128" t="s">
        <v>142</v>
      </c>
    </row>
    <row r="31" spans="1:30">
      <c r="B31" s="134" t="s">
        <v>115</v>
      </c>
      <c r="C31" s="134" t="s">
        <v>116</v>
      </c>
      <c r="D31" s="134"/>
      <c r="E31" s="134" t="s">
        <v>117</v>
      </c>
      <c r="F31" s="27"/>
      <c r="G31" s="134" t="s">
        <v>115</v>
      </c>
      <c r="H31" s="134" t="s">
        <v>116</v>
      </c>
      <c r="I31" s="134"/>
      <c r="J31" s="134" t="s">
        <v>117</v>
      </c>
      <c r="K31" s="27"/>
      <c r="L31" s="134"/>
      <c r="M31" s="134" t="s">
        <v>117</v>
      </c>
      <c r="O31" s="134" t="s">
        <v>115</v>
      </c>
      <c r="P31" s="134" t="s">
        <v>116</v>
      </c>
      <c r="Q31" s="134"/>
      <c r="R31" s="134" t="s">
        <v>117</v>
      </c>
    </row>
    <row r="32" spans="1:30" s="129" customFormat="1">
      <c r="A32" s="129" t="s">
        <v>110</v>
      </c>
      <c r="B32" s="135" t="s">
        <v>111</v>
      </c>
      <c r="C32" s="135"/>
      <c r="D32" s="135" t="s">
        <v>166</v>
      </c>
      <c r="E32" s="135" t="s">
        <v>111</v>
      </c>
      <c r="G32" s="135" t="s">
        <v>111</v>
      </c>
      <c r="H32" s="135"/>
      <c r="I32" s="135" t="s">
        <v>166</v>
      </c>
      <c r="J32" s="135" t="s">
        <v>111</v>
      </c>
      <c r="K32" s="131"/>
      <c r="L32" s="135"/>
      <c r="M32" s="135" t="s">
        <v>111</v>
      </c>
      <c r="O32" s="135" t="s">
        <v>111</v>
      </c>
      <c r="P32" s="135"/>
      <c r="Q32" s="135" t="s">
        <v>166</v>
      </c>
      <c r="R32" s="135" t="s">
        <v>111</v>
      </c>
    </row>
    <row r="33" spans="1:18">
      <c r="A33" s="130">
        <v>2018</v>
      </c>
      <c r="B33" s="28">
        <v>24.995369597897287</v>
      </c>
      <c r="C33" s="28">
        <v>1952.0873300000001</v>
      </c>
      <c r="D33" s="28">
        <v>124.24212821446544</v>
      </c>
      <c r="E33" s="28">
        <v>1669.0472916397944</v>
      </c>
      <c r="F33" s="28"/>
      <c r="G33" s="28">
        <v>34.812762498353031</v>
      </c>
      <c r="H33" s="28">
        <v>4721.9443668308732</v>
      </c>
      <c r="I33" s="28">
        <v>344.24953645091091</v>
      </c>
      <c r="J33" s="28">
        <v>5252.8066323688454</v>
      </c>
      <c r="K33" s="28"/>
      <c r="L33" s="28"/>
      <c r="M33" s="28">
        <v>343.83069</v>
      </c>
      <c r="O33" s="133">
        <v>59.808132096250318</v>
      </c>
      <c r="P33" s="133">
        <v>6674.0316968308734</v>
      </c>
      <c r="Q33" s="133">
        <v>468.49166466537633</v>
      </c>
      <c r="R33" s="133">
        <v>7265.6846140086391</v>
      </c>
    </row>
    <row r="34" spans="1:18">
      <c r="A34" s="130">
        <v>2019</v>
      </c>
      <c r="B34" s="28">
        <f>B6*$U6*(B$33/B$5/$U$5)</f>
        <v>24.035272801369839</v>
      </c>
      <c r="C34" s="28">
        <f>C6*$Z6*(C$33/C$5/$Z$5)</f>
        <v>1817.3879006734724</v>
      </c>
      <c r="D34" s="28">
        <f>D6*$Z6*(D$33/D$5/$Z$5)</f>
        <v>114.72131713058523</v>
      </c>
      <c r="E34" s="28">
        <f>E6*$AA6*(E$33/E$5/$AA$5)</f>
        <v>1641.6014976088511</v>
      </c>
      <c r="F34" s="28"/>
      <c r="G34" s="28">
        <f>G6*$U6*(G$33/G$5/$U$5)</f>
        <v>33.388742307058948</v>
      </c>
      <c r="H34" s="28">
        <f>H6*$Z6*(H$33/H$5/$Z$5)</f>
        <v>4354.2680547548189</v>
      </c>
      <c r="I34" s="28">
        <f>I6*$Z6*(I$33/I$5/$Z$5)</f>
        <v>315.82462825461306</v>
      </c>
      <c r="J34" s="28">
        <f>J6*$AA6*(J$33/J$5/$AA$5)</f>
        <v>5315.4969473467499</v>
      </c>
      <c r="K34" s="28"/>
      <c r="L34" s="28"/>
      <c r="M34" s="28">
        <f>M6*$AA6*(M$33/M$5/$AA$5)</f>
        <v>353.276051627659</v>
      </c>
      <c r="O34" s="133">
        <f t="shared" ref="O34:O55" si="4">B34+G34</f>
        <v>57.42401510842879</v>
      </c>
      <c r="P34" s="133">
        <f t="shared" ref="P34:P55" si="5">C34+H34</f>
        <v>6171.6559554282912</v>
      </c>
      <c r="Q34" s="133">
        <f t="shared" ref="Q34:Q55" si="6">D34+I34</f>
        <v>430.54594538519831</v>
      </c>
      <c r="R34" s="133">
        <f t="shared" ref="R34:R55" si="7">E34+J34+M34</f>
        <v>7310.3744965832602</v>
      </c>
    </row>
    <row r="35" spans="1:18">
      <c r="A35" s="130">
        <v>2020</v>
      </c>
      <c r="B35" s="28">
        <f t="shared" ref="B35:B55" si="8">B7*$U7*(B$33/B$5/$U$5)</f>
        <v>23.251005701903647</v>
      </c>
      <c r="C35" s="28">
        <f t="shared" ref="C35:D35" si="9">C7*$Z7*(C$33/C$5/$Z$5)</f>
        <v>1694.5103464300516</v>
      </c>
      <c r="D35" s="28">
        <f t="shared" si="9"/>
        <v>106.26445412712188</v>
      </c>
      <c r="E35" s="28">
        <f t="shared" ref="E35:E55" si="10">E7*$AA7*(E$33/E$5/$AA$5)</f>
        <v>1665.4426600779914</v>
      </c>
      <c r="F35" s="28"/>
      <c r="G35" s="28">
        <f t="shared" ref="G35:G55" si="11">G7*$U7*(G$33/G$5/$U$5)</f>
        <v>31.88036486658163</v>
      </c>
      <c r="H35" s="28">
        <f t="shared" ref="H35:I35" si="12">H7*$Z7*(H$33/H$5/$Z$5)</f>
        <v>3975.6152566905148</v>
      </c>
      <c r="I35" s="28">
        <f t="shared" si="12"/>
        <v>287.47256986195509</v>
      </c>
      <c r="J35" s="28">
        <f t="shared" ref="J35:J55" si="13">J7*$AA7*(J$33/J$5/$AA$5)</f>
        <v>5343.2542864590532</v>
      </c>
      <c r="K35" s="28"/>
      <c r="L35" s="28"/>
      <c r="M35" s="28">
        <f t="shared" ref="M35:M55" si="14">M7*$AA7*(M$33/M$5/$AA$5)</f>
        <v>373.83821173369159</v>
      </c>
      <c r="O35" s="133">
        <f t="shared" si="4"/>
        <v>55.131370568485281</v>
      </c>
      <c r="P35" s="133">
        <f t="shared" si="5"/>
        <v>5670.1256031205667</v>
      </c>
      <c r="Q35" s="133">
        <f t="shared" si="6"/>
        <v>393.73702398907699</v>
      </c>
      <c r="R35" s="133">
        <f t="shared" si="7"/>
        <v>7382.5351582707362</v>
      </c>
    </row>
    <row r="36" spans="1:18">
      <c r="A36" s="130">
        <v>2021</v>
      </c>
      <c r="B36" s="28">
        <f t="shared" si="8"/>
        <v>22.431681191384815</v>
      </c>
      <c r="C36" s="28">
        <f t="shared" ref="C36:D36" si="15">C8*$Z8*(C$33/C$5/$Z$5)</f>
        <v>1571.0557184371194</v>
      </c>
      <c r="D36" s="28">
        <f t="shared" si="15"/>
        <v>98.058704926001496</v>
      </c>
      <c r="E36" s="28">
        <f t="shared" si="10"/>
        <v>1694.9198685978431</v>
      </c>
      <c r="F36" s="28"/>
      <c r="G36" s="28">
        <f t="shared" si="11"/>
        <v>30.52028248683931</v>
      </c>
      <c r="H36" s="28">
        <f t="shared" ref="H36:I36" si="16">H8*$Z8*(H$33/H$5/$Z$5)</f>
        <v>3624.5402668506831</v>
      </c>
      <c r="I36" s="28">
        <f t="shared" si="16"/>
        <v>262.27339513655659</v>
      </c>
      <c r="J36" s="28">
        <f t="shared" si="13"/>
        <v>5507.8815112932953</v>
      </c>
      <c r="K36" s="28"/>
      <c r="L36" s="28"/>
      <c r="M36" s="28">
        <f t="shared" si="14"/>
        <v>396.58912294925744</v>
      </c>
      <c r="O36" s="133">
        <f t="shared" si="4"/>
        <v>52.951963678224125</v>
      </c>
      <c r="P36" s="133">
        <f t="shared" si="5"/>
        <v>5195.5959852878023</v>
      </c>
      <c r="Q36" s="133">
        <f t="shared" si="6"/>
        <v>360.33210006255808</v>
      </c>
      <c r="R36" s="133">
        <f t="shared" si="7"/>
        <v>7599.3905028403951</v>
      </c>
    </row>
    <row r="37" spans="1:18">
      <c r="A37" s="130">
        <v>2022</v>
      </c>
      <c r="B37" s="28">
        <f t="shared" si="8"/>
        <v>21.556410511538889</v>
      </c>
      <c r="C37" s="28">
        <f t="shared" ref="C37:D37" si="17">C9*$Z9*(C$33/C$5/$Z$5)</f>
        <v>1443.5478061500814</v>
      </c>
      <c r="D37" s="28">
        <f t="shared" si="17"/>
        <v>89.854855102502896</v>
      </c>
      <c r="E37" s="28">
        <f t="shared" si="10"/>
        <v>1671.2502748763227</v>
      </c>
      <c r="F37" s="28"/>
      <c r="G37" s="28">
        <f t="shared" si="11"/>
        <v>29.305472835520394</v>
      </c>
      <c r="H37" s="28">
        <f t="shared" ref="H37:I37" si="18">H9*$Z9*(H$33/H$5/$Z$5)</f>
        <v>3292.4162030066846</v>
      </c>
      <c r="I37" s="28">
        <f t="shared" si="18"/>
        <v>239.13198500458361</v>
      </c>
      <c r="J37" s="28">
        <f t="shared" si="13"/>
        <v>5591.5816999804274</v>
      </c>
      <c r="K37" s="28"/>
      <c r="L37" s="28"/>
      <c r="M37" s="28">
        <f t="shared" si="14"/>
        <v>410.93561372576846</v>
      </c>
      <c r="O37" s="133">
        <f t="shared" si="4"/>
        <v>50.861883347059283</v>
      </c>
      <c r="P37" s="133">
        <f t="shared" si="5"/>
        <v>4735.9640091567662</v>
      </c>
      <c r="Q37" s="133">
        <f t="shared" si="6"/>
        <v>328.98684010708649</v>
      </c>
      <c r="R37" s="133">
        <f t="shared" si="7"/>
        <v>7673.7675885825183</v>
      </c>
    </row>
    <row r="38" spans="1:18">
      <c r="A38" s="130">
        <v>2023</v>
      </c>
      <c r="B38" s="28">
        <f t="shared" si="8"/>
        <v>20.672118110093006</v>
      </c>
      <c r="C38" s="28">
        <f t="shared" ref="C38:D38" si="19">C10*$Z10*(C$33/C$5/$Z$5)</f>
        <v>1315.0387495475386</v>
      </c>
      <c r="D38" s="28">
        <f t="shared" si="19"/>
        <v>81.831986932464972</v>
      </c>
      <c r="E38" s="28">
        <f t="shared" si="10"/>
        <v>1694.0836921733685</v>
      </c>
      <c r="F38" s="28"/>
      <c r="G38" s="28">
        <f t="shared" si="11"/>
        <v>27.755410879943547</v>
      </c>
      <c r="H38" s="28">
        <f t="shared" ref="H38:I38" si="20">H10*$Z10*(H$33/H$5/$Z$5)</f>
        <v>2929.9785564587455</v>
      </c>
      <c r="I38" s="28">
        <f t="shared" si="20"/>
        <v>213.86254588995769</v>
      </c>
      <c r="J38" s="28">
        <f t="shared" si="13"/>
        <v>5593.9763463730596</v>
      </c>
      <c r="K38" s="28"/>
      <c r="L38" s="28"/>
      <c r="M38" s="28">
        <f t="shared" si="14"/>
        <v>430.72900604207587</v>
      </c>
      <c r="O38" s="133">
        <f t="shared" si="4"/>
        <v>48.427528990036549</v>
      </c>
      <c r="P38" s="133">
        <f t="shared" si="5"/>
        <v>4245.0173060062843</v>
      </c>
      <c r="Q38" s="133">
        <f t="shared" si="6"/>
        <v>295.69453282242267</v>
      </c>
      <c r="R38" s="133">
        <f t="shared" si="7"/>
        <v>7718.7890445885032</v>
      </c>
    </row>
    <row r="39" spans="1:18">
      <c r="A39" s="130">
        <v>2024</v>
      </c>
      <c r="B39" s="28">
        <f t="shared" si="8"/>
        <v>19.825807523353486</v>
      </c>
      <c r="C39" s="28">
        <f t="shared" ref="C39:D39" si="21">C11*$Z11*(C$33/C$5/$Z$5)</f>
        <v>1189.8325581543847</v>
      </c>
      <c r="D39" s="28">
        <f t="shared" si="21"/>
        <v>74.14088823811538</v>
      </c>
      <c r="E39" s="28">
        <f t="shared" si="10"/>
        <v>1713.5159116319057</v>
      </c>
      <c r="F39" s="28"/>
      <c r="G39" s="28">
        <f t="shared" si="11"/>
        <v>26.355317604974594</v>
      </c>
      <c r="H39" s="28">
        <f t="shared" ref="H39:I39" si="22">H11*$Z11*(H$33/H$5/$Z$5)</f>
        <v>2593.4853745710197</v>
      </c>
      <c r="I39" s="28">
        <f t="shared" si="22"/>
        <v>190.71318515062913</v>
      </c>
      <c r="J39" s="28">
        <f t="shared" si="13"/>
        <v>5701.3136460703226</v>
      </c>
      <c r="K39" s="28"/>
      <c r="L39" s="28"/>
      <c r="M39" s="28">
        <f t="shared" si="14"/>
        <v>451.9406560480794</v>
      </c>
      <c r="O39" s="133">
        <f t="shared" si="4"/>
        <v>46.181125128328077</v>
      </c>
      <c r="P39" s="133">
        <f t="shared" si="5"/>
        <v>3783.3179327254047</v>
      </c>
      <c r="Q39" s="133">
        <f t="shared" si="6"/>
        <v>264.8540733887445</v>
      </c>
      <c r="R39" s="133">
        <f t="shared" si="7"/>
        <v>7866.7702137503074</v>
      </c>
    </row>
    <row r="40" spans="1:18">
      <c r="A40" s="130">
        <v>2025</v>
      </c>
      <c r="B40" s="28">
        <f t="shared" si="8"/>
        <v>19.036942011454403</v>
      </c>
      <c r="C40" s="28">
        <f t="shared" ref="C40:D40" si="23">C12*$Z12*(C$33/C$5/$Z$5)</f>
        <v>1068.3426923313989</v>
      </c>
      <c r="D40" s="28">
        <f t="shared" si="23"/>
        <v>66.855716996359178</v>
      </c>
      <c r="E40" s="28">
        <f t="shared" si="10"/>
        <v>1679.9267065899583</v>
      </c>
      <c r="F40" s="28"/>
      <c r="G40" s="28">
        <f t="shared" si="11"/>
        <v>25.122409174321266</v>
      </c>
      <c r="H40" s="28">
        <f t="shared" ref="H40:I40" si="24">H12*$Z12*(H$33/H$5/$Z$5)</f>
        <v>2289.1210658575033</v>
      </c>
      <c r="I40" s="28">
        <f t="shared" si="24"/>
        <v>169.89074174086417</v>
      </c>
      <c r="J40" s="28">
        <f t="shared" si="13"/>
        <v>5731.8509929904185</v>
      </c>
      <c r="K40" s="28"/>
      <c r="L40" s="28"/>
      <c r="M40" s="28">
        <f t="shared" si="14"/>
        <v>460.3390434299904</v>
      </c>
      <c r="O40" s="133">
        <f t="shared" si="4"/>
        <v>44.15935118577567</v>
      </c>
      <c r="P40" s="133">
        <f t="shared" si="5"/>
        <v>3357.4637581889019</v>
      </c>
      <c r="Q40" s="133">
        <f t="shared" si="6"/>
        <v>236.74645873722335</v>
      </c>
      <c r="R40" s="133">
        <f t="shared" si="7"/>
        <v>7872.1167430103669</v>
      </c>
    </row>
    <row r="41" spans="1:18">
      <c r="A41" s="130">
        <v>2026</v>
      </c>
      <c r="B41" s="28">
        <f t="shared" si="8"/>
        <v>18.253525028469241</v>
      </c>
      <c r="C41" s="28">
        <f t="shared" ref="C41:D41" si="25">C13*$Z13*(C$33/C$5/$Z$5)</f>
        <v>951.54532027421999</v>
      </c>
      <c r="D41" s="28">
        <f t="shared" si="25"/>
        <v>59.904509832566873</v>
      </c>
      <c r="E41" s="28">
        <f t="shared" si="10"/>
        <v>1693.2647322063629</v>
      </c>
      <c r="F41" s="28"/>
      <c r="G41" s="28">
        <f t="shared" si="11"/>
        <v>23.676688755822973</v>
      </c>
      <c r="H41" s="28">
        <f t="shared" ref="H41:I41" si="26">H13*$Z13*(H$33/H$5/$Z$5)</f>
        <v>1983.9919497458397</v>
      </c>
      <c r="I41" s="28">
        <f t="shared" si="26"/>
        <v>148.80784740869998</v>
      </c>
      <c r="J41" s="28">
        <f t="shared" si="13"/>
        <v>5687.3118942150822</v>
      </c>
      <c r="K41" s="28"/>
      <c r="L41" s="28"/>
      <c r="M41" s="28">
        <f t="shared" si="14"/>
        <v>475.04713121952784</v>
      </c>
      <c r="O41" s="133">
        <f t="shared" si="4"/>
        <v>41.930213784292214</v>
      </c>
      <c r="P41" s="133">
        <f t="shared" si="5"/>
        <v>2935.5372700200596</v>
      </c>
      <c r="Q41" s="133">
        <f t="shared" si="6"/>
        <v>208.71235724126686</v>
      </c>
      <c r="R41" s="133">
        <f t="shared" si="7"/>
        <v>7855.6237576409731</v>
      </c>
    </row>
    <row r="42" spans="1:18">
      <c r="A42" s="130">
        <v>2027</v>
      </c>
      <c r="B42" s="28">
        <f t="shared" si="8"/>
        <v>17.569573644701258</v>
      </c>
      <c r="C42" s="28">
        <f t="shared" ref="C42:D42" si="27">C14*$Z14*(C$33/C$5/$Z$5)</f>
        <v>844.98821803910232</v>
      </c>
      <c r="D42" s="28">
        <f t="shared" si="27"/>
        <v>53.704220189801269</v>
      </c>
      <c r="E42" s="28">
        <f t="shared" si="10"/>
        <v>1716.6494006096791</v>
      </c>
      <c r="F42" s="28"/>
      <c r="G42" s="28">
        <f t="shared" si="11"/>
        <v>22.452228423717482</v>
      </c>
      <c r="H42" s="28">
        <f t="shared" ref="H42:I42" si="28">H14*$Z14*(H$33/H$5/$Z$5)</f>
        <v>1719.801836150604</v>
      </c>
      <c r="I42" s="28">
        <f t="shared" si="28"/>
        <v>130.87249128036476</v>
      </c>
      <c r="J42" s="28">
        <f t="shared" si="13"/>
        <v>5784.0112390330087</v>
      </c>
      <c r="K42" s="28"/>
      <c r="L42" s="28"/>
      <c r="M42" s="28">
        <f t="shared" si="14"/>
        <v>490.37543008580406</v>
      </c>
      <c r="O42" s="133">
        <f t="shared" si="4"/>
        <v>40.021802068418737</v>
      </c>
      <c r="P42" s="133">
        <f t="shared" si="5"/>
        <v>2564.7900541897061</v>
      </c>
      <c r="Q42" s="133">
        <f t="shared" si="6"/>
        <v>184.57671147016603</v>
      </c>
      <c r="R42" s="133">
        <f t="shared" si="7"/>
        <v>7991.0360697284923</v>
      </c>
    </row>
    <row r="43" spans="1:18">
      <c r="A43" s="130">
        <v>2028</v>
      </c>
      <c r="B43" s="28">
        <f t="shared" si="8"/>
        <v>16.937370540481087</v>
      </c>
      <c r="C43" s="28">
        <f t="shared" ref="C43:D43" si="29">C15*$Z15*(C$33/C$5/$Z$5)</f>
        <v>745.64928563640922</v>
      </c>
      <c r="D43" s="28">
        <f t="shared" si="29"/>
        <v>47.961949551509157</v>
      </c>
      <c r="E43" s="28">
        <f t="shared" si="10"/>
        <v>1739.3146681944902</v>
      </c>
      <c r="F43" s="28"/>
      <c r="G43" s="28">
        <f t="shared" si="11"/>
        <v>21.257863549703956</v>
      </c>
      <c r="H43" s="28">
        <f t="shared" ref="H43:I43" si="30">H15*$Z15*(H$33/H$5/$Z$5)</f>
        <v>1481.9737032770406</v>
      </c>
      <c r="I43" s="28">
        <f t="shared" si="30"/>
        <v>114.53526564500237</v>
      </c>
      <c r="J43" s="28">
        <f t="shared" si="13"/>
        <v>5871.2242336021027</v>
      </c>
      <c r="K43" s="28"/>
      <c r="L43" s="28"/>
      <c r="M43" s="28">
        <f t="shared" si="14"/>
        <v>504.15541309272334</v>
      </c>
      <c r="O43" s="133">
        <f t="shared" si="4"/>
        <v>38.195234090185039</v>
      </c>
      <c r="P43" s="133">
        <f t="shared" si="5"/>
        <v>2227.6229889134497</v>
      </c>
      <c r="Q43" s="133">
        <f t="shared" si="6"/>
        <v>162.49721519651152</v>
      </c>
      <c r="R43" s="133">
        <f t="shared" si="7"/>
        <v>8114.694314889316</v>
      </c>
    </row>
    <row r="44" spans="1:18">
      <c r="A44" s="130">
        <v>2029</v>
      </c>
      <c r="B44" s="28">
        <f t="shared" si="8"/>
        <v>16.386883648207554</v>
      </c>
      <c r="C44" s="28">
        <f t="shared" ref="C44:D44" si="31">C16*$Z16*(C$33/C$5/$Z$5)</f>
        <v>652.77673200152185</v>
      </c>
      <c r="D44" s="28">
        <f t="shared" si="31"/>
        <v>42.58298207500949</v>
      </c>
      <c r="E44" s="28">
        <f t="shared" si="10"/>
        <v>1759.5006338785092</v>
      </c>
      <c r="F44" s="28"/>
      <c r="G44" s="28">
        <f t="shared" si="11"/>
        <v>20.127227830517857</v>
      </c>
      <c r="H44" s="28">
        <f t="shared" ref="H44:I44" si="32">H16*$Z16*(H$33/H$5/$Z$5)</f>
        <v>1266.4235237638661</v>
      </c>
      <c r="I44" s="28">
        <f t="shared" si="32"/>
        <v>99.528766703087825</v>
      </c>
      <c r="J44" s="28">
        <f t="shared" si="13"/>
        <v>5944.0827993601915</v>
      </c>
      <c r="K44" s="28"/>
      <c r="L44" s="28"/>
      <c r="M44" s="28">
        <f t="shared" si="14"/>
        <v>517.95558500512107</v>
      </c>
      <c r="O44" s="133">
        <f t="shared" si="4"/>
        <v>36.514111478725411</v>
      </c>
      <c r="P44" s="133">
        <f t="shared" si="5"/>
        <v>1919.200255765388</v>
      </c>
      <c r="Q44" s="133">
        <f t="shared" si="6"/>
        <v>142.11174877809731</v>
      </c>
      <c r="R44" s="133">
        <f t="shared" si="7"/>
        <v>8221.5390182438205</v>
      </c>
    </row>
    <row r="45" spans="1:18">
      <c r="A45" s="130">
        <v>2030</v>
      </c>
      <c r="B45" s="28">
        <f t="shared" si="8"/>
        <v>15.826712207622538</v>
      </c>
      <c r="C45" s="28">
        <f t="shared" ref="C45:D45" si="33">C17*$Z17*(C$33/C$5/$Z$5)</f>
        <v>566.03740059290499</v>
      </c>
      <c r="D45" s="28">
        <f t="shared" si="33"/>
        <v>37.577481657653621</v>
      </c>
      <c r="E45" s="28">
        <f t="shared" si="10"/>
        <v>1772.8712512555783</v>
      </c>
      <c r="F45" s="28"/>
      <c r="G45" s="28">
        <f t="shared" si="11"/>
        <v>19.073370233077721</v>
      </c>
      <c r="H45" s="28">
        <f t="shared" ref="H45:I45" si="34">H17*$Z17*(H$33/H$5/$Z$5)</f>
        <v>1073.1699564191733</v>
      </c>
      <c r="I45" s="28">
        <f t="shared" si="34"/>
        <v>85.897574039662445</v>
      </c>
      <c r="J45" s="28">
        <f t="shared" si="13"/>
        <v>6007.295067526924</v>
      </c>
      <c r="K45" s="28"/>
      <c r="L45" s="28"/>
      <c r="M45" s="28">
        <f t="shared" si="14"/>
        <v>529.97030747861879</v>
      </c>
      <c r="O45" s="133">
        <f t="shared" si="4"/>
        <v>34.90008244070026</v>
      </c>
      <c r="P45" s="133">
        <f t="shared" si="5"/>
        <v>1639.2073570120783</v>
      </c>
      <c r="Q45" s="133">
        <f t="shared" si="6"/>
        <v>123.47505569731607</v>
      </c>
      <c r="R45" s="133">
        <f t="shared" si="7"/>
        <v>8310.1366262611209</v>
      </c>
    </row>
    <row r="46" spans="1:18">
      <c r="A46" s="130">
        <v>2031</v>
      </c>
      <c r="B46" s="28">
        <f t="shared" si="8"/>
        <v>15.262510610167514</v>
      </c>
      <c r="C46" s="28">
        <f t="shared" ref="C46:D46" si="35">C18*$Z18*(C$33/C$5/$Z$5)</f>
        <v>486.15619959917092</v>
      </c>
      <c r="D46" s="28">
        <f t="shared" si="35"/>
        <v>32.878353693977083</v>
      </c>
      <c r="E46" s="28">
        <f t="shared" si="10"/>
        <v>1780.3073303862341</v>
      </c>
      <c r="F46" s="28"/>
      <c r="G46" s="28">
        <f t="shared" si="11"/>
        <v>18.125726731976702</v>
      </c>
      <c r="H46" s="28">
        <f t="shared" ref="H46:I46" si="36">H18*$Z18*(H$33/H$5/$Z$5)</f>
        <v>902.46920308640279</v>
      </c>
      <c r="I46" s="28">
        <f t="shared" si="36"/>
        <v>73.666404474575003</v>
      </c>
      <c r="J46" s="28">
        <f t="shared" si="13"/>
        <v>6051.4458655643857</v>
      </c>
      <c r="K46" s="28"/>
      <c r="L46" s="28"/>
      <c r="M46" s="28">
        <f t="shared" si="14"/>
        <v>538.64629072588332</v>
      </c>
      <c r="O46" s="133">
        <f t="shared" si="4"/>
        <v>33.388237342144215</v>
      </c>
      <c r="P46" s="133">
        <f t="shared" si="5"/>
        <v>1388.6254026855736</v>
      </c>
      <c r="Q46" s="133">
        <f t="shared" si="6"/>
        <v>106.54475816855208</v>
      </c>
      <c r="R46" s="133">
        <f t="shared" si="7"/>
        <v>8370.3994866765024</v>
      </c>
    </row>
    <row r="47" spans="1:18">
      <c r="A47" s="130">
        <v>2032</v>
      </c>
      <c r="B47" s="28">
        <f t="shared" si="8"/>
        <v>14.68253214412891</v>
      </c>
      <c r="C47" s="28">
        <f t="shared" ref="C47:D47" si="37">C19*$Z19*(C$33/C$5/$Z$5)</f>
        <v>414.00540766365856</v>
      </c>
      <c r="D47" s="28">
        <f t="shared" si="37"/>
        <v>28.575798427751103</v>
      </c>
      <c r="E47" s="28">
        <f t="shared" si="10"/>
        <v>1789.9389705381163</v>
      </c>
      <c r="F47" s="28"/>
      <c r="G47" s="28">
        <f t="shared" si="11"/>
        <v>17.153180533431989</v>
      </c>
      <c r="H47" s="28">
        <f t="shared" ref="H47:I47" si="38">H19*$Z19*(H$33/H$5/$Z$5)</f>
        <v>751.5110314238816</v>
      </c>
      <c r="I47" s="28">
        <f t="shared" si="38"/>
        <v>62.626606159526574</v>
      </c>
      <c r="J47" s="28">
        <f t="shared" si="13"/>
        <v>6077.7713202984796</v>
      </c>
      <c r="K47" s="28"/>
      <c r="L47" s="28"/>
      <c r="M47" s="28">
        <f t="shared" si="14"/>
        <v>547.35567786217996</v>
      </c>
      <c r="O47" s="133">
        <f t="shared" si="4"/>
        <v>31.835712677560899</v>
      </c>
      <c r="P47" s="133">
        <f t="shared" si="5"/>
        <v>1165.5164390875402</v>
      </c>
      <c r="Q47" s="133">
        <f t="shared" si="6"/>
        <v>91.20240458727767</v>
      </c>
      <c r="R47" s="133">
        <f t="shared" si="7"/>
        <v>8415.0659686987765</v>
      </c>
    </row>
    <row r="48" spans="1:18">
      <c r="A48" s="130">
        <v>2033</v>
      </c>
      <c r="B48" s="28">
        <f t="shared" si="8"/>
        <v>14.085582311901666</v>
      </c>
      <c r="C48" s="28">
        <f t="shared" ref="C48:D48" si="39">C20*$Z20*(C$33/C$5/$Z$5)</f>
        <v>349.49852092683153</v>
      </c>
      <c r="D48" s="28">
        <f t="shared" si="39"/>
        <v>24.673737870464397</v>
      </c>
      <c r="E48" s="28">
        <f t="shared" si="10"/>
        <v>1797.5249420204657</v>
      </c>
      <c r="F48" s="28"/>
      <c r="G48" s="28">
        <f t="shared" si="11"/>
        <v>16.196251312324311</v>
      </c>
      <c r="H48" s="28">
        <f t="shared" ref="H48:I48" si="40">H20*$Z20*(H$33/H$5/$Z$5)</f>
        <v>620.25247609829421</v>
      </c>
      <c r="I48" s="28">
        <f t="shared" si="40"/>
        <v>52.859808567580011</v>
      </c>
      <c r="J48" s="28">
        <f t="shared" si="13"/>
        <v>6104.7759813860184</v>
      </c>
      <c r="K48" s="28"/>
      <c r="L48" s="28"/>
      <c r="M48" s="28">
        <f t="shared" si="14"/>
        <v>555.90681835951909</v>
      </c>
      <c r="O48" s="133">
        <f t="shared" si="4"/>
        <v>30.281833624225975</v>
      </c>
      <c r="P48" s="133">
        <f t="shared" si="5"/>
        <v>969.7509970251258</v>
      </c>
      <c r="Q48" s="133">
        <f t="shared" si="6"/>
        <v>77.533546438044411</v>
      </c>
      <c r="R48" s="133">
        <f t="shared" si="7"/>
        <v>8458.2077417660039</v>
      </c>
    </row>
    <row r="49" spans="1:18">
      <c r="A49" s="130">
        <v>2034</v>
      </c>
      <c r="B49" s="28">
        <f t="shared" si="8"/>
        <v>13.502426534594376</v>
      </c>
      <c r="C49" s="28">
        <f t="shared" ref="C49:D49" si="41">C21*$Z21*(C$33/C$5/$Z$5)</f>
        <v>292.15751600656512</v>
      </c>
      <c r="D49" s="28">
        <f t="shared" si="41"/>
        <v>21.120332150349341</v>
      </c>
      <c r="E49" s="28">
        <f t="shared" si="10"/>
        <v>1800.0735074108734</v>
      </c>
      <c r="F49" s="28"/>
      <c r="G49" s="28">
        <f t="shared" si="11"/>
        <v>15.336771027223485</v>
      </c>
      <c r="H49" s="28">
        <f t="shared" ref="H49:I49" si="42">H21*$Z21*(H$33/H$5/$Z$5)</f>
        <v>507.64329873124194</v>
      </c>
      <c r="I49" s="28">
        <f t="shared" si="42"/>
        <v>44.44061866497011</v>
      </c>
      <c r="J49" s="28">
        <f t="shared" si="13"/>
        <v>6141.2176489384319</v>
      </c>
      <c r="K49" s="28"/>
      <c r="L49" s="28"/>
      <c r="M49" s="28">
        <f t="shared" si="14"/>
        <v>564.43737503974467</v>
      </c>
      <c r="O49" s="133">
        <f t="shared" si="4"/>
        <v>28.839197561817862</v>
      </c>
      <c r="P49" s="133">
        <f t="shared" si="5"/>
        <v>799.80081473780706</v>
      </c>
      <c r="Q49" s="133">
        <f t="shared" si="6"/>
        <v>65.560950815319444</v>
      </c>
      <c r="R49" s="133">
        <f t="shared" si="7"/>
        <v>8505.7285313890497</v>
      </c>
    </row>
    <row r="50" spans="1:18">
      <c r="A50" s="130">
        <v>2035</v>
      </c>
      <c r="B50" s="28">
        <f t="shared" si="8"/>
        <v>12.930900438819007</v>
      </c>
      <c r="C50" s="28">
        <f t="shared" ref="C50:D50" si="43">C22*$Z22*(C$33/C$5/$Z$5)</f>
        <v>241.79975031849827</v>
      </c>
      <c r="D50" s="28">
        <f t="shared" si="43"/>
        <v>17.933811135028694</v>
      </c>
      <c r="E50" s="28">
        <f t="shared" si="10"/>
        <v>1798.9045489322234</v>
      </c>
      <c r="F50" s="28"/>
      <c r="G50" s="28">
        <f t="shared" si="11"/>
        <v>14.510108071118108</v>
      </c>
      <c r="H50" s="28">
        <f t="shared" ref="H50:I50" si="44">H22*$Z22*(H$33/H$5/$Z$5)</f>
        <v>411.63781995713305</v>
      </c>
      <c r="I50" s="28">
        <f t="shared" si="44"/>
        <v>37.072253191163064</v>
      </c>
      <c r="J50" s="28">
        <f t="shared" si="13"/>
        <v>6168.0564388613193</v>
      </c>
      <c r="K50" s="28"/>
      <c r="L50" s="28"/>
      <c r="M50" s="28">
        <f t="shared" si="14"/>
        <v>572.95833059792858</v>
      </c>
      <c r="O50" s="133">
        <f t="shared" si="4"/>
        <v>27.441008509937113</v>
      </c>
      <c r="P50" s="133">
        <f t="shared" si="5"/>
        <v>653.43757027563129</v>
      </c>
      <c r="Q50" s="133">
        <f t="shared" si="6"/>
        <v>55.006064326191762</v>
      </c>
      <c r="R50" s="133">
        <f t="shared" si="7"/>
        <v>8539.9193183914722</v>
      </c>
    </row>
    <row r="51" spans="1:18">
      <c r="A51" s="130">
        <v>2036</v>
      </c>
      <c r="B51" s="28">
        <f t="shared" si="8"/>
        <v>12.355423472689283</v>
      </c>
      <c r="C51" s="28">
        <f t="shared" ref="C51:D51" si="45">C23*$Z23*(C$33/C$5/$Z$5)</f>
        <v>198.27591162125606</v>
      </c>
      <c r="D51" s="28">
        <f t="shared" si="45"/>
        <v>15.115802187799172</v>
      </c>
      <c r="E51" s="28">
        <f t="shared" si="10"/>
        <v>1795.9709709802003</v>
      </c>
      <c r="F51" s="28"/>
      <c r="G51" s="28">
        <f t="shared" si="11"/>
        <v>13.693891562372869</v>
      </c>
      <c r="H51" s="28">
        <f t="shared" ref="H51:I51" si="46">H23*$Z23*(H$33/H$5/$Z$5)</f>
        <v>330.88127110421152</v>
      </c>
      <c r="I51" s="28">
        <f t="shared" si="46"/>
        <v>30.656950261359434</v>
      </c>
      <c r="J51" s="28">
        <f t="shared" si="13"/>
        <v>6184.7012295734958</v>
      </c>
      <c r="K51" s="28"/>
      <c r="L51" s="28"/>
      <c r="M51" s="28">
        <f t="shared" si="14"/>
        <v>575.49843146458261</v>
      </c>
      <c r="O51" s="133">
        <f t="shared" si="4"/>
        <v>26.049315035062151</v>
      </c>
      <c r="P51" s="133">
        <f t="shared" si="5"/>
        <v>529.15718272546758</v>
      </c>
      <c r="Q51" s="133">
        <f t="shared" si="6"/>
        <v>45.772752449158602</v>
      </c>
      <c r="R51" s="133">
        <f t="shared" si="7"/>
        <v>8556.1706320182784</v>
      </c>
    </row>
    <row r="52" spans="1:18">
      <c r="A52" s="130">
        <v>2037</v>
      </c>
      <c r="B52" s="28">
        <f t="shared" si="8"/>
        <v>11.778361855730298</v>
      </c>
      <c r="C52" s="28">
        <f t="shared" ref="C52:D52" si="47">C24*$Z24*(C$33/C$5/$Z$5)</f>
        <v>160.62760318531224</v>
      </c>
      <c r="D52" s="28">
        <f t="shared" si="47"/>
        <v>12.619298871764496</v>
      </c>
      <c r="E52" s="28">
        <f t="shared" si="10"/>
        <v>1794.670517667706</v>
      </c>
      <c r="F52" s="28"/>
      <c r="G52" s="28">
        <f t="shared" si="11"/>
        <v>12.849205126507163</v>
      </c>
      <c r="H52" s="28">
        <f t="shared" ref="H52:I52" si="48">H24*$Z24*(H$33/H$5/$Z$5)</f>
        <v>264.50347946673423</v>
      </c>
      <c r="I52" s="28">
        <f t="shared" si="48"/>
        <v>25.103544902283438</v>
      </c>
      <c r="J52" s="28">
        <f t="shared" si="13"/>
        <v>6182.3636273520569</v>
      </c>
      <c r="K52" s="28"/>
      <c r="L52" s="28"/>
      <c r="M52" s="28">
        <f t="shared" si="14"/>
        <v>578.15567357576674</v>
      </c>
      <c r="O52" s="133">
        <f t="shared" si="4"/>
        <v>24.627566982237461</v>
      </c>
      <c r="P52" s="133">
        <f t="shared" si="5"/>
        <v>425.13108265204647</v>
      </c>
      <c r="Q52" s="133">
        <f t="shared" si="6"/>
        <v>37.722843774047931</v>
      </c>
      <c r="R52" s="133">
        <f t="shared" si="7"/>
        <v>8555.1898185955288</v>
      </c>
    </row>
    <row r="53" spans="1:18">
      <c r="A53" s="130">
        <v>2038</v>
      </c>
      <c r="B53" s="28">
        <f t="shared" si="8"/>
        <v>11.219587341267232</v>
      </c>
      <c r="C53" s="28">
        <f t="shared" ref="C53:D53" si="49">C25*$Z25*(C$33/C$5/$Z$5)</f>
        <v>128.329866472866</v>
      </c>
      <c r="D53" s="28">
        <f t="shared" si="49"/>
        <v>10.407839567318735</v>
      </c>
      <c r="E53" s="28">
        <f t="shared" si="10"/>
        <v>1791.3025979096299</v>
      </c>
      <c r="F53" s="28"/>
      <c r="G53" s="28">
        <f t="shared" si="11"/>
        <v>12.008708620578465</v>
      </c>
      <c r="H53" s="28">
        <f t="shared" ref="H53:I53" si="50">H25*$Z25*(H$33/H$5/$Z$5)</f>
        <v>209.69618231664728</v>
      </c>
      <c r="I53" s="28">
        <f t="shared" si="50"/>
        <v>20.38223742079721</v>
      </c>
      <c r="J53" s="28">
        <f t="shared" si="13"/>
        <v>6160.3083653335807</v>
      </c>
      <c r="K53" s="28"/>
      <c r="L53" s="28"/>
      <c r="M53" s="28">
        <f t="shared" si="14"/>
        <v>580.82731003473089</v>
      </c>
      <c r="O53" s="133">
        <f t="shared" si="4"/>
        <v>23.228295961845696</v>
      </c>
      <c r="P53" s="133">
        <f t="shared" si="5"/>
        <v>338.02604878951331</v>
      </c>
      <c r="Q53" s="133">
        <f t="shared" si="6"/>
        <v>30.790076988115946</v>
      </c>
      <c r="R53" s="133">
        <f t="shared" si="7"/>
        <v>8532.4382732779413</v>
      </c>
    </row>
    <row r="54" spans="1:18">
      <c r="A54" s="130">
        <v>2039</v>
      </c>
      <c r="B54" s="28">
        <f t="shared" si="8"/>
        <v>10.666933603602507</v>
      </c>
      <c r="C54" s="28">
        <f t="shared" ref="C54:D54" si="51">C26*$Z26*(C$33/C$5/$Z$5)</f>
        <v>101.7327643505876</v>
      </c>
      <c r="D54" s="28">
        <f t="shared" si="51"/>
        <v>8.5365061956895492</v>
      </c>
      <c r="E54" s="28">
        <f t="shared" si="10"/>
        <v>1784.0571644013326</v>
      </c>
      <c r="F54" s="28"/>
      <c r="G54" s="28">
        <f t="shared" si="11"/>
        <v>11.18719892220987</v>
      </c>
      <c r="H54" s="28">
        <f t="shared" ref="H54:I54" si="52">H26*$Z26*(H$33/H$5/$Z$5)</f>
        <v>164.95830404484204</v>
      </c>
      <c r="I54" s="28">
        <f t="shared" si="52"/>
        <v>16.399833682450925</v>
      </c>
      <c r="J54" s="28">
        <f t="shared" si="13"/>
        <v>6107.6317298187996</v>
      </c>
      <c r="K54" s="28"/>
      <c r="L54" s="28"/>
      <c r="M54" s="28">
        <f t="shared" si="14"/>
        <v>583.55084509294863</v>
      </c>
      <c r="O54" s="133">
        <f t="shared" si="4"/>
        <v>21.854132525812375</v>
      </c>
      <c r="P54" s="133">
        <f t="shared" si="5"/>
        <v>266.69106839542962</v>
      </c>
      <c r="Q54" s="133">
        <f t="shared" si="6"/>
        <v>24.936339878140473</v>
      </c>
      <c r="R54" s="133">
        <f t="shared" si="7"/>
        <v>8475.2397393130814</v>
      </c>
    </row>
    <row r="55" spans="1:18">
      <c r="A55" s="130">
        <v>2040</v>
      </c>
      <c r="B55" s="28">
        <f t="shared" si="8"/>
        <v>10.125823955060925</v>
      </c>
      <c r="C55" s="28">
        <f t="shared" ref="C55:D55" si="53">C27*$Z27*(C$33/C$5/$Z$5)</f>
        <v>80.024832585693005</v>
      </c>
      <c r="D55" s="28">
        <f t="shared" si="53"/>
        <v>6.9512777504494183</v>
      </c>
      <c r="E55" s="28">
        <f t="shared" si="10"/>
        <v>1767.9950263634203</v>
      </c>
      <c r="F55" s="28"/>
      <c r="G55" s="28">
        <f t="shared" si="11"/>
        <v>10.423550959123897</v>
      </c>
      <c r="H55" s="28">
        <f t="shared" ref="H55:I55" si="54">H27*$Z27*(H$33/H$5/$Z$5)</f>
        <v>128.87613718853578</v>
      </c>
      <c r="I55" s="28">
        <f t="shared" si="54"/>
        <v>13.098714341934292</v>
      </c>
      <c r="J55" s="28">
        <f t="shared" si="13"/>
        <v>6034.5101178396935</v>
      </c>
      <c r="K55" s="28"/>
      <c r="L55" s="28"/>
      <c r="M55" s="28">
        <f t="shared" si="14"/>
        <v>586.29305834900276</v>
      </c>
      <c r="O55" s="133">
        <f t="shared" si="4"/>
        <v>20.549374914184824</v>
      </c>
      <c r="P55" s="133">
        <f t="shared" si="5"/>
        <v>208.90096977422877</v>
      </c>
      <c r="Q55" s="133">
        <f t="shared" si="6"/>
        <v>20.049992092383711</v>
      </c>
      <c r="R55" s="133">
        <f t="shared" si="7"/>
        <v>8388.798202552116</v>
      </c>
    </row>
    <row r="57" spans="1:18" s="132" customFormat="1" ht="11.25"/>
    <row r="58" spans="1:18"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</row>
  </sheetData>
  <phoneticPr fontId="1"/>
  <pageMargins left="0.25" right="0.25" top="0.75" bottom="0.75" header="0.3" footer="0.3"/>
  <pageSetup paperSize="9" scale="35" orientation="landscape" r:id="rId1"/>
  <ignoredErrors>
    <ignoredError sqref="AA5:AA2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29"/>
  <sheetViews>
    <sheetView zoomScaleNormal="100" zoomScaleSheetLayoutView="85" workbookViewId="0"/>
  </sheetViews>
  <sheetFormatPr defaultRowHeight="13.5"/>
  <cols>
    <col min="1" max="3" width="9" style="16"/>
    <col min="4" max="4" width="3.875" style="16" customWidth="1"/>
    <col min="5" max="5" width="9" style="16"/>
    <col min="6" max="6" width="10.25" style="16" bestFit="1" customWidth="1"/>
    <col min="7" max="7" width="3" style="16" customWidth="1"/>
    <col min="8" max="8" width="9" style="16"/>
    <col min="9" max="9" width="8.875" style="16" customWidth="1"/>
    <col min="10" max="16384" width="9" style="16"/>
  </cols>
  <sheetData>
    <row r="1" spans="1:10">
      <c r="A1" s="16" t="s">
        <v>168</v>
      </c>
    </row>
    <row r="3" spans="1:10" ht="40.5">
      <c r="A3" s="169" t="s">
        <v>119</v>
      </c>
      <c r="B3" s="170" t="s">
        <v>62</v>
      </c>
      <c r="C3" s="171" t="s">
        <v>120</v>
      </c>
      <c r="D3" s="145"/>
      <c r="E3" s="175" t="s">
        <v>169</v>
      </c>
      <c r="F3" s="171" t="s">
        <v>121</v>
      </c>
      <c r="H3" s="145"/>
      <c r="I3" s="145"/>
    </row>
    <row r="4" spans="1:10">
      <c r="A4" s="172"/>
      <c r="B4" s="173"/>
      <c r="C4" s="174" t="s">
        <v>122</v>
      </c>
      <c r="D4" s="146"/>
      <c r="E4" s="176" t="s">
        <v>123</v>
      </c>
      <c r="F4" s="177" t="s">
        <v>124</v>
      </c>
      <c r="H4" s="146"/>
      <c r="I4" s="144"/>
    </row>
    <row r="5" spans="1:10">
      <c r="A5" s="178" t="s">
        <v>125</v>
      </c>
      <c r="B5" s="179" t="s">
        <v>126</v>
      </c>
      <c r="C5" s="180"/>
      <c r="D5" s="147"/>
      <c r="E5" s="187"/>
      <c r="F5" s="188"/>
      <c r="H5" s="18"/>
      <c r="I5" s="148"/>
    </row>
    <row r="6" spans="1:10">
      <c r="A6" s="181">
        <v>30</v>
      </c>
      <c r="B6" s="29" t="s">
        <v>127</v>
      </c>
      <c r="C6" s="182"/>
      <c r="D6" s="149"/>
      <c r="E6" s="181"/>
      <c r="F6" s="189"/>
    </row>
    <row r="7" spans="1:10">
      <c r="A7" s="181">
        <v>31</v>
      </c>
      <c r="B7" s="29" t="s">
        <v>15</v>
      </c>
      <c r="C7" s="183">
        <f>5600*(4/12)</f>
        <v>1866.6666666666665</v>
      </c>
      <c r="D7" s="17"/>
      <c r="E7" s="190">
        <v>1.7</v>
      </c>
      <c r="F7" s="183">
        <v>3591.5726</v>
      </c>
      <c r="H7" s="18"/>
      <c r="I7" s="150"/>
      <c r="J7" s="150"/>
    </row>
    <row r="8" spans="1:10">
      <c r="A8" s="181">
        <v>32</v>
      </c>
      <c r="B8" s="29" t="s">
        <v>16</v>
      </c>
      <c r="C8" s="183">
        <f>5600*(1+E7/100)*F8/F7</f>
        <v>5739.0052957637554</v>
      </c>
      <c r="D8" s="17"/>
      <c r="E8" s="190">
        <v>1.7</v>
      </c>
      <c r="F8" s="183">
        <v>3619.1976</v>
      </c>
      <c r="H8" s="18"/>
      <c r="I8" s="150"/>
      <c r="J8" s="150"/>
    </row>
    <row r="9" spans="1:10">
      <c r="A9" s="181">
        <v>33</v>
      </c>
      <c r="B9" s="29" t="s">
        <v>17</v>
      </c>
      <c r="C9" s="183">
        <f>C8*(1+E8/100)*F9/F8</f>
        <v>5867.8891625899796</v>
      </c>
      <c r="D9" s="17"/>
      <c r="E9" s="190">
        <v>1.1000000000000001</v>
      </c>
      <c r="F9" s="183">
        <v>3638.6192999999998</v>
      </c>
      <c r="H9" s="18"/>
      <c r="I9" s="150"/>
      <c r="J9" s="150"/>
    </row>
    <row r="10" spans="1:10">
      <c r="A10" s="181">
        <v>34</v>
      </c>
      <c r="B10" s="29" t="s">
        <v>18</v>
      </c>
      <c r="C10" s="183">
        <f t="shared" ref="C10:C28" si="0">C9*(1+E9/100)*F10/F9</f>
        <v>5947.4919509468136</v>
      </c>
      <c r="D10" s="17"/>
      <c r="E10" s="190">
        <v>1.1000000000000001</v>
      </c>
      <c r="F10" s="183">
        <v>3647.8537999999999</v>
      </c>
      <c r="H10" s="18"/>
      <c r="I10" s="150"/>
      <c r="J10" s="150"/>
    </row>
    <row r="11" spans="1:10">
      <c r="A11" s="181">
        <v>35</v>
      </c>
      <c r="B11" s="29" t="s">
        <v>19</v>
      </c>
      <c r="C11" s="183">
        <f t="shared" si="0"/>
        <v>6030.297293431393</v>
      </c>
      <c r="D11" s="17"/>
      <c r="E11" s="190">
        <v>1.1000000000000001</v>
      </c>
      <c r="F11" s="183">
        <v>3658.3995</v>
      </c>
      <c r="H11" s="18"/>
      <c r="I11" s="150"/>
      <c r="J11" s="150"/>
    </row>
    <row r="12" spans="1:10">
      <c r="A12" s="181">
        <v>36</v>
      </c>
      <c r="B12" s="29" t="s">
        <v>20</v>
      </c>
      <c r="C12" s="183">
        <f t="shared" si="0"/>
        <v>6116.5492703162954</v>
      </c>
      <c r="D12" s="17"/>
      <c r="E12" s="190">
        <v>1.1000000000000001</v>
      </c>
      <c r="F12" s="183">
        <v>3670.3521000000001</v>
      </c>
      <c r="H12" s="18"/>
      <c r="I12" s="150"/>
      <c r="J12" s="150"/>
    </row>
    <row r="13" spans="1:10">
      <c r="A13" s="181">
        <v>37</v>
      </c>
      <c r="B13" s="29" t="s">
        <v>21</v>
      </c>
      <c r="C13" s="183">
        <f t="shared" si="0"/>
        <v>6195.1754481812359</v>
      </c>
      <c r="D13" s="17"/>
      <c r="E13" s="190">
        <v>1.1000000000000001</v>
      </c>
      <c r="F13" s="183">
        <v>3677.0853000000002</v>
      </c>
      <c r="H13" s="18"/>
      <c r="I13" s="150"/>
      <c r="J13" s="150"/>
    </row>
    <row r="14" spans="1:10">
      <c r="A14" s="181">
        <v>38</v>
      </c>
      <c r="B14" s="29" t="s">
        <v>22</v>
      </c>
      <c r="C14" s="183">
        <f t="shared" si="0"/>
        <v>6269.1636381525059</v>
      </c>
      <c r="D14" s="17"/>
      <c r="E14" s="190">
        <v>1.1000000000000001</v>
      </c>
      <c r="F14" s="183">
        <v>3680.5146</v>
      </c>
      <c r="H14" s="18"/>
      <c r="I14" s="150"/>
      <c r="J14" s="150"/>
    </row>
    <row r="15" spans="1:10">
      <c r="A15" s="181">
        <v>39</v>
      </c>
      <c r="B15" s="29" t="s">
        <v>23</v>
      </c>
      <c r="C15" s="183">
        <f t="shared" si="0"/>
        <v>6344.2088757301663</v>
      </c>
      <c r="D15" s="17"/>
      <c r="E15" s="190">
        <v>1.1000000000000001</v>
      </c>
      <c r="F15" s="183">
        <v>3684.0477999999998</v>
      </c>
      <c r="H15" s="18"/>
      <c r="I15" s="150"/>
      <c r="J15" s="150"/>
    </row>
    <row r="16" spans="1:10">
      <c r="A16" s="181">
        <v>40</v>
      </c>
      <c r="B16" s="29" t="s">
        <v>24</v>
      </c>
      <c r="C16" s="183">
        <f t="shared" si="0"/>
        <v>6425.2884636108265</v>
      </c>
      <c r="D16" s="17"/>
      <c r="E16" s="190">
        <v>1.2</v>
      </c>
      <c r="F16" s="183">
        <v>3690.5344</v>
      </c>
      <c r="H16" s="18"/>
      <c r="I16" s="150"/>
      <c r="J16" s="150"/>
    </row>
    <row r="17" spans="1:10">
      <c r="A17" s="181">
        <v>41</v>
      </c>
      <c r="B17" s="29" t="s">
        <v>43</v>
      </c>
      <c r="C17" s="183">
        <f t="shared" si="0"/>
        <v>6517.2723179008171</v>
      </c>
      <c r="D17" s="17"/>
      <c r="E17" s="190">
        <v>1.2</v>
      </c>
      <c r="F17" s="183">
        <v>3698.98</v>
      </c>
      <c r="H17" s="18"/>
      <c r="I17" s="150"/>
      <c r="J17" s="150"/>
    </row>
    <row r="18" spans="1:10">
      <c r="A18" s="181">
        <v>42</v>
      </c>
      <c r="B18" s="29" t="s">
        <v>44</v>
      </c>
      <c r="C18" s="183">
        <f t="shared" si="0"/>
        <v>6625.7533394785651</v>
      </c>
      <c r="D18" s="17"/>
      <c r="E18" s="190">
        <v>1.2</v>
      </c>
      <c r="F18" s="183">
        <v>3715.9585999999999</v>
      </c>
      <c r="H18" s="18"/>
      <c r="I18" s="150"/>
      <c r="J18" s="150"/>
    </row>
    <row r="19" spans="1:10">
      <c r="A19" s="181">
        <v>43</v>
      </c>
      <c r="B19" s="29" t="s">
        <v>45</v>
      </c>
      <c r="C19" s="183">
        <f t="shared" si="0"/>
        <v>6676.446572369261</v>
      </c>
      <c r="D19" s="17"/>
      <c r="E19" s="190">
        <v>1.2</v>
      </c>
      <c r="F19" s="183">
        <v>3699.9893000000002</v>
      </c>
      <c r="H19" s="18"/>
      <c r="I19" s="150"/>
      <c r="J19" s="150"/>
    </row>
    <row r="20" spans="1:10">
      <c r="A20" s="181">
        <v>44</v>
      </c>
      <c r="B20" s="29" t="s">
        <v>46</v>
      </c>
      <c r="C20" s="183">
        <f t="shared" si="0"/>
        <v>6792.6110344945155</v>
      </c>
      <c r="D20" s="17"/>
      <c r="E20" s="190">
        <v>1.2</v>
      </c>
      <c r="F20" s="183">
        <v>3719.7292000000002</v>
      </c>
      <c r="H20" s="18"/>
      <c r="I20" s="150"/>
      <c r="J20" s="150"/>
    </row>
    <row r="21" spans="1:10">
      <c r="A21" s="181">
        <v>45</v>
      </c>
      <c r="B21" s="29" t="s">
        <v>47</v>
      </c>
      <c r="C21" s="183">
        <f t="shared" si="0"/>
        <v>6908.3539228645086</v>
      </c>
      <c r="D21" s="17"/>
      <c r="E21" s="190">
        <v>1.2</v>
      </c>
      <c r="F21" s="183">
        <v>3738.2525999999998</v>
      </c>
      <c r="H21" s="18"/>
      <c r="I21" s="150"/>
      <c r="J21" s="150"/>
    </row>
    <row r="22" spans="1:10">
      <c r="A22" s="181">
        <v>46</v>
      </c>
      <c r="B22" s="29" t="s">
        <v>48</v>
      </c>
      <c r="C22" s="183">
        <f t="shared" si="0"/>
        <v>7030.4840882088001</v>
      </c>
      <c r="D22" s="17"/>
      <c r="E22" s="190">
        <v>1.2</v>
      </c>
      <c r="F22" s="183">
        <v>3759.2289999999998</v>
      </c>
      <c r="H22" s="18"/>
      <c r="I22" s="150"/>
      <c r="J22" s="150"/>
    </row>
    <row r="23" spans="1:10">
      <c r="A23" s="181">
        <v>47</v>
      </c>
      <c r="B23" s="29" t="s">
        <v>49</v>
      </c>
      <c r="C23" s="183">
        <f t="shared" si="0"/>
        <v>7157.3045483328706</v>
      </c>
      <c r="D23" s="17"/>
      <c r="E23" s="190">
        <v>1.2</v>
      </c>
      <c r="F23" s="183">
        <v>3781.6605</v>
      </c>
      <c r="H23" s="18"/>
      <c r="I23" s="150"/>
      <c r="J23" s="150"/>
    </row>
    <row r="24" spans="1:10">
      <c r="A24" s="181">
        <v>48</v>
      </c>
      <c r="B24" s="29" t="s">
        <v>50</v>
      </c>
      <c r="C24" s="183">
        <f t="shared" si="0"/>
        <v>7294.4497624262731</v>
      </c>
      <c r="D24" s="17"/>
      <c r="E24" s="190">
        <v>1.2</v>
      </c>
      <c r="F24" s="183">
        <v>3808.422</v>
      </c>
      <c r="H24" s="18"/>
      <c r="I24" s="150"/>
      <c r="J24" s="150"/>
    </row>
    <row r="25" spans="1:10">
      <c r="A25" s="181">
        <v>49</v>
      </c>
      <c r="B25" s="29" t="s">
        <v>51</v>
      </c>
      <c r="C25" s="183">
        <f t="shared" si="0"/>
        <v>7441.4910902062011</v>
      </c>
      <c r="D25" s="17"/>
      <c r="E25" s="190">
        <v>1.2</v>
      </c>
      <c r="F25" s="183">
        <v>3839.1226000000001</v>
      </c>
      <c r="H25" s="18"/>
      <c r="I25" s="150"/>
      <c r="J25" s="150"/>
    </row>
    <row r="26" spans="1:10">
      <c r="A26" s="181">
        <v>50</v>
      </c>
      <c r="B26" s="29" t="s">
        <v>52</v>
      </c>
      <c r="C26" s="183">
        <f t="shared" si="0"/>
        <v>7596.0362133400795</v>
      </c>
      <c r="D26" s="17"/>
      <c r="E26" s="190">
        <v>1.2</v>
      </c>
      <c r="F26" s="183">
        <v>3872.3850000000002</v>
      </c>
      <c r="H26" s="18"/>
      <c r="I26" s="150"/>
      <c r="J26" s="150"/>
    </row>
    <row r="27" spans="1:10">
      <c r="A27" s="181">
        <v>51</v>
      </c>
      <c r="B27" s="29" t="s">
        <v>53</v>
      </c>
      <c r="C27" s="183">
        <f t="shared" si="0"/>
        <v>7745.269986118853</v>
      </c>
      <c r="D27" s="17"/>
      <c r="E27" s="190">
        <v>1.2</v>
      </c>
      <c r="F27" s="183">
        <v>3901.6432</v>
      </c>
      <c r="H27" s="18"/>
      <c r="I27" s="150"/>
      <c r="J27" s="150"/>
    </row>
    <row r="28" spans="1:10">
      <c r="A28" s="184">
        <v>52</v>
      </c>
      <c r="B28" s="185" t="s">
        <v>54</v>
      </c>
      <c r="C28" s="186">
        <f t="shared" si="0"/>
        <v>7876.2386660901229</v>
      </c>
      <c r="D28" s="17"/>
      <c r="E28" s="191">
        <v>1.2</v>
      </c>
      <c r="F28" s="186">
        <v>3920.5711999999999</v>
      </c>
      <c r="H28" s="18"/>
      <c r="I28" s="150"/>
      <c r="J28" s="150"/>
    </row>
    <row r="29" spans="1:10" hidden="1">
      <c r="B29" s="29"/>
      <c r="C29" s="17"/>
      <c r="D29" s="17"/>
      <c r="F29" s="16" t="e">
        <f>#REF!</f>
        <v>#REF!</v>
      </c>
      <c r="I29" s="151"/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9"/>
  <sheetViews>
    <sheetView zoomScaleNormal="100" workbookViewId="0"/>
  </sheetViews>
  <sheetFormatPr defaultRowHeight="13.5"/>
  <cols>
    <col min="1" max="3" width="9" style="1"/>
    <col min="4" max="4" width="10.75" style="1" customWidth="1"/>
    <col min="5" max="5" width="9" style="1"/>
    <col min="6" max="6" width="5.625" style="1" customWidth="1"/>
    <col min="7" max="7" width="10.75" style="1" customWidth="1"/>
    <col min="8" max="16384" width="9" style="1"/>
  </cols>
  <sheetData>
    <row r="1" spans="1:16">
      <c r="A1" s="1" t="s">
        <v>151</v>
      </c>
    </row>
    <row r="2" spans="1:16">
      <c r="F2" s="128"/>
    </row>
    <row r="3" spans="1:16">
      <c r="A3" s="84" t="s">
        <v>55</v>
      </c>
      <c r="B3" s="84" t="s">
        <v>106</v>
      </c>
      <c r="C3" s="84" t="s">
        <v>56</v>
      </c>
      <c r="D3" s="85" t="s">
        <v>107</v>
      </c>
      <c r="E3" s="86" t="s">
        <v>13</v>
      </c>
      <c r="F3" s="192"/>
      <c r="G3" s="161" t="s">
        <v>137</v>
      </c>
      <c r="H3" s="24" t="s">
        <v>178</v>
      </c>
    </row>
    <row r="4" spans="1:16">
      <c r="A4" s="89"/>
      <c r="B4" s="89"/>
      <c r="C4" s="89" t="s">
        <v>59</v>
      </c>
      <c r="D4" s="89"/>
      <c r="E4" s="90"/>
      <c r="F4" s="192"/>
      <c r="G4" s="162" t="s">
        <v>167</v>
      </c>
      <c r="H4" s="195"/>
    </row>
    <row r="5" spans="1:16">
      <c r="A5" s="96">
        <v>30</v>
      </c>
      <c r="B5" s="97">
        <v>2018</v>
      </c>
      <c r="C5" s="98">
        <v>2440.7382500000003</v>
      </c>
      <c r="D5" s="98">
        <v>146.75891999999999</v>
      </c>
      <c r="E5" s="198">
        <v>2293.9793300000001</v>
      </c>
      <c r="F5" s="94"/>
      <c r="G5" s="193">
        <v>1</v>
      </c>
      <c r="H5" s="196">
        <v>304992.54777528718</v>
      </c>
      <c r="N5" s="26"/>
      <c r="O5" s="26"/>
      <c r="P5" s="26"/>
    </row>
    <row r="6" spans="1:16">
      <c r="A6" s="20">
        <v>31</v>
      </c>
      <c r="B6" s="93">
        <v>2019</v>
      </c>
      <c r="C6" s="94">
        <f>H6/$H$5*【恩給】!C$5*G6</f>
        <v>2101.3780040503234</v>
      </c>
      <c r="D6" s="94">
        <f>H6/$H$5*【恩給】!D$5*G6</f>
        <v>126.35355978306197</v>
      </c>
      <c r="E6" s="21">
        <f>H6/$H$5*【恩給】!E$5*G6</f>
        <v>1975.0244442672613</v>
      </c>
      <c r="F6" s="94"/>
      <c r="G6" s="193">
        <f>G5*(1+【年金生活者支援給付金】!E7/100)</f>
        <v>1.0169999999999999</v>
      </c>
      <c r="H6" s="196">
        <v>258197.03438927059</v>
      </c>
      <c r="N6" s="26"/>
      <c r="O6" s="26"/>
      <c r="P6" s="26"/>
    </row>
    <row r="7" spans="1:16">
      <c r="A7" s="20">
        <v>32</v>
      </c>
      <c r="B7" s="93">
        <v>2020</v>
      </c>
      <c r="C7" s="94">
        <f>H7/$H$5*【恩給】!C$5*G7</f>
        <v>1794.5399573871323</v>
      </c>
      <c r="D7" s="94">
        <f>H7/$H$5*【恩給】!D$5*G7</f>
        <v>107.90372381920982</v>
      </c>
      <c r="E7" s="21">
        <f>H7/$H$5*【恩給】!E$5*G7</f>
        <v>1686.6362335679223</v>
      </c>
      <c r="F7" s="94"/>
      <c r="G7" s="193">
        <f>G6*(1+【年金生活者支援給付金】!E8/100)</f>
        <v>1.0342889999999998</v>
      </c>
      <c r="H7" s="196">
        <v>216809.96912933909</v>
      </c>
      <c r="N7" s="26"/>
      <c r="O7" s="26"/>
      <c r="P7" s="26"/>
    </row>
    <row r="8" spans="1:16">
      <c r="A8" s="20">
        <v>33</v>
      </c>
      <c r="B8" s="93">
        <v>2021</v>
      </c>
      <c r="C8" s="95">
        <f>H8/$H$5*【恩給】!C$5*G8</f>
        <v>1508.919058018065</v>
      </c>
      <c r="D8" s="95">
        <f>H8/$H$5*【恩給】!D$5*G8</f>
        <v>90.729651703597668</v>
      </c>
      <c r="E8" s="199">
        <f>H8/$H$5*【恩給】!E$5*G8</f>
        <v>1418.1894063144673</v>
      </c>
      <c r="F8" s="95"/>
      <c r="G8" s="193">
        <f>G7*(1+【年金生活者支援給付金】!E9/100)</f>
        <v>1.0456661789999997</v>
      </c>
      <c r="H8" s="196">
        <v>180318.75618709112</v>
      </c>
      <c r="N8" s="26"/>
      <c r="O8" s="26"/>
      <c r="P8" s="26"/>
    </row>
    <row r="9" spans="1:16">
      <c r="A9" s="20">
        <v>34</v>
      </c>
      <c r="B9" s="93">
        <v>2022</v>
      </c>
      <c r="C9" s="95">
        <f>H9/$H$5*【恩給】!C$5*G9</f>
        <v>1255.6132124381613</v>
      </c>
      <c r="D9" s="95">
        <f>H9/$H$5*【恩給】!D$5*G9</f>
        <v>75.498648409002925</v>
      </c>
      <c r="E9" s="199">
        <f>H9/$H$5*【恩給】!E$5*G9</f>
        <v>1180.1145640291584</v>
      </c>
      <c r="F9" s="95"/>
      <c r="G9" s="193">
        <f>G8*(1+【年金生活者支援給付金】!E10/100)</f>
        <v>1.0571685069689996</v>
      </c>
      <c r="H9" s="196">
        <v>148415.64390047095</v>
      </c>
      <c r="N9" s="26"/>
      <c r="O9" s="26"/>
      <c r="P9" s="26"/>
    </row>
    <row r="10" spans="1:16">
      <c r="A10" s="20">
        <v>35</v>
      </c>
      <c r="B10" s="93">
        <v>2023</v>
      </c>
      <c r="C10" s="95">
        <f>H10/$H$5*【恩給】!C$5*G10</f>
        <v>1033.4900615441247</v>
      </c>
      <c r="D10" s="95">
        <f>H10/$H$5*【恩給】!D$5*G10</f>
        <v>62.14262642171861</v>
      </c>
      <c r="E10" s="199">
        <f>H10/$H$5*【恩給】!E$5*G10</f>
        <v>971.34743512240595</v>
      </c>
      <c r="F10" s="95"/>
      <c r="G10" s="193">
        <f>G9*(1+【年金生活者支援給付金】!E11/100)</f>
        <v>1.0687973605456584</v>
      </c>
      <c r="H10" s="196">
        <v>120831.16218044134</v>
      </c>
      <c r="N10" s="26"/>
      <c r="O10" s="26"/>
      <c r="P10" s="26"/>
    </row>
    <row r="11" spans="1:16">
      <c r="A11" s="20">
        <v>36</v>
      </c>
      <c r="B11" s="93">
        <v>2024</v>
      </c>
      <c r="C11" s="95">
        <f>H11/$H$5*【恩給】!C$5*G11</f>
        <v>841.1596832541162</v>
      </c>
      <c r="D11" s="95">
        <f>H11/$H$5*【恩給】!D$5*G11</f>
        <v>50.578011247996848</v>
      </c>
      <c r="E11" s="199">
        <f>H11/$H$5*【恩給】!E$5*G11</f>
        <v>790.58167200611922</v>
      </c>
      <c r="F11" s="95"/>
      <c r="G11" s="193">
        <f>G10*(1+【年金生活者支援給付金】!E12/100)</f>
        <v>1.0805541315116605</v>
      </c>
      <c r="H11" s="196">
        <v>97274.709211442911</v>
      </c>
      <c r="N11" s="26"/>
      <c r="O11" s="26"/>
      <c r="P11" s="26"/>
    </row>
    <row r="12" spans="1:16">
      <c r="A12" s="20">
        <v>37</v>
      </c>
      <c r="B12" s="93">
        <v>2025</v>
      </c>
      <c r="C12" s="95">
        <f>H12/$H$5*【恩給】!C$5*G12</f>
        <v>676.84316888971512</v>
      </c>
      <c r="D12" s="95">
        <f>H12/$H$5*【恩給】!D$5*G12</f>
        <v>40.697839055716926</v>
      </c>
      <c r="E12" s="199">
        <f>H12/$H$5*【恩給】!E$5*G12</f>
        <v>636.14532983399818</v>
      </c>
      <c r="F12" s="95"/>
      <c r="G12" s="193">
        <f>G11*(1+【年金生活者支援給付金】!E13/100)</f>
        <v>1.0924402269582887</v>
      </c>
      <c r="H12" s="196">
        <v>77420.930546726551</v>
      </c>
      <c r="N12" s="26"/>
      <c r="O12" s="26"/>
      <c r="P12" s="26"/>
    </row>
    <row r="13" spans="1:16">
      <c r="A13" s="20">
        <v>38</v>
      </c>
      <c r="B13" s="93">
        <v>2026</v>
      </c>
      <c r="C13" s="95">
        <f>H13/$H$5*【恩給】!C$5*G13</f>
        <v>538.38443419935277</v>
      </c>
      <c r="D13" s="95">
        <f>H13/$H$5*【恩給】!D$5*G13</f>
        <v>32.372466858299148</v>
      </c>
      <c r="E13" s="199">
        <f>H13/$H$5*【恩給】!E$5*G13</f>
        <v>506.01196734105361</v>
      </c>
      <c r="F13" s="95"/>
      <c r="G13" s="193">
        <f>G12*(1+【年金生活者支援給付金】!E14/100)</f>
        <v>1.1044570694548297</v>
      </c>
      <c r="H13" s="196">
        <v>60913.23661600113</v>
      </c>
      <c r="N13" s="26"/>
      <c r="O13" s="26"/>
      <c r="P13" s="26"/>
    </row>
    <row r="14" spans="1:16">
      <c r="A14" s="20">
        <v>39</v>
      </c>
      <c r="B14" s="93">
        <v>2027</v>
      </c>
      <c r="C14" s="95">
        <f>H14/$H$5*【恩給】!C$5*G14</f>
        <v>423.31483339115596</v>
      </c>
      <c r="D14" s="95">
        <f>H14/$H$5*【恩給】!D$5*G14</f>
        <v>25.453457685790756</v>
      </c>
      <c r="E14" s="199">
        <f>H14/$H$5*【恩給】!E$5*G14</f>
        <v>397.86137570536522</v>
      </c>
      <c r="F14" s="95"/>
      <c r="G14" s="193">
        <f>G13*(1+【年金生活者支援給付金】!E15/100)</f>
        <v>1.1166060972188327</v>
      </c>
      <c r="H14" s="196">
        <v>47373.068094477945</v>
      </c>
      <c r="N14" s="26"/>
      <c r="O14" s="26"/>
      <c r="P14" s="26"/>
    </row>
    <row r="15" spans="1:16">
      <c r="A15" s="20">
        <v>40</v>
      </c>
      <c r="B15" s="93">
        <v>2028</v>
      </c>
      <c r="C15" s="95">
        <f>H15/$H$5*【恩給】!C$5*G15</f>
        <v>329.27669756461728</v>
      </c>
      <c r="D15" s="95">
        <f>H15/$H$5*【恩給】!D$5*G15</f>
        <v>19.799047487271462</v>
      </c>
      <c r="E15" s="199">
        <f>H15/$H$5*【恩給】!E$5*G15</f>
        <v>309.47765007734574</v>
      </c>
      <c r="F15" s="95"/>
      <c r="G15" s="193">
        <f>G14*(1+【年金生活者支援給付金】!E16/100)</f>
        <v>1.1300053703854587</v>
      </c>
      <c r="H15" s="196">
        <v>36412.333397408838</v>
      </c>
      <c r="N15" s="26"/>
      <c r="O15" s="26"/>
      <c r="P15" s="26"/>
    </row>
    <row r="16" spans="1:16">
      <c r="A16" s="20">
        <v>41</v>
      </c>
      <c r="B16" s="93">
        <v>2029</v>
      </c>
      <c r="C16" s="95">
        <f>H16/$H$5*【恩給】!C$5*G16</f>
        <v>253.07681105720641</v>
      </c>
      <c r="D16" s="95">
        <f>H16/$H$5*【恩給】!D$5*G16</f>
        <v>15.217231699384259</v>
      </c>
      <c r="E16" s="199">
        <f>H16/$H$5*【恩給】!E$5*G16</f>
        <v>237.85957935782213</v>
      </c>
      <c r="F16" s="95"/>
      <c r="G16" s="193">
        <f>G15*(1+【年金生活者支援給付金】!E17/100)</f>
        <v>1.1435654348300841</v>
      </c>
      <c r="H16" s="196">
        <v>27654.088862223765</v>
      </c>
      <c r="N16" s="26"/>
      <c r="O16" s="26"/>
      <c r="P16" s="26"/>
    </row>
    <row r="17" spans="1:16">
      <c r="A17" s="20">
        <v>42</v>
      </c>
      <c r="B17" s="93">
        <v>2030</v>
      </c>
      <c r="C17" s="95">
        <f>H17/$H$5*【恩給】!C$5*G17</f>
        <v>192.1459261475473</v>
      </c>
      <c r="D17" s="95">
        <f>H17/$H$5*【恩給】!D$5*G17</f>
        <v>11.553524268247033</v>
      </c>
      <c r="E17" s="199">
        <f>H17/$H$5*【恩給】!E$5*G17</f>
        <v>180.59240187930024</v>
      </c>
      <c r="F17" s="95"/>
      <c r="G17" s="193">
        <f>G16*(1+【年金生活者支援給付金】!E18/100)</f>
        <v>1.1572882200480452</v>
      </c>
      <c r="H17" s="196">
        <v>20747.112848328492</v>
      </c>
      <c r="N17" s="26"/>
      <c r="O17" s="26"/>
      <c r="P17" s="26"/>
    </row>
    <row r="18" spans="1:16">
      <c r="A18" s="20">
        <v>43</v>
      </c>
      <c r="B18" s="93">
        <v>2031</v>
      </c>
      <c r="C18" s="95">
        <f>H18/$H$5*【恩給】!C$5*G18</f>
        <v>144.04863318462387</v>
      </c>
      <c r="D18" s="95">
        <f>H18/$H$5*【恩給】!D$5*G18</f>
        <v>8.6614866766854473</v>
      </c>
      <c r="E18" s="199">
        <f>H18/$H$5*【恩給】!E$5*G18</f>
        <v>135.38714650793841</v>
      </c>
      <c r="F18" s="95"/>
      <c r="G18" s="193">
        <f>G17*(1+【年金生活者支援給付金】!E19/100)</f>
        <v>1.1711756786886218</v>
      </c>
      <c r="H18" s="196">
        <v>15369.336435769519</v>
      </c>
      <c r="N18" s="26"/>
      <c r="O18" s="26"/>
      <c r="P18" s="26"/>
    </row>
    <row r="19" spans="1:16">
      <c r="A19" s="20">
        <v>44</v>
      </c>
      <c r="B19" s="93">
        <v>2032</v>
      </c>
      <c r="C19" s="95">
        <f>H19/$H$5*【恩給】!C$5*G19</f>
        <v>106.55538948400358</v>
      </c>
      <c r="D19" s="95">
        <f>H19/$H$5*【恩給】!D$5*G19</f>
        <v>6.4070589629394794</v>
      </c>
      <c r="E19" s="199">
        <f>H19/$H$5*【恩給】!E$5*G19</f>
        <v>100.1483305210641</v>
      </c>
      <c r="F19" s="95"/>
      <c r="G19" s="193">
        <f>G18*(1+【年金生活者支援給付金】!E20/100)</f>
        <v>1.1852297868328854</v>
      </c>
      <c r="H19" s="196">
        <v>11234.167218761811</v>
      </c>
      <c r="N19" s="26"/>
      <c r="O19" s="26"/>
      <c r="P19" s="26"/>
    </row>
    <row r="20" spans="1:16">
      <c r="A20" s="20">
        <v>45</v>
      </c>
      <c r="B20" s="93">
        <v>2033</v>
      </c>
      <c r="C20" s="95">
        <f>H20/$H$5*【恩給】!C$5*G20</f>
        <v>77.730839821074269</v>
      </c>
      <c r="D20" s="95">
        <f>H20/$H$5*【恩給】!D$5*G20</f>
        <v>4.6738703352700153</v>
      </c>
      <c r="E20" s="199">
        <f>H20/$H$5*【恩給】!E$5*G20</f>
        <v>73.056969485804245</v>
      </c>
      <c r="F20" s="95"/>
      <c r="G20" s="193">
        <f>G19*(1+【年金生活者支援給付金】!E21/100)</f>
        <v>1.19945254427488</v>
      </c>
      <c r="H20" s="196">
        <v>8098.0100342585456</v>
      </c>
      <c r="N20" s="26"/>
      <c r="O20" s="26"/>
      <c r="P20" s="26"/>
    </row>
    <row r="21" spans="1:16">
      <c r="A21" s="20">
        <v>46</v>
      </c>
      <c r="B21" s="93">
        <v>2034</v>
      </c>
      <c r="C21" s="95">
        <f>H21/$H$5*【恩給】!C$5*G21</f>
        <v>55.876581134931222</v>
      </c>
      <c r="D21" s="95">
        <f>H21/$H$5*【恩給】!D$5*G21</f>
        <v>3.359797676237867</v>
      </c>
      <c r="E21" s="199">
        <f>H21/$H$5*【恩給】!E$5*G21</f>
        <v>52.516783458693347</v>
      </c>
      <c r="F21" s="95"/>
      <c r="G21" s="193">
        <f>G20*(1+【年金生活者支援給付金】!E22/100)</f>
        <v>1.2138459748061785</v>
      </c>
      <c r="H21" s="196">
        <v>5752.2037863775422</v>
      </c>
      <c r="N21" s="26"/>
      <c r="O21" s="26"/>
      <c r="P21" s="26"/>
    </row>
    <row r="22" spans="1:16">
      <c r="A22" s="20">
        <v>47</v>
      </c>
      <c r="B22" s="93">
        <v>2035</v>
      </c>
      <c r="C22" s="95">
        <f>H22/$H$5*【恩給】!C$5*G22</f>
        <v>39.506078706758686</v>
      </c>
      <c r="D22" s="95">
        <f>H22/$H$5*【恩給】!D$5*G22</f>
        <v>2.3754572799598233</v>
      </c>
      <c r="E22" s="199">
        <f>H22/$H$5*【恩給】!E$5*G22</f>
        <v>37.130621426798854</v>
      </c>
      <c r="F22" s="95"/>
      <c r="G22" s="193">
        <f>G21*(1+【年金生活者支援給付金】!E23/100)</f>
        <v>1.2284121265038526</v>
      </c>
      <c r="H22" s="196">
        <v>4018.7209438806367</v>
      </c>
      <c r="N22" s="26"/>
      <c r="O22" s="26"/>
      <c r="P22" s="26"/>
    </row>
    <row r="23" spans="1:16">
      <c r="A23" s="20">
        <v>48</v>
      </c>
      <c r="B23" s="93">
        <v>2036</v>
      </c>
      <c r="C23" s="95">
        <f>H23/$H$5*【恩給】!C$5*G23</f>
        <v>27.410160162919517</v>
      </c>
      <c r="D23" s="95">
        <f>H23/$H$5*【恩給】!D$5*G23</f>
        <v>1.648142934842395</v>
      </c>
      <c r="E23" s="199">
        <f>H23/$H$5*【恩給】!E$5*G23</f>
        <v>25.762017228077116</v>
      </c>
      <c r="F23" s="95"/>
      <c r="G23" s="193">
        <f>G22*(1+【年金生活者支援給付金】!E24/100)</f>
        <v>1.2431530720218988</v>
      </c>
      <c r="H23" s="196">
        <v>2755.2117781532097</v>
      </c>
      <c r="N23" s="26"/>
      <c r="O23" s="26"/>
      <c r="P23" s="26"/>
    </row>
    <row r="24" spans="1:16">
      <c r="A24" s="20">
        <v>49</v>
      </c>
      <c r="B24" s="93">
        <v>2037</v>
      </c>
      <c r="C24" s="95">
        <f>H24/$H$5*【恩給】!C$5*G24</f>
        <v>18.609851140949086</v>
      </c>
      <c r="D24" s="95">
        <f>H24/$H$5*【恩給】!D$5*G24</f>
        <v>1.1189899837913611</v>
      </c>
      <c r="E24" s="199">
        <f>H24/$H$5*【恩給】!E$5*G24</f>
        <v>17.490861157157724</v>
      </c>
      <c r="F24" s="95"/>
      <c r="G24" s="193">
        <f>G23*(1+【年金生活者支援給付金】!E25/100)</f>
        <v>1.2580709088861617</v>
      </c>
      <c r="H24" s="196">
        <v>1848.4418805328596</v>
      </c>
      <c r="N24" s="26"/>
      <c r="O24" s="26"/>
      <c r="P24" s="26"/>
    </row>
    <row r="25" spans="1:16">
      <c r="A25" s="20">
        <v>50</v>
      </c>
      <c r="B25" s="93">
        <v>2038</v>
      </c>
      <c r="C25" s="95">
        <f>H25/$H$5*【恩給】!C$5*G25</f>
        <v>12.345342535079027</v>
      </c>
      <c r="D25" s="95">
        <f>H25/$H$5*【恩給】!D$5*G25</f>
        <v>0.74231193675858509</v>
      </c>
      <c r="E25" s="199">
        <f>H25/$H$5*【恩給】!E$5*G25</f>
        <v>11.603030598320441</v>
      </c>
      <c r="F25" s="95"/>
      <c r="G25" s="193">
        <f>G24*(1+【年金生活者支援給付金】!E26/100)</f>
        <v>1.2731677597927957</v>
      </c>
      <c r="H25" s="196">
        <v>1211.6732845999195</v>
      </c>
      <c r="N25" s="26"/>
      <c r="O25" s="26"/>
      <c r="P25" s="26"/>
    </row>
    <row r="26" spans="1:16">
      <c r="A26" s="20">
        <v>51</v>
      </c>
      <c r="B26" s="93">
        <v>2039</v>
      </c>
      <c r="C26" s="95">
        <f>H26/$H$5*【恩給】!C$5*G26</f>
        <v>7.9954733517358267</v>
      </c>
      <c r="D26" s="95">
        <f>H26/$H$5*【恩給】!D$5*G26</f>
        <v>0.48075906295545207</v>
      </c>
      <c r="E26" s="199">
        <f>H26/$H$5*【恩給】!E$5*G26</f>
        <v>7.5147142887803735</v>
      </c>
      <c r="F26" s="95"/>
      <c r="G26" s="193">
        <f>G25*(1+【年金生活者支援給付金】!E27/100)</f>
        <v>1.2884457729103094</v>
      </c>
      <c r="H26" s="196">
        <v>775.43617189668657</v>
      </c>
      <c r="N26" s="26"/>
      <c r="O26" s="26"/>
      <c r="P26" s="26"/>
    </row>
    <row r="27" spans="1:16">
      <c r="A27" s="32">
        <v>52</v>
      </c>
      <c r="B27" s="101">
        <v>2040</v>
      </c>
      <c r="C27" s="102">
        <f>H27/$H$5*【恩給】!C$5*G27</f>
        <v>5.0351658506932147</v>
      </c>
      <c r="D27" s="102">
        <f>H27/$H$5*【恩給】!D$5*G27</f>
        <v>0.30275901247035292</v>
      </c>
      <c r="E27" s="200">
        <f>H27/$H$5*【恩給】!E$5*G27</f>
        <v>4.7324068382228619</v>
      </c>
      <c r="F27" s="95"/>
      <c r="G27" s="194">
        <f>G26*(1+【年金生活者支援給付金】!E28/100)</f>
        <v>1.3039071221852332</v>
      </c>
      <c r="H27" s="197">
        <v>482.54202590497908</v>
      </c>
      <c r="N27" s="26"/>
      <c r="O27" s="26"/>
      <c r="P27" s="26"/>
    </row>
    <row r="28" spans="1:16">
      <c r="F28" s="128"/>
    </row>
    <row r="29" spans="1:16">
      <c r="F29" s="128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1"/>
  </sheetPr>
  <dimension ref="A1"/>
  <sheetViews>
    <sheetView zoomScaleNormal="100" workbookViewId="0"/>
  </sheetViews>
  <sheetFormatPr defaultRowHeight="13.5"/>
  <cols>
    <col min="1" max="16384" width="9" style="1"/>
  </cols>
  <sheetData/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"/>
  <sheetViews>
    <sheetView zoomScaleNormal="100"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7"/>
  <sheetViews>
    <sheetView zoomScaleNormal="100" workbookViewId="0"/>
  </sheetViews>
  <sheetFormatPr defaultRowHeight="13.5"/>
  <cols>
    <col min="1" max="3" width="9" style="1"/>
    <col min="4" max="4" width="12" style="1" customWidth="1"/>
    <col min="5" max="16384" width="9" style="1"/>
  </cols>
  <sheetData>
    <row r="1" spans="1:7">
      <c r="A1" s="1" t="s">
        <v>144</v>
      </c>
    </row>
    <row r="2" spans="1:7">
      <c r="F2" s="105" t="s">
        <v>158</v>
      </c>
    </row>
    <row r="3" spans="1:7">
      <c r="A3" s="84" t="s">
        <v>55</v>
      </c>
      <c r="B3" s="84" t="s">
        <v>106</v>
      </c>
      <c r="C3" s="84" t="s">
        <v>56</v>
      </c>
      <c r="D3" s="85" t="s">
        <v>107</v>
      </c>
      <c r="E3" s="86" t="s">
        <v>13</v>
      </c>
      <c r="F3" s="87" t="s">
        <v>58</v>
      </c>
      <c r="G3" s="88" t="s">
        <v>108</v>
      </c>
    </row>
    <row r="4" spans="1:7">
      <c r="A4" s="89"/>
      <c r="B4" s="89"/>
      <c r="C4" s="89" t="s">
        <v>59</v>
      </c>
      <c r="D4" s="89"/>
      <c r="E4" s="90"/>
      <c r="F4" s="91"/>
      <c r="G4" s="92" t="s">
        <v>157</v>
      </c>
    </row>
    <row r="5" spans="1:7">
      <c r="A5" s="96">
        <v>30</v>
      </c>
      <c r="B5" s="97">
        <v>2018</v>
      </c>
      <c r="C5" s="98">
        <v>13747.004492400789</v>
      </c>
      <c r="D5" s="98">
        <v>9795.3796637523628</v>
      </c>
      <c r="E5" s="98">
        <v>1554.8810138072863</v>
      </c>
      <c r="F5" s="98">
        <v>324.65231999999997</v>
      </c>
      <c r="G5" s="99">
        <f>【年金全体】!G5</f>
        <v>564.29999999999995</v>
      </c>
    </row>
    <row r="6" spans="1:7">
      <c r="A6" s="20">
        <v>31</v>
      </c>
      <c r="B6" s="93">
        <v>2019</v>
      </c>
      <c r="C6" s="94">
        <f>C$5*$G6/$G$5</f>
        <v>14078.316314298097</v>
      </c>
      <c r="D6" s="94">
        <f>D$5*$G6/$G$5</f>
        <v>10031.454736279446</v>
      </c>
      <c r="E6" s="94">
        <f>E$5*$G6/$G$5</f>
        <v>1592.354665743808</v>
      </c>
      <c r="F6" s="94">
        <f>F$5*$G6/$G$5</f>
        <v>332.47665377990427</v>
      </c>
      <c r="G6" s="100">
        <f>【年金全体】!G6</f>
        <v>577.9</v>
      </c>
    </row>
    <row r="7" spans="1:7">
      <c r="A7" s="20">
        <v>32</v>
      </c>
      <c r="B7" s="93">
        <v>2020</v>
      </c>
      <c r="C7" s="94">
        <f t="shared" ref="C7:D27" si="0">C$5*$G7/$G$5</f>
        <v>14387.703089158083</v>
      </c>
      <c r="D7" s="94">
        <f t="shared" si="0"/>
        <v>10251.907193712823</v>
      </c>
      <c r="E7" s="94">
        <f t="shared" ref="E7:F27" si="1">E$5*$G7/$G$5</f>
        <v>1627.3484436551184</v>
      </c>
      <c r="F7" s="94">
        <f t="shared" si="1"/>
        <v>339.78320076555025</v>
      </c>
      <c r="G7" s="100">
        <f>【年金全体】!G7</f>
        <v>590.6</v>
      </c>
    </row>
    <row r="8" spans="1:7">
      <c r="A8" s="20">
        <v>33</v>
      </c>
      <c r="B8" s="93">
        <v>2021</v>
      </c>
      <c r="C8" s="95">
        <f t="shared" si="0"/>
        <v>14658.112002618387</v>
      </c>
      <c r="D8" s="95">
        <f t="shared" si="0"/>
        <v>10444.58611320184</v>
      </c>
      <c r="E8" s="95">
        <f t="shared" si="1"/>
        <v>1657.9335566327209</v>
      </c>
      <c r="F8" s="94">
        <f t="shared" si="1"/>
        <v>346.16923789473685</v>
      </c>
      <c r="G8" s="100">
        <f>【年金全体】!G8</f>
        <v>601.70000000000005</v>
      </c>
    </row>
    <row r="9" spans="1:7">
      <c r="A9" s="20">
        <v>34</v>
      </c>
      <c r="B9" s="93">
        <v>2022</v>
      </c>
      <c r="C9" s="95">
        <f t="shared" si="0"/>
        <v>14923.64868340373</v>
      </c>
      <c r="D9" s="95">
        <f t="shared" si="0"/>
        <v>10633.793340447808</v>
      </c>
      <c r="E9" s="95">
        <f t="shared" si="1"/>
        <v>1687.9675864936091</v>
      </c>
      <c r="F9" s="94">
        <f t="shared" si="1"/>
        <v>352.44021129186604</v>
      </c>
      <c r="G9" s="100">
        <f>【年金全体】!G9</f>
        <v>612.6</v>
      </c>
    </row>
    <row r="10" spans="1:7">
      <c r="A10" s="20">
        <v>35</v>
      </c>
      <c r="B10" s="93">
        <v>2023</v>
      </c>
      <c r="C10" s="95">
        <f t="shared" si="0"/>
        <v>15186.749247851589</v>
      </c>
      <c r="D10" s="95">
        <f t="shared" si="0"/>
        <v>10821.264721572254</v>
      </c>
      <c r="E10" s="95">
        <f t="shared" si="1"/>
        <v>1717.7260747961409</v>
      </c>
      <c r="F10" s="94">
        <f t="shared" si="1"/>
        <v>358.65365282296648</v>
      </c>
      <c r="G10" s="100">
        <f>【年金全体】!G10</f>
        <v>623.4</v>
      </c>
    </row>
    <row r="11" spans="1:7">
      <c r="A11" s="20">
        <v>36</v>
      </c>
      <c r="B11" s="93">
        <v>2024</v>
      </c>
      <c r="C11" s="95">
        <f t="shared" si="0"/>
        <v>15454.722044974413</v>
      </c>
      <c r="D11" s="95">
        <f t="shared" si="0"/>
        <v>11012.207794939748</v>
      </c>
      <c r="E11" s="95">
        <f t="shared" si="1"/>
        <v>1748.0356462153864</v>
      </c>
      <c r="F11" s="94">
        <f t="shared" si="1"/>
        <v>364.98215808612434</v>
      </c>
      <c r="G11" s="100">
        <f>【年金全体】!G11</f>
        <v>634.4</v>
      </c>
    </row>
    <row r="12" spans="1:7">
      <c r="A12" s="20">
        <v>37</v>
      </c>
      <c r="B12" s="93">
        <v>2025</v>
      </c>
      <c r="C12" s="95">
        <f t="shared" si="0"/>
        <v>15727.567074772196</v>
      </c>
      <c r="D12" s="95">
        <f t="shared" si="0"/>
        <v>11206.622560550286</v>
      </c>
      <c r="E12" s="95">
        <f t="shared" si="1"/>
        <v>1778.8963007513453</v>
      </c>
      <c r="F12" s="94">
        <f t="shared" si="1"/>
        <v>371.42572708133974</v>
      </c>
      <c r="G12" s="100">
        <f>【年金全体】!G12</f>
        <v>645.6</v>
      </c>
    </row>
    <row r="13" spans="1:7">
      <c r="A13" s="20">
        <v>38</v>
      </c>
      <c r="B13" s="93">
        <v>2026</v>
      </c>
      <c r="C13" s="95">
        <f t="shared" si="0"/>
        <v>16007.720453582418</v>
      </c>
      <c r="D13" s="95">
        <f t="shared" si="0"/>
        <v>11406.244864525392</v>
      </c>
      <c r="E13" s="95">
        <f t="shared" si="1"/>
        <v>1810.5835799623746</v>
      </c>
      <c r="F13" s="94">
        <f t="shared" si="1"/>
        <v>378.04189167464119</v>
      </c>
      <c r="G13" s="100">
        <f>【年金全体】!G13</f>
        <v>657.1</v>
      </c>
    </row>
    <row r="14" spans="1:7">
      <c r="A14" s="20">
        <v>39</v>
      </c>
      <c r="B14" s="93">
        <v>2027</v>
      </c>
      <c r="C14" s="95">
        <f t="shared" si="0"/>
        <v>16283.00159971768</v>
      </c>
      <c r="D14" s="95">
        <f t="shared" si="0"/>
        <v>11602.39547625745</v>
      </c>
      <c r="E14" s="95">
        <f t="shared" si="1"/>
        <v>1841.7197760566901</v>
      </c>
      <c r="F14" s="94">
        <f t="shared" si="1"/>
        <v>384.54299253588516</v>
      </c>
      <c r="G14" s="100">
        <f>【年金全体】!G14</f>
        <v>668.4</v>
      </c>
    </row>
    <row r="15" spans="1:7">
      <c r="A15" s="20">
        <v>40</v>
      </c>
      <c r="B15" s="93">
        <v>2028</v>
      </c>
      <c r="C15" s="95">
        <f t="shared" si="0"/>
        <v>16494.680620514009</v>
      </c>
      <c r="D15" s="95">
        <f t="shared" si="0"/>
        <v>11753.226617448796</v>
      </c>
      <c r="E15" s="95">
        <f t="shared" si="1"/>
        <v>1865.6621331454267</v>
      </c>
      <c r="F15" s="94">
        <f t="shared" si="1"/>
        <v>389.54205143885162</v>
      </c>
      <c r="G15" s="100">
        <f>【年金全体】!G15</f>
        <v>677.08919999999989</v>
      </c>
    </row>
    <row r="16" spans="1:7">
      <c r="A16" s="20">
        <v>41</v>
      </c>
      <c r="B16" s="93">
        <v>2029</v>
      </c>
      <c r="C16" s="95">
        <f t="shared" si="0"/>
        <v>16709.111468580693</v>
      </c>
      <c r="D16" s="95">
        <f t="shared" si="0"/>
        <v>11906.018563475631</v>
      </c>
      <c r="E16" s="95">
        <f t="shared" si="1"/>
        <v>1889.9157408763172</v>
      </c>
      <c r="F16" s="94">
        <f t="shared" si="1"/>
        <v>394.60609810755665</v>
      </c>
      <c r="G16" s="100">
        <f>【年金全体】!G16</f>
        <v>685.89135959999987</v>
      </c>
    </row>
    <row r="17" spans="1:7">
      <c r="A17" s="20">
        <v>42</v>
      </c>
      <c r="B17" s="93">
        <v>2030</v>
      </c>
      <c r="C17" s="95">
        <f t="shared" si="0"/>
        <v>16926.329917672239</v>
      </c>
      <c r="D17" s="95">
        <f t="shared" si="0"/>
        <v>12060.796804800813</v>
      </c>
      <c r="E17" s="95">
        <f t="shared" si="1"/>
        <v>1914.4846455077093</v>
      </c>
      <c r="F17" s="94">
        <f t="shared" si="1"/>
        <v>399.7359773829549</v>
      </c>
      <c r="G17" s="100">
        <f>【年金全体】!G17</f>
        <v>694.80794727479986</v>
      </c>
    </row>
    <row r="18" spans="1:7">
      <c r="A18" s="20">
        <v>43</v>
      </c>
      <c r="B18" s="93">
        <v>2031</v>
      </c>
      <c r="C18" s="95">
        <f t="shared" si="0"/>
        <v>17146.372206601976</v>
      </c>
      <c r="D18" s="95">
        <f t="shared" si="0"/>
        <v>12217.587163263222</v>
      </c>
      <c r="E18" s="95">
        <f t="shared" si="1"/>
        <v>1939.3729458993093</v>
      </c>
      <c r="F18" s="94">
        <f t="shared" si="1"/>
        <v>404.9325450889333</v>
      </c>
      <c r="G18" s="100">
        <f>【年金全体】!G18</f>
        <v>703.84045058937215</v>
      </c>
    </row>
    <row r="19" spans="1:7">
      <c r="A19" s="20">
        <v>44</v>
      </c>
      <c r="B19" s="93">
        <v>2032</v>
      </c>
      <c r="C19" s="95">
        <f t="shared" si="0"/>
        <v>17369.275045287803</v>
      </c>
      <c r="D19" s="95">
        <f t="shared" si="0"/>
        <v>12376.415796385643</v>
      </c>
      <c r="E19" s="95">
        <f t="shared" si="1"/>
        <v>1964.5847941960001</v>
      </c>
      <c r="F19" s="94">
        <f t="shared" si="1"/>
        <v>410.19666817508931</v>
      </c>
      <c r="G19" s="100">
        <f>【年金全体】!G19</f>
        <v>712.9903764470339</v>
      </c>
    </row>
    <row r="20" spans="1:7">
      <c r="A20" s="20">
        <v>45</v>
      </c>
      <c r="B20" s="93">
        <v>2033</v>
      </c>
      <c r="C20" s="95">
        <f t="shared" si="0"/>
        <v>17595.075620876538</v>
      </c>
      <c r="D20" s="95">
        <f t="shared" si="0"/>
        <v>12537.309201738655</v>
      </c>
      <c r="E20" s="95">
        <f t="shared" si="1"/>
        <v>1990.1243965205479</v>
      </c>
      <c r="F20" s="94">
        <f t="shared" si="1"/>
        <v>415.52922486136549</v>
      </c>
      <c r="G20" s="100">
        <f>【年金全体】!G20</f>
        <v>722.25925134084525</v>
      </c>
    </row>
    <row r="21" spans="1:7">
      <c r="A21" s="20">
        <v>46</v>
      </c>
      <c r="B21" s="93">
        <v>2034</v>
      </c>
      <c r="C21" s="95">
        <f t="shared" si="0"/>
        <v>17823.811603947932</v>
      </c>
      <c r="D21" s="95">
        <f t="shared" si="0"/>
        <v>12700.294221361255</v>
      </c>
      <c r="E21" s="95">
        <f t="shared" si="1"/>
        <v>2015.9960136753148</v>
      </c>
      <c r="F21" s="94">
        <f t="shared" si="1"/>
        <v>420.93110478456316</v>
      </c>
      <c r="G21" s="100">
        <f>【年金全体】!G21</f>
        <v>731.64862160827613</v>
      </c>
    </row>
    <row r="22" spans="1:7">
      <c r="A22" s="20">
        <v>47</v>
      </c>
      <c r="B22" s="93">
        <v>2035</v>
      </c>
      <c r="C22" s="95">
        <f t="shared" si="0"/>
        <v>18055.521154799255</v>
      </c>
      <c r="D22" s="95">
        <f t="shared" si="0"/>
        <v>12865.39804623895</v>
      </c>
      <c r="E22" s="95">
        <f t="shared" si="1"/>
        <v>2042.2039618530937</v>
      </c>
      <c r="F22" s="94">
        <f t="shared" si="1"/>
        <v>426.40320914676238</v>
      </c>
      <c r="G22" s="100">
        <f>【年金全体】!G22</f>
        <v>741.16005368918366</v>
      </c>
    </row>
    <row r="23" spans="1:7">
      <c r="A23" s="20">
        <v>48</v>
      </c>
      <c r="B23" s="93">
        <v>2036</v>
      </c>
      <c r="C23" s="95">
        <f t="shared" si="0"/>
        <v>18290.24292981164</v>
      </c>
      <c r="D23" s="95">
        <f t="shared" si="0"/>
        <v>13032.648220840056</v>
      </c>
      <c r="E23" s="95">
        <f t="shared" si="1"/>
        <v>2068.7526133571837</v>
      </c>
      <c r="F23" s="94">
        <f t="shared" si="1"/>
        <v>431.94645086567027</v>
      </c>
      <c r="G23" s="100">
        <f>【年金全体】!G23</f>
        <v>750.79513438714298</v>
      </c>
    </row>
    <row r="24" spans="1:7">
      <c r="A24" s="20">
        <v>49</v>
      </c>
      <c r="B24" s="93">
        <v>2037</v>
      </c>
      <c r="C24" s="95">
        <f t="shared" si="0"/>
        <v>18528.016087899188</v>
      </c>
      <c r="D24" s="95">
        <f t="shared" si="0"/>
        <v>13202.072647710975</v>
      </c>
      <c r="E24" s="95">
        <f t="shared" si="1"/>
        <v>2095.6463973308264</v>
      </c>
      <c r="F24" s="94">
        <f t="shared" si="1"/>
        <v>437.56175472692394</v>
      </c>
      <c r="G24" s="100">
        <f>【年金全体】!G24</f>
        <v>760.55547113417572</v>
      </c>
    </row>
    <row r="25" spans="1:7">
      <c r="A25" s="20">
        <v>50</v>
      </c>
      <c r="B25" s="93">
        <v>2038</v>
      </c>
      <c r="C25" s="95">
        <f t="shared" si="0"/>
        <v>18768.880297041876</v>
      </c>
      <c r="D25" s="95">
        <f t="shared" si="0"/>
        <v>13373.699592131215</v>
      </c>
      <c r="E25" s="95">
        <f t="shared" si="1"/>
        <v>2122.889800496127</v>
      </c>
      <c r="F25" s="94">
        <f t="shared" si="1"/>
        <v>443.25005753837388</v>
      </c>
      <c r="G25" s="100">
        <f>【年金全体】!G25</f>
        <v>770.44269225891992</v>
      </c>
    </row>
    <row r="26" spans="1:7">
      <c r="A26" s="20">
        <v>51</v>
      </c>
      <c r="B26" s="93">
        <v>2039</v>
      </c>
      <c r="C26" s="95">
        <f t="shared" si="0"/>
        <v>19012.875740903419</v>
      </c>
      <c r="D26" s="95">
        <f t="shared" si="0"/>
        <v>13547.557686828919</v>
      </c>
      <c r="E26" s="95">
        <f t="shared" si="1"/>
        <v>2150.4873679025768</v>
      </c>
      <c r="F26" s="94">
        <f t="shared" si="1"/>
        <v>449.01230828637273</v>
      </c>
      <c r="G26" s="100">
        <f>【年金全体】!G26</f>
        <v>780.45844725828579</v>
      </c>
    </row>
    <row r="27" spans="1:7">
      <c r="A27" s="32">
        <v>52</v>
      </c>
      <c r="B27" s="101">
        <v>2040</v>
      </c>
      <c r="C27" s="102">
        <f t="shared" si="0"/>
        <v>19260.043125535161</v>
      </c>
      <c r="D27" s="102">
        <f t="shared" si="0"/>
        <v>13723.675936757694</v>
      </c>
      <c r="E27" s="102">
        <f t="shared" si="1"/>
        <v>2178.4437036853101</v>
      </c>
      <c r="F27" s="103">
        <f t="shared" si="1"/>
        <v>454.84946829409552</v>
      </c>
      <c r="G27" s="104">
        <f>【年金全体】!G27</f>
        <v>790.60440707264343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27"/>
  <sheetViews>
    <sheetView zoomScaleNormal="100" workbookViewId="0"/>
  </sheetViews>
  <sheetFormatPr defaultRowHeight="13.5"/>
  <cols>
    <col min="1" max="2" width="7.625" style="1" customWidth="1"/>
    <col min="3" max="5" width="11.25" style="1" customWidth="1"/>
    <col min="6" max="16384" width="9" style="1"/>
  </cols>
  <sheetData>
    <row r="1" spans="1:5">
      <c r="A1" s="1" t="s">
        <v>179</v>
      </c>
    </row>
    <row r="3" spans="1:5">
      <c r="A3" s="2" t="s">
        <v>55</v>
      </c>
      <c r="B3" s="2" t="s">
        <v>62</v>
      </c>
      <c r="C3" s="2" t="s">
        <v>56</v>
      </c>
      <c r="D3" s="3" t="s">
        <v>57</v>
      </c>
      <c r="E3" s="5" t="s">
        <v>13</v>
      </c>
    </row>
    <row r="4" spans="1:5">
      <c r="A4" s="41"/>
      <c r="B4" s="41"/>
      <c r="C4" s="41" t="s">
        <v>59</v>
      </c>
      <c r="D4" s="41"/>
      <c r="E4" s="118"/>
    </row>
    <row r="5" spans="1:5">
      <c r="A5" s="121">
        <v>30</v>
      </c>
      <c r="B5" s="122">
        <v>2018</v>
      </c>
      <c r="C5" s="123">
        <f>国民年金!I5</f>
        <v>33971.048518320007</v>
      </c>
      <c r="D5" s="123">
        <f>国民年金!B5</f>
        <v>12890.061610000001</v>
      </c>
      <c r="E5" s="124">
        <f>国民年金!E5</f>
        <v>18238.55862</v>
      </c>
    </row>
    <row r="6" spans="1:5">
      <c r="A6" s="7">
        <f t="shared" ref="A6:A17" si="0">A5+1</f>
        <v>31</v>
      </c>
      <c r="B6" s="73">
        <f t="shared" ref="B6:B17" si="1">B5+1</f>
        <v>2019</v>
      </c>
      <c r="C6" s="119">
        <f>国民年金!I6</f>
        <v>34304.907509447345</v>
      </c>
      <c r="D6" s="119">
        <f>国民年金!B6</f>
        <v>12845.848715782846</v>
      </c>
      <c r="E6" s="8">
        <f>国民年金!E6</f>
        <v>18465.035067501074</v>
      </c>
    </row>
    <row r="7" spans="1:5">
      <c r="A7" s="7">
        <f t="shared" si="0"/>
        <v>32</v>
      </c>
      <c r="B7" s="73">
        <f t="shared" si="1"/>
        <v>2020</v>
      </c>
      <c r="C7" s="119">
        <f>国民年金!I7</f>
        <v>34941.293608414031</v>
      </c>
      <c r="D7" s="119">
        <f>国民年金!B7</f>
        <v>12860.168102790467</v>
      </c>
      <c r="E7" s="8">
        <f>国民年金!E7</f>
        <v>18865.272153621681</v>
      </c>
    </row>
    <row r="8" spans="1:5">
      <c r="A8" s="7">
        <f t="shared" si="0"/>
        <v>33</v>
      </c>
      <c r="B8" s="73">
        <f t="shared" si="1"/>
        <v>2021</v>
      </c>
      <c r="C8" s="120">
        <f>国民年金!I8</f>
        <v>35603.716116945121</v>
      </c>
      <c r="D8" s="120">
        <f>国民年金!B8</f>
        <v>13019.115245321098</v>
      </c>
      <c r="E8" s="125">
        <f>国民年金!E8</f>
        <v>19284.654842692638</v>
      </c>
    </row>
    <row r="9" spans="1:5">
      <c r="A9" s="7">
        <f t="shared" si="0"/>
        <v>34</v>
      </c>
      <c r="B9" s="73">
        <f t="shared" si="1"/>
        <v>2022</v>
      </c>
      <c r="C9" s="120">
        <f>国民年金!I9</f>
        <v>36125.85504576144</v>
      </c>
      <c r="D9" s="120">
        <f>国民年金!B9</f>
        <v>13249.009797372335</v>
      </c>
      <c r="E9" s="125">
        <f>国民年金!E9</f>
        <v>19629.368715162967</v>
      </c>
    </row>
    <row r="10" spans="1:5">
      <c r="A10" s="7">
        <f t="shared" si="0"/>
        <v>35</v>
      </c>
      <c r="B10" s="73">
        <f t="shared" si="1"/>
        <v>2023</v>
      </c>
      <c r="C10" s="120">
        <f>国民年金!I10</f>
        <v>36579.891268731779</v>
      </c>
      <c r="D10" s="120">
        <f>国民年金!B10</f>
        <v>13460.271339024839</v>
      </c>
      <c r="E10" s="125">
        <f>国民年金!E10</f>
        <v>19939.142791571052</v>
      </c>
    </row>
    <row r="11" spans="1:5">
      <c r="A11" s="7">
        <f t="shared" si="0"/>
        <v>36</v>
      </c>
      <c r="B11" s="73">
        <f t="shared" si="1"/>
        <v>2024</v>
      </c>
      <c r="C11" s="120">
        <f>国民年金!I11</f>
        <v>37024.416175925784</v>
      </c>
      <c r="D11" s="120">
        <f>国民年金!B11</f>
        <v>13611.275158214328</v>
      </c>
      <c r="E11" s="125">
        <f>国民年金!E11</f>
        <v>20246.622543309521</v>
      </c>
    </row>
    <row r="12" spans="1:5">
      <c r="A12" s="7">
        <f t="shared" si="0"/>
        <v>37</v>
      </c>
      <c r="B12" s="73">
        <f t="shared" si="1"/>
        <v>2025</v>
      </c>
      <c r="C12" s="120">
        <f>国民年金!I12</f>
        <v>37414.408879195995</v>
      </c>
      <c r="D12" s="120">
        <f>国民年金!B12</f>
        <v>13730.262156903884</v>
      </c>
      <c r="E12" s="125">
        <f>国民年金!E12</f>
        <v>20525.858428069794</v>
      </c>
    </row>
    <row r="13" spans="1:5">
      <c r="A13" s="7">
        <f t="shared" si="0"/>
        <v>38</v>
      </c>
      <c r="B13" s="73">
        <f t="shared" si="1"/>
        <v>2026</v>
      </c>
      <c r="C13" s="120">
        <f>国民年金!I13</f>
        <v>37833.256497849499</v>
      </c>
      <c r="D13" s="120">
        <f>国民年金!B13</f>
        <v>13884.186340370308</v>
      </c>
      <c r="E13" s="125">
        <f>国民年金!E13</f>
        <v>20819.139389114382</v>
      </c>
    </row>
    <row r="14" spans="1:5">
      <c r="A14" s="7">
        <f t="shared" si="0"/>
        <v>39</v>
      </c>
      <c r="B14" s="73">
        <f t="shared" si="1"/>
        <v>2027</v>
      </c>
      <c r="C14" s="120">
        <f>国民年金!I14</f>
        <v>38306.519863836387</v>
      </c>
      <c r="D14" s="120">
        <f>国民年金!B14</f>
        <v>14060.808250908163</v>
      </c>
      <c r="E14" s="125">
        <f>国民年金!E14</f>
        <v>21142.373741954143</v>
      </c>
    </row>
    <row r="15" spans="1:5">
      <c r="A15" s="7">
        <f t="shared" si="0"/>
        <v>40</v>
      </c>
      <c r="B15" s="73">
        <f t="shared" si="1"/>
        <v>2028</v>
      </c>
      <c r="C15" s="120">
        <f>国民年金!I15</f>
        <v>38726.863733899132</v>
      </c>
      <c r="D15" s="120">
        <f>国民年金!B15</f>
        <v>14186.365335623103</v>
      </c>
      <c r="E15" s="125">
        <f>国民年金!E15</f>
        <v>21438.721359066487</v>
      </c>
    </row>
    <row r="16" spans="1:5">
      <c r="A16" s="7">
        <f t="shared" si="0"/>
        <v>41</v>
      </c>
      <c r="B16" s="73">
        <f t="shared" si="1"/>
        <v>2029</v>
      </c>
      <c r="C16" s="120">
        <f>国民年金!I16</f>
        <v>39196.16889015006</v>
      </c>
      <c r="D16" s="120">
        <f>国民年金!B16</f>
        <v>14290.48915343612</v>
      </c>
      <c r="E16" s="125">
        <f>国民年金!E16</f>
        <v>21766.245644022732</v>
      </c>
    </row>
    <row r="17" spans="1:5">
      <c r="A17" s="7">
        <f t="shared" si="0"/>
        <v>42</v>
      </c>
      <c r="B17" s="73">
        <f t="shared" si="1"/>
        <v>2030</v>
      </c>
      <c r="C17" s="120">
        <f>国民年金!I17</f>
        <v>39683.199998994896</v>
      </c>
      <c r="D17" s="120">
        <f>国民年金!B17</f>
        <v>14384.127204546226</v>
      </c>
      <c r="E17" s="125">
        <f>国民年金!E17</f>
        <v>22107.660034020879</v>
      </c>
    </row>
    <row r="18" spans="1:5">
      <c r="A18" s="7">
        <f t="shared" ref="A18:A24" si="2">A17+1</f>
        <v>43</v>
      </c>
      <c r="B18" s="73">
        <f t="shared" ref="B18:B24" si="3">B17+1</f>
        <v>2031</v>
      </c>
      <c r="C18" s="120">
        <f>国民年金!I18</f>
        <v>40074.193575631129</v>
      </c>
      <c r="D18" s="120">
        <f>国民年金!B18</f>
        <v>14465.743721069128</v>
      </c>
      <c r="E18" s="125">
        <f>国民年金!E18</f>
        <v>22397.571428762654</v>
      </c>
    </row>
    <row r="19" spans="1:5">
      <c r="A19" s="7">
        <f t="shared" si="2"/>
        <v>44</v>
      </c>
      <c r="B19" s="73">
        <f t="shared" si="3"/>
        <v>2032</v>
      </c>
      <c r="C19" s="120">
        <f>国民年金!I19</f>
        <v>40471.842467355542</v>
      </c>
      <c r="D19" s="120">
        <f>国民年金!B19</f>
        <v>14545.667874511821</v>
      </c>
      <c r="E19" s="125">
        <f>国民年金!E19</f>
        <v>22693.449766935177</v>
      </c>
    </row>
    <row r="20" spans="1:5">
      <c r="A20" s="7">
        <f t="shared" si="2"/>
        <v>45</v>
      </c>
      <c r="B20" s="73">
        <f t="shared" si="3"/>
        <v>2033</v>
      </c>
      <c r="C20" s="120">
        <f>国民年金!I20</f>
        <v>41013.047770966659</v>
      </c>
      <c r="D20" s="120">
        <f>国民年金!B20</f>
        <v>14623.12652246467</v>
      </c>
      <c r="E20" s="125">
        <f>国民年金!E20</f>
        <v>23075.403224005033</v>
      </c>
    </row>
    <row r="21" spans="1:5">
      <c r="A21" s="7">
        <f t="shared" si="2"/>
        <v>46</v>
      </c>
      <c r="B21" s="73">
        <f t="shared" si="3"/>
        <v>2034</v>
      </c>
      <c r="C21" s="120">
        <f>国民年金!I21</f>
        <v>41548.089408176551</v>
      </c>
      <c r="D21" s="120">
        <f>国民年金!B21</f>
        <v>14694.313437336399</v>
      </c>
      <c r="E21" s="125">
        <f>国民年金!E21</f>
        <v>23459.203279540889</v>
      </c>
    </row>
    <row r="22" spans="1:5">
      <c r="A22" s="7">
        <f t="shared" si="2"/>
        <v>47</v>
      </c>
      <c r="B22" s="73">
        <f t="shared" si="3"/>
        <v>2035</v>
      </c>
      <c r="C22" s="120">
        <f>国民年金!I22</f>
        <v>42087.264079039873</v>
      </c>
      <c r="D22" s="120">
        <f>国民年金!B22</f>
        <v>14770.53891260777</v>
      </c>
      <c r="E22" s="125">
        <f>国民年金!E22</f>
        <v>23850.022314640351</v>
      </c>
    </row>
    <row r="23" spans="1:5">
      <c r="A23" s="7">
        <f t="shared" si="2"/>
        <v>48</v>
      </c>
      <c r="B23" s="73">
        <f t="shared" si="3"/>
        <v>2036</v>
      </c>
      <c r="C23" s="120">
        <f>国民年金!I23</f>
        <v>42655.74086911117</v>
      </c>
      <c r="D23" s="120">
        <f>国民年金!B23</f>
        <v>14866.490430502017</v>
      </c>
      <c r="E23" s="125">
        <f>国民年金!E23</f>
        <v>24262.936796286616</v>
      </c>
    </row>
    <row r="24" spans="1:5">
      <c r="A24" s="7">
        <f t="shared" si="2"/>
        <v>49</v>
      </c>
      <c r="B24" s="73">
        <f t="shared" si="3"/>
        <v>2037</v>
      </c>
      <c r="C24" s="120">
        <f>国民年金!I24</f>
        <v>43299.953445754225</v>
      </c>
      <c r="D24" s="120">
        <f>国民年金!B24</f>
        <v>14959.331492493027</v>
      </c>
      <c r="E24" s="125">
        <f>国民年金!E24</f>
        <v>24721.392747751604</v>
      </c>
    </row>
    <row r="25" spans="1:5">
      <c r="A25" s="7">
        <f t="shared" ref="A25:A27" si="4">A24+1</f>
        <v>50</v>
      </c>
      <c r="B25" s="73">
        <f t="shared" ref="B25:B27" si="5">B24+1</f>
        <v>2038</v>
      </c>
      <c r="C25" s="120">
        <f>国民年金!I25</f>
        <v>43970.53292022652</v>
      </c>
      <c r="D25" s="120">
        <f>国民年金!B25</f>
        <v>15055.328902997177</v>
      </c>
      <c r="E25" s="125">
        <f>国民年金!E25</f>
        <v>25198.003023371941</v>
      </c>
    </row>
    <row r="26" spans="1:5">
      <c r="A26" s="7">
        <f t="shared" si="4"/>
        <v>51</v>
      </c>
      <c r="B26" s="73">
        <f t="shared" si="5"/>
        <v>2039</v>
      </c>
      <c r="C26" s="120">
        <f>国民年金!I26</f>
        <v>44627.163932947937</v>
      </c>
      <c r="D26" s="120">
        <f>国民年金!B26</f>
        <v>15161.630097014975</v>
      </c>
      <c r="E26" s="125">
        <f>国民年金!E26</f>
        <v>25669.622943207207</v>
      </c>
    </row>
    <row r="27" spans="1:5">
      <c r="A27" s="76">
        <f t="shared" si="4"/>
        <v>52</v>
      </c>
      <c r="B27" s="77">
        <f t="shared" si="5"/>
        <v>2040</v>
      </c>
      <c r="C27" s="126">
        <f>国民年金!I27</f>
        <v>45211.702104482152</v>
      </c>
      <c r="D27" s="126">
        <f>国民年金!B27</f>
        <v>15288.249448431341</v>
      </c>
      <c r="E27" s="127">
        <f>国民年金!E27</f>
        <v>26101.316834883273</v>
      </c>
    </row>
  </sheetData>
  <phoneticPr fontId="1"/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AJ56"/>
  <sheetViews>
    <sheetView zoomScaleNormal="100" zoomScaleSheetLayoutView="75" workbookViewId="0"/>
  </sheetViews>
  <sheetFormatPr defaultRowHeight="14.25" customHeight="1"/>
  <cols>
    <col min="1" max="1" width="7.375" style="68" customWidth="1"/>
    <col min="2" max="3" width="9" style="68"/>
    <col min="4" max="4" width="7" style="68" customWidth="1"/>
    <col min="5" max="8" width="9" style="68"/>
    <col min="9" max="9" width="9.375" style="68" customWidth="1"/>
    <col min="10" max="10" width="10.375" style="68" bestFit="1" customWidth="1"/>
    <col min="11" max="11" width="9.375" style="68" bestFit="1" customWidth="1"/>
    <col min="12" max="14" width="9.25" style="68" bestFit="1" customWidth="1"/>
    <col min="15" max="232" width="9" style="68"/>
    <col min="233" max="233" width="6.375" style="68" customWidth="1"/>
    <col min="234" max="234" width="8.375" style="68" customWidth="1"/>
    <col min="235" max="235" width="12" style="68" customWidth="1"/>
    <col min="236" max="236" width="10.375" style="68" customWidth="1"/>
    <col min="237" max="237" width="10.5" style="68" customWidth="1"/>
    <col min="238" max="238" width="10.25" style="68" customWidth="1"/>
    <col min="239" max="239" width="10.125" style="68" customWidth="1"/>
    <col min="240" max="241" width="10.25" style="68" customWidth="1"/>
    <col min="242" max="242" width="10.125" style="68" customWidth="1"/>
    <col min="243" max="244" width="11.75" style="68" customWidth="1"/>
    <col min="245" max="245" width="7.875" style="68" customWidth="1"/>
    <col min="246" max="247" width="9" style="68"/>
    <col min="248" max="248" width="7.125" style="68" customWidth="1"/>
    <col min="249" max="254" width="2.375" style="68" customWidth="1"/>
    <col min="255" max="488" width="9" style="68"/>
    <col min="489" max="489" width="6.375" style="68" customWidth="1"/>
    <col min="490" max="490" width="8.375" style="68" customWidth="1"/>
    <col min="491" max="491" width="12" style="68" customWidth="1"/>
    <col min="492" max="492" width="10.375" style="68" customWidth="1"/>
    <col min="493" max="493" width="10.5" style="68" customWidth="1"/>
    <col min="494" max="494" width="10.25" style="68" customWidth="1"/>
    <col min="495" max="495" width="10.125" style="68" customWidth="1"/>
    <col min="496" max="497" width="10.25" style="68" customWidth="1"/>
    <col min="498" max="498" width="10.125" style="68" customWidth="1"/>
    <col min="499" max="500" width="11.75" style="68" customWidth="1"/>
    <col min="501" max="501" width="7.875" style="68" customWidth="1"/>
    <col min="502" max="503" width="9" style="68"/>
    <col min="504" max="504" width="7.125" style="68" customWidth="1"/>
    <col min="505" max="510" width="2.375" style="68" customWidth="1"/>
    <col min="511" max="744" width="9" style="68"/>
    <col min="745" max="745" width="6.375" style="68" customWidth="1"/>
    <col min="746" max="746" width="8.375" style="68" customWidth="1"/>
    <col min="747" max="747" width="12" style="68" customWidth="1"/>
    <col min="748" max="748" width="10.375" style="68" customWidth="1"/>
    <col min="749" max="749" width="10.5" style="68" customWidth="1"/>
    <col min="750" max="750" width="10.25" style="68" customWidth="1"/>
    <col min="751" max="751" width="10.125" style="68" customWidth="1"/>
    <col min="752" max="753" width="10.25" style="68" customWidth="1"/>
    <col min="754" max="754" width="10.125" style="68" customWidth="1"/>
    <col min="755" max="756" width="11.75" style="68" customWidth="1"/>
    <col min="757" max="757" width="7.875" style="68" customWidth="1"/>
    <col min="758" max="759" width="9" style="68"/>
    <col min="760" max="760" width="7.125" style="68" customWidth="1"/>
    <col min="761" max="766" width="2.375" style="68" customWidth="1"/>
    <col min="767" max="1000" width="9" style="68"/>
    <col min="1001" max="1001" width="6.375" style="68" customWidth="1"/>
    <col min="1002" max="1002" width="8.375" style="68" customWidth="1"/>
    <col min="1003" max="1003" width="12" style="68" customWidth="1"/>
    <col min="1004" max="1004" width="10.375" style="68" customWidth="1"/>
    <col min="1005" max="1005" width="10.5" style="68" customWidth="1"/>
    <col min="1006" max="1006" width="10.25" style="68" customWidth="1"/>
    <col min="1007" max="1007" width="10.125" style="68" customWidth="1"/>
    <col min="1008" max="1009" width="10.25" style="68" customWidth="1"/>
    <col min="1010" max="1010" width="10.125" style="68" customWidth="1"/>
    <col min="1011" max="1012" width="11.75" style="68" customWidth="1"/>
    <col min="1013" max="1013" width="7.875" style="68" customWidth="1"/>
    <col min="1014" max="1015" width="9" style="68"/>
    <col min="1016" max="1016" width="7.125" style="68" customWidth="1"/>
    <col min="1017" max="1022" width="2.375" style="68" customWidth="1"/>
    <col min="1023" max="1256" width="9" style="68"/>
    <col min="1257" max="1257" width="6.375" style="68" customWidth="1"/>
    <col min="1258" max="1258" width="8.375" style="68" customWidth="1"/>
    <col min="1259" max="1259" width="12" style="68" customWidth="1"/>
    <col min="1260" max="1260" width="10.375" style="68" customWidth="1"/>
    <col min="1261" max="1261" width="10.5" style="68" customWidth="1"/>
    <col min="1262" max="1262" width="10.25" style="68" customWidth="1"/>
    <col min="1263" max="1263" width="10.125" style="68" customWidth="1"/>
    <col min="1264" max="1265" width="10.25" style="68" customWidth="1"/>
    <col min="1266" max="1266" width="10.125" style="68" customWidth="1"/>
    <col min="1267" max="1268" width="11.75" style="68" customWidth="1"/>
    <col min="1269" max="1269" width="7.875" style="68" customWidth="1"/>
    <col min="1270" max="1271" width="9" style="68"/>
    <col min="1272" max="1272" width="7.125" style="68" customWidth="1"/>
    <col min="1273" max="1278" width="2.375" style="68" customWidth="1"/>
    <col min="1279" max="1512" width="9" style="68"/>
    <col min="1513" max="1513" width="6.375" style="68" customWidth="1"/>
    <col min="1514" max="1514" width="8.375" style="68" customWidth="1"/>
    <col min="1515" max="1515" width="12" style="68" customWidth="1"/>
    <col min="1516" max="1516" width="10.375" style="68" customWidth="1"/>
    <col min="1517" max="1517" width="10.5" style="68" customWidth="1"/>
    <col min="1518" max="1518" width="10.25" style="68" customWidth="1"/>
    <col min="1519" max="1519" width="10.125" style="68" customWidth="1"/>
    <col min="1520" max="1521" width="10.25" style="68" customWidth="1"/>
    <col min="1522" max="1522" width="10.125" style="68" customWidth="1"/>
    <col min="1523" max="1524" width="11.75" style="68" customWidth="1"/>
    <col min="1525" max="1525" width="7.875" style="68" customWidth="1"/>
    <col min="1526" max="1527" width="9" style="68"/>
    <col min="1528" max="1528" width="7.125" style="68" customWidth="1"/>
    <col min="1529" max="1534" width="2.375" style="68" customWidth="1"/>
    <col min="1535" max="1768" width="9" style="68"/>
    <col min="1769" max="1769" width="6.375" style="68" customWidth="1"/>
    <col min="1770" max="1770" width="8.375" style="68" customWidth="1"/>
    <col min="1771" max="1771" width="12" style="68" customWidth="1"/>
    <col min="1772" max="1772" width="10.375" style="68" customWidth="1"/>
    <col min="1773" max="1773" width="10.5" style="68" customWidth="1"/>
    <col min="1774" max="1774" width="10.25" style="68" customWidth="1"/>
    <col min="1775" max="1775" width="10.125" style="68" customWidth="1"/>
    <col min="1776" max="1777" width="10.25" style="68" customWidth="1"/>
    <col min="1778" max="1778" width="10.125" style="68" customWidth="1"/>
    <col min="1779" max="1780" width="11.75" style="68" customWidth="1"/>
    <col min="1781" max="1781" width="7.875" style="68" customWidth="1"/>
    <col min="1782" max="1783" width="9" style="68"/>
    <col min="1784" max="1784" width="7.125" style="68" customWidth="1"/>
    <col min="1785" max="1790" width="2.375" style="68" customWidth="1"/>
    <col min="1791" max="2024" width="9" style="68"/>
    <col min="2025" max="2025" width="6.375" style="68" customWidth="1"/>
    <col min="2026" max="2026" width="8.375" style="68" customWidth="1"/>
    <col min="2027" max="2027" width="12" style="68" customWidth="1"/>
    <col min="2028" max="2028" width="10.375" style="68" customWidth="1"/>
    <col min="2029" max="2029" width="10.5" style="68" customWidth="1"/>
    <col min="2030" max="2030" width="10.25" style="68" customWidth="1"/>
    <col min="2031" max="2031" width="10.125" style="68" customWidth="1"/>
    <col min="2032" max="2033" width="10.25" style="68" customWidth="1"/>
    <col min="2034" max="2034" width="10.125" style="68" customWidth="1"/>
    <col min="2035" max="2036" width="11.75" style="68" customWidth="1"/>
    <col min="2037" max="2037" width="7.875" style="68" customWidth="1"/>
    <col min="2038" max="2039" width="9" style="68"/>
    <col min="2040" max="2040" width="7.125" style="68" customWidth="1"/>
    <col min="2041" max="2046" width="2.375" style="68" customWidth="1"/>
    <col min="2047" max="2280" width="9" style="68"/>
    <col min="2281" max="2281" width="6.375" style="68" customWidth="1"/>
    <col min="2282" max="2282" width="8.375" style="68" customWidth="1"/>
    <col min="2283" max="2283" width="12" style="68" customWidth="1"/>
    <col min="2284" max="2284" width="10.375" style="68" customWidth="1"/>
    <col min="2285" max="2285" width="10.5" style="68" customWidth="1"/>
    <col min="2286" max="2286" width="10.25" style="68" customWidth="1"/>
    <col min="2287" max="2287" width="10.125" style="68" customWidth="1"/>
    <col min="2288" max="2289" width="10.25" style="68" customWidth="1"/>
    <col min="2290" max="2290" width="10.125" style="68" customWidth="1"/>
    <col min="2291" max="2292" width="11.75" style="68" customWidth="1"/>
    <col min="2293" max="2293" width="7.875" style="68" customWidth="1"/>
    <col min="2294" max="2295" width="9" style="68"/>
    <col min="2296" max="2296" width="7.125" style="68" customWidth="1"/>
    <col min="2297" max="2302" width="2.375" style="68" customWidth="1"/>
    <col min="2303" max="2536" width="9" style="68"/>
    <col min="2537" max="2537" width="6.375" style="68" customWidth="1"/>
    <col min="2538" max="2538" width="8.375" style="68" customWidth="1"/>
    <col min="2539" max="2539" width="12" style="68" customWidth="1"/>
    <col min="2540" max="2540" width="10.375" style="68" customWidth="1"/>
    <col min="2541" max="2541" width="10.5" style="68" customWidth="1"/>
    <col min="2542" max="2542" width="10.25" style="68" customWidth="1"/>
    <col min="2543" max="2543" width="10.125" style="68" customWidth="1"/>
    <col min="2544" max="2545" width="10.25" style="68" customWidth="1"/>
    <col min="2546" max="2546" width="10.125" style="68" customWidth="1"/>
    <col min="2547" max="2548" width="11.75" style="68" customWidth="1"/>
    <col min="2549" max="2549" width="7.875" style="68" customWidth="1"/>
    <col min="2550" max="2551" width="9" style="68"/>
    <col min="2552" max="2552" width="7.125" style="68" customWidth="1"/>
    <col min="2553" max="2558" width="2.375" style="68" customWidth="1"/>
    <col min="2559" max="2792" width="9" style="68"/>
    <col min="2793" max="2793" width="6.375" style="68" customWidth="1"/>
    <col min="2794" max="2794" width="8.375" style="68" customWidth="1"/>
    <col min="2795" max="2795" width="12" style="68" customWidth="1"/>
    <col min="2796" max="2796" width="10.375" style="68" customWidth="1"/>
    <col min="2797" max="2797" width="10.5" style="68" customWidth="1"/>
    <col min="2798" max="2798" width="10.25" style="68" customWidth="1"/>
    <col min="2799" max="2799" width="10.125" style="68" customWidth="1"/>
    <col min="2800" max="2801" width="10.25" style="68" customWidth="1"/>
    <col min="2802" max="2802" width="10.125" style="68" customWidth="1"/>
    <col min="2803" max="2804" width="11.75" style="68" customWidth="1"/>
    <col min="2805" max="2805" width="7.875" style="68" customWidth="1"/>
    <col min="2806" max="2807" width="9" style="68"/>
    <col min="2808" max="2808" width="7.125" style="68" customWidth="1"/>
    <col min="2809" max="2814" width="2.375" style="68" customWidth="1"/>
    <col min="2815" max="3048" width="9" style="68"/>
    <col min="3049" max="3049" width="6.375" style="68" customWidth="1"/>
    <col min="3050" max="3050" width="8.375" style="68" customWidth="1"/>
    <col min="3051" max="3051" width="12" style="68" customWidth="1"/>
    <col min="3052" max="3052" width="10.375" style="68" customWidth="1"/>
    <col min="3053" max="3053" width="10.5" style="68" customWidth="1"/>
    <col min="3054" max="3054" width="10.25" style="68" customWidth="1"/>
    <col min="3055" max="3055" width="10.125" style="68" customWidth="1"/>
    <col min="3056" max="3057" width="10.25" style="68" customWidth="1"/>
    <col min="3058" max="3058" width="10.125" style="68" customWidth="1"/>
    <col min="3059" max="3060" width="11.75" style="68" customWidth="1"/>
    <col min="3061" max="3061" width="7.875" style="68" customWidth="1"/>
    <col min="3062" max="3063" width="9" style="68"/>
    <col min="3064" max="3064" width="7.125" style="68" customWidth="1"/>
    <col min="3065" max="3070" width="2.375" style="68" customWidth="1"/>
    <col min="3071" max="3304" width="9" style="68"/>
    <col min="3305" max="3305" width="6.375" style="68" customWidth="1"/>
    <col min="3306" max="3306" width="8.375" style="68" customWidth="1"/>
    <col min="3307" max="3307" width="12" style="68" customWidth="1"/>
    <col min="3308" max="3308" width="10.375" style="68" customWidth="1"/>
    <col min="3309" max="3309" width="10.5" style="68" customWidth="1"/>
    <col min="3310" max="3310" width="10.25" style="68" customWidth="1"/>
    <col min="3311" max="3311" width="10.125" style="68" customWidth="1"/>
    <col min="3312" max="3313" width="10.25" style="68" customWidth="1"/>
    <col min="3314" max="3314" width="10.125" style="68" customWidth="1"/>
    <col min="3315" max="3316" width="11.75" style="68" customWidth="1"/>
    <col min="3317" max="3317" width="7.875" style="68" customWidth="1"/>
    <col min="3318" max="3319" width="9" style="68"/>
    <col min="3320" max="3320" width="7.125" style="68" customWidth="1"/>
    <col min="3321" max="3326" width="2.375" style="68" customWidth="1"/>
    <col min="3327" max="3560" width="9" style="68"/>
    <col min="3561" max="3561" width="6.375" style="68" customWidth="1"/>
    <col min="3562" max="3562" width="8.375" style="68" customWidth="1"/>
    <col min="3563" max="3563" width="12" style="68" customWidth="1"/>
    <col min="3564" max="3564" width="10.375" style="68" customWidth="1"/>
    <col min="3565" max="3565" width="10.5" style="68" customWidth="1"/>
    <col min="3566" max="3566" width="10.25" style="68" customWidth="1"/>
    <col min="3567" max="3567" width="10.125" style="68" customWidth="1"/>
    <col min="3568" max="3569" width="10.25" style="68" customWidth="1"/>
    <col min="3570" max="3570" width="10.125" style="68" customWidth="1"/>
    <col min="3571" max="3572" width="11.75" style="68" customWidth="1"/>
    <col min="3573" max="3573" width="7.875" style="68" customWidth="1"/>
    <col min="3574" max="3575" width="9" style="68"/>
    <col min="3576" max="3576" width="7.125" style="68" customWidth="1"/>
    <col min="3577" max="3582" width="2.375" style="68" customWidth="1"/>
    <col min="3583" max="3816" width="9" style="68"/>
    <col min="3817" max="3817" width="6.375" style="68" customWidth="1"/>
    <col min="3818" max="3818" width="8.375" style="68" customWidth="1"/>
    <col min="3819" max="3819" width="12" style="68" customWidth="1"/>
    <col min="3820" max="3820" width="10.375" style="68" customWidth="1"/>
    <col min="3821" max="3821" width="10.5" style="68" customWidth="1"/>
    <col min="3822" max="3822" width="10.25" style="68" customWidth="1"/>
    <col min="3823" max="3823" width="10.125" style="68" customWidth="1"/>
    <col min="3824" max="3825" width="10.25" style="68" customWidth="1"/>
    <col min="3826" max="3826" width="10.125" style="68" customWidth="1"/>
    <col min="3827" max="3828" width="11.75" style="68" customWidth="1"/>
    <col min="3829" max="3829" width="7.875" style="68" customWidth="1"/>
    <col min="3830" max="3831" width="9" style="68"/>
    <col min="3832" max="3832" width="7.125" style="68" customWidth="1"/>
    <col min="3833" max="3838" width="2.375" style="68" customWidth="1"/>
    <col min="3839" max="4072" width="9" style="68"/>
    <col min="4073" max="4073" width="6.375" style="68" customWidth="1"/>
    <col min="4074" max="4074" width="8.375" style="68" customWidth="1"/>
    <col min="4075" max="4075" width="12" style="68" customWidth="1"/>
    <col min="4076" max="4076" width="10.375" style="68" customWidth="1"/>
    <col min="4077" max="4077" width="10.5" style="68" customWidth="1"/>
    <col min="4078" max="4078" width="10.25" style="68" customWidth="1"/>
    <col min="4079" max="4079" width="10.125" style="68" customWidth="1"/>
    <col min="4080" max="4081" width="10.25" style="68" customWidth="1"/>
    <col min="4082" max="4082" width="10.125" style="68" customWidth="1"/>
    <col min="4083" max="4084" width="11.75" style="68" customWidth="1"/>
    <col min="4085" max="4085" width="7.875" style="68" customWidth="1"/>
    <col min="4086" max="4087" width="9" style="68"/>
    <col min="4088" max="4088" width="7.125" style="68" customWidth="1"/>
    <col min="4089" max="4094" width="2.375" style="68" customWidth="1"/>
    <col min="4095" max="4328" width="9" style="68"/>
    <col min="4329" max="4329" width="6.375" style="68" customWidth="1"/>
    <col min="4330" max="4330" width="8.375" style="68" customWidth="1"/>
    <col min="4331" max="4331" width="12" style="68" customWidth="1"/>
    <col min="4332" max="4332" width="10.375" style="68" customWidth="1"/>
    <col min="4333" max="4333" width="10.5" style="68" customWidth="1"/>
    <col min="4334" max="4334" width="10.25" style="68" customWidth="1"/>
    <col min="4335" max="4335" width="10.125" style="68" customWidth="1"/>
    <col min="4336" max="4337" width="10.25" style="68" customWidth="1"/>
    <col min="4338" max="4338" width="10.125" style="68" customWidth="1"/>
    <col min="4339" max="4340" width="11.75" style="68" customWidth="1"/>
    <col min="4341" max="4341" width="7.875" style="68" customWidth="1"/>
    <col min="4342" max="4343" width="9" style="68"/>
    <col min="4344" max="4344" width="7.125" style="68" customWidth="1"/>
    <col min="4345" max="4350" width="2.375" style="68" customWidth="1"/>
    <col min="4351" max="4584" width="9" style="68"/>
    <col min="4585" max="4585" width="6.375" style="68" customWidth="1"/>
    <col min="4586" max="4586" width="8.375" style="68" customWidth="1"/>
    <col min="4587" max="4587" width="12" style="68" customWidth="1"/>
    <col min="4588" max="4588" width="10.375" style="68" customWidth="1"/>
    <col min="4589" max="4589" width="10.5" style="68" customWidth="1"/>
    <col min="4590" max="4590" width="10.25" style="68" customWidth="1"/>
    <col min="4591" max="4591" width="10.125" style="68" customWidth="1"/>
    <col min="4592" max="4593" width="10.25" style="68" customWidth="1"/>
    <col min="4594" max="4594" width="10.125" style="68" customWidth="1"/>
    <col min="4595" max="4596" width="11.75" style="68" customWidth="1"/>
    <col min="4597" max="4597" width="7.875" style="68" customWidth="1"/>
    <col min="4598" max="4599" width="9" style="68"/>
    <col min="4600" max="4600" width="7.125" style="68" customWidth="1"/>
    <col min="4601" max="4606" width="2.375" style="68" customWidth="1"/>
    <col min="4607" max="4840" width="9" style="68"/>
    <col min="4841" max="4841" width="6.375" style="68" customWidth="1"/>
    <col min="4842" max="4842" width="8.375" style="68" customWidth="1"/>
    <col min="4843" max="4843" width="12" style="68" customWidth="1"/>
    <col min="4844" max="4844" width="10.375" style="68" customWidth="1"/>
    <col min="4845" max="4845" width="10.5" style="68" customWidth="1"/>
    <col min="4846" max="4846" width="10.25" style="68" customWidth="1"/>
    <col min="4847" max="4847" width="10.125" style="68" customWidth="1"/>
    <col min="4848" max="4849" width="10.25" style="68" customWidth="1"/>
    <col min="4850" max="4850" width="10.125" style="68" customWidth="1"/>
    <col min="4851" max="4852" width="11.75" style="68" customWidth="1"/>
    <col min="4853" max="4853" width="7.875" style="68" customWidth="1"/>
    <col min="4854" max="4855" width="9" style="68"/>
    <col min="4856" max="4856" width="7.125" style="68" customWidth="1"/>
    <col min="4857" max="4862" width="2.375" style="68" customWidth="1"/>
    <col min="4863" max="5096" width="9" style="68"/>
    <col min="5097" max="5097" width="6.375" style="68" customWidth="1"/>
    <col min="5098" max="5098" width="8.375" style="68" customWidth="1"/>
    <col min="5099" max="5099" width="12" style="68" customWidth="1"/>
    <col min="5100" max="5100" width="10.375" style="68" customWidth="1"/>
    <col min="5101" max="5101" width="10.5" style="68" customWidth="1"/>
    <col min="5102" max="5102" width="10.25" style="68" customWidth="1"/>
    <col min="5103" max="5103" width="10.125" style="68" customWidth="1"/>
    <col min="5104" max="5105" width="10.25" style="68" customWidth="1"/>
    <col min="5106" max="5106" width="10.125" style="68" customWidth="1"/>
    <col min="5107" max="5108" width="11.75" style="68" customWidth="1"/>
    <col min="5109" max="5109" width="7.875" style="68" customWidth="1"/>
    <col min="5110" max="5111" width="9" style="68"/>
    <col min="5112" max="5112" width="7.125" style="68" customWidth="1"/>
    <col min="5113" max="5118" width="2.375" style="68" customWidth="1"/>
    <col min="5119" max="5352" width="9" style="68"/>
    <col min="5353" max="5353" width="6.375" style="68" customWidth="1"/>
    <col min="5354" max="5354" width="8.375" style="68" customWidth="1"/>
    <col min="5355" max="5355" width="12" style="68" customWidth="1"/>
    <col min="5356" max="5356" width="10.375" style="68" customWidth="1"/>
    <col min="5357" max="5357" width="10.5" style="68" customWidth="1"/>
    <col min="5358" max="5358" width="10.25" style="68" customWidth="1"/>
    <col min="5359" max="5359" width="10.125" style="68" customWidth="1"/>
    <col min="5360" max="5361" width="10.25" style="68" customWidth="1"/>
    <col min="5362" max="5362" width="10.125" style="68" customWidth="1"/>
    <col min="5363" max="5364" width="11.75" style="68" customWidth="1"/>
    <col min="5365" max="5365" width="7.875" style="68" customWidth="1"/>
    <col min="5366" max="5367" width="9" style="68"/>
    <col min="5368" max="5368" width="7.125" style="68" customWidth="1"/>
    <col min="5369" max="5374" width="2.375" style="68" customWidth="1"/>
    <col min="5375" max="5608" width="9" style="68"/>
    <col min="5609" max="5609" width="6.375" style="68" customWidth="1"/>
    <col min="5610" max="5610" width="8.375" style="68" customWidth="1"/>
    <col min="5611" max="5611" width="12" style="68" customWidth="1"/>
    <col min="5612" max="5612" width="10.375" style="68" customWidth="1"/>
    <col min="5613" max="5613" width="10.5" style="68" customWidth="1"/>
    <col min="5614" max="5614" width="10.25" style="68" customWidth="1"/>
    <col min="5615" max="5615" width="10.125" style="68" customWidth="1"/>
    <col min="5616" max="5617" width="10.25" style="68" customWidth="1"/>
    <col min="5618" max="5618" width="10.125" style="68" customWidth="1"/>
    <col min="5619" max="5620" width="11.75" style="68" customWidth="1"/>
    <col min="5621" max="5621" width="7.875" style="68" customWidth="1"/>
    <col min="5622" max="5623" width="9" style="68"/>
    <col min="5624" max="5624" width="7.125" style="68" customWidth="1"/>
    <col min="5625" max="5630" width="2.375" style="68" customWidth="1"/>
    <col min="5631" max="5864" width="9" style="68"/>
    <col min="5865" max="5865" width="6.375" style="68" customWidth="1"/>
    <col min="5866" max="5866" width="8.375" style="68" customWidth="1"/>
    <col min="5867" max="5867" width="12" style="68" customWidth="1"/>
    <col min="5868" max="5868" width="10.375" style="68" customWidth="1"/>
    <col min="5869" max="5869" width="10.5" style="68" customWidth="1"/>
    <col min="5870" max="5870" width="10.25" style="68" customWidth="1"/>
    <col min="5871" max="5871" width="10.125" style="68" customWidth="1"/>
    <col min="5872" max="5873" width="10.25" style="68" customWidth="1"/>
    <col min="5874" max="5874" width="10.125" style="68" customWidth="1"/>
    <col min="5875" max="5876" width="11.75" style="68" customWidth="1"/>
    <col min="5877" max="5877" width="7.875" style="68" customWidth="1"/>
    <col min="5878" max="5879" width="9" style="68"/>
    <col min="5880" max="5880" width="7.125" style="68" customWidth="1"/>
    <col min="5881" max="5886" width="2.375" style="68" customWidth="1"/>
    <col min="5887" max="6120" width="9" style="68"/>
    <col min="6121" max="6121" width="6.375" style="68" customWidth="1"/>
    <col min="6122" max="6122" width="8.375" style="68" customWidth="1"/>
    <col min="6123" max="6123" width="12" style="68" customWidth="1"/>
    <col min="6124" max="6124" width="10.375" style="68" customWidth="1"/>
    <col min="6125" max="6125" width="10.5" style="68" customWidth="1"/>
    <col min="6126" max="6126" width="10.25" style="68" customWidth="1"/>
    <col min="6127" max="6127" width="10.125" style="68" customWidth="1"/>
    <col min="6128" max="6129" width="10.25" style="68" customWidth="1"/>
    <col min="6130" max="6130" width="10.125" style="68" customWidth="1"/>
    <col min="6131" max="6132" width="11.75" style="68" customWidth="1"/>
    <col min="6133" max="6133" width="7.875" style="68" customWidth="1"/>
    <col min="6134" max="6135" width="9" style="68"/>
    <col min="6136" max="6136" width="7.125" style="68" customWidth="1"/>
    <col min="6137" max="6142" width="2.375" style="68" customWidth="1"/>
    <col min="6143" max="6376" width="9" style="68"/>
    <col min="6377" max="6377" width="6.375" style="68" customWidth="1"/>
    <col min="6378" max="6378" width="8.375" style="68" customWidth="1"/>
    <col min="6379" max="6379" width="12" style="68" customWidth="1"/>
    <col min="6380" max="6380" width="10.375" style="68" customWidth="1"/>
    <col min="6381" max="6381" width="10.5" style="68" customWidth="1"/>
    <col min="6382" max="6382" width="10.25" style="68" customWidth="1"/>
    <col min="6383" max="6383" width="10.125" style="68" customWidth="1"/>
    <col min="6384" max="6385" width="10.25" style="68" customWidth="1"/>
    <col min="6386" max="6386" width="10.125" style="68" customWidth="1"/>
    <col min="6387" max="6388" width="11.75" style="68" customWidth="1"/>
    <col min="6389" max="6389" width="7.875" style="68" customWidth="1"/>
    <col min="6390" max="6391" width="9" style="68"/>
    <col min="6392" max="6392" width="7.125" style="68" customWidth="1"/>
    <col min="6393" max="6398" width="2.375" style="68" customWidth="1"/>
    <col min="6399" max="6632" width="9" style="68"/>
    <col min="6633" max="6633" width="6.375" style="68" customWidth="1"/>
    <col min="6634" max="6634" width="8.375" style="68" customWidth="1"/>
    <col min="6635" max="6635" width="12" style="68" customWidth="1"/>
    <col min="6636" max="6636" width="10.375" style="68" customWidth="1"/>
    <col min="6637" max="6637" width="10.5" style="68" customWidth="1"/>
    <col min="6638" max="6638" width="10.25" style="68" customWidth="1"/>
    <col min="6639" max="6639" width="10.125" style="68" customWidth="1"/>
    <col min="6640" max="6641" width="10.25" style="68" customWidth="1"/>
    <col min="6642" max="6642" width="10.125" style="68" customWidth="1"/>
    <col min="6643" max="6644" width="11.75" style="68" customWidth="1"/>
    <col min="6645" max="6645" width="7.875" style="68" customWidth="1"/>
    <col min="6646" max="6647" width="9" style="68"/>
    <col min="6648" max="6648" width="7.125" style="68" customWidth="1"/>
    <col min="6649" max="6654" width="2.375" style="68" customWidth="1"/>
    <col min="6655" max="6888" width="9" style="68"/>
    <col min="6889" max="6889" width="6.375" style="68" customWidth="1"/>
    <col min="6890" max="6890" width="8.375" style="68" customWidth="1"/>
    <col min="6891" max="6891" width="12" style="68" customWidth="1"/>
    <col min="6892" max="6892" width="10.375" style="68" customWidth="1"/>
    <col min="6893" max="6893" width="10.5" style="68" customWidth="1"/>
    <col min="6894" max="6894" width="10.25" style="68" customWidth="1"/>
    <col min="6895" max="6895" width="10.125" style="68" customWidth="1"/>
    <col min="6896" max="6897" width="10.25" style="68" customWidth="1"/>
    <col min="6898" max="6898" width="10.125" style="68" customWidth="1"/>
    <col min="6899" max="6900" width="11.75" style="68" customWidth="1"/>
    <col min="6901" max="6901" width="7.875" style="68" customWidth="1"/>
    <col min="6902" max="6903" width="9" style="68"/>
    <col min="6904" max="6904" width="7.125" style="68" customWidth="1"/>
    <col min="6905" max="6910" width="2.375" style="68" customWidth="1"/>
    <col min="6911" max="7144" width="9" style="68"/>
    <col min="7145" max="7145" width="6.375" style="68" customWidth="1"/>
    <col min="7146" max="7146" width="8.375" style="68" customWidth="1"/>
    <col min="7147" max="7147" width="12" style="68" customWidth="1"/>
    <col min="7148" max="7148" width="10.375" style="68" customWidth="1"/>
    <col min="7149" max="7149" width="10.5" style="68" customWidth="1"/>
    <col min="7150" max="7150" width="10.25" style="68" customWidth="1"/>
    <col min="7151" max="7151" width="10.125" style="68" customWidth="1"/>
    <col min="7152" max="7153" width="10.25" style="68" customWidth="1"/>
    <col min="7154" max="7154" width="10.125" style="68" customWidth="1"/>
    <col min="7155" max="7156" width="11.75" style="68" customWidth="1"/>
    <col min="7157" max="7157" width="7.875" style="68" customWidth="1"/>
    <col min="7158" max="7159" width="9" style="68"/>
    <col min="7160" max="7160" width="7.125" style="68" customWidth="1"/>
    <col min="7161" max="7166" width="2.375" style="68" customWidth="1"/>
    <col min="7167" max="7400" width="9" style="68"/>
    <col min="7401" max="7401" width="6.375" style="68" customWidth="1"/>
    <col min="7402" max="7402" width="8.375" style="68" customWidth="1"/>
    <col min="7403" max="7403" width="12" style="68" customWidth="1"/>
    <col min="7404" max="7404" width="10.375" style="68" customWidth="1"/>
    <col min="7405" max="7405" width="10.5" style="68" customWidth="1"/>
    <col min="7406" max="7406" width="10.25" style="68" customWidth="1"/>
    <col min="7407" max="7407" width="10.125" style="68" customWidth="1"/>
    <col min="7408" max="7409" width="10.25" style="68" customWidth="1"/>
    <col min="7410" max="7410" width="10.125" style="68" customWidth="1"/>
    <col min="7411" max="7412" width="11.75" style="68" customWidth="1"/>
    <col min="7413" max="7413" width="7.875" style="68" customWidth="1"/>
    <col min="7414" max="7415" width="9" style="68"/>
    <col min="7416" max="7416" width="7.125" style="68" customWidth="1"/>
    <col min="7417" max="7422" width="2.375" style="68" customWidth="1"/>
    <col min="7423" max="7656" width="9" style="68"/>
    <col min="7657" max="7657" width="6.375" style="68" customWidth="1"/>
    <col min="7658" max="7658" width="8.375" style="68" customWidth="1"/>
    <col min="7659" max="7659" width="12" style="68" customWidth="1"/>
    <col min="7660" max="7660" width="10.375" style="68" customWidth="1"/>
    <col min="7661" max="7661" width="10.5" style="68" customWidth="1"/>
    <col min="7662" max="7662" width="10.25" style="68" customWidth="1"/>
    <col min="7663" max="7663" width="10.125" style="68" customWidth="1"/>
    <col min="7664" max="7665" width="10.25" style="68" customWidth="1"/>
    <col min="7666" max="7666" width="10.125" style="68" customWidth="1"/>
    <col min="7667" max="7668" width="11.75" style="68" customWidth="1"/>
    <col min="7669" max="7669" width="7.875" style="68" customWidth="1"/>
    <col min="7670" max="7671" width="9" style="68"/>
    <col min="7672" max="7672" width="7.125" style="68" customWidth="1"/>
    <col min="7673" max="7678" width="2.375" style="68" customWidth="1"/>
    <col min="7679" max="7912" width="9" style="68"/>
    <col min="7913" max="7913" width="6.375" style="68" customWidth="1"/>
    <col min="7914" max="7914" width="8.375" style="68" customWidth="1"/>
    <col min="7915" max="7915" width="12" style="68" customWidth="1"/>
    <col min="7916" max="7916" width="10.375" style="68" customWidth="1"/>
    <col min="7917" max="7917" width="10.5" style="68" customWidth="1"/>
    <col min="7918" max="7918" width="10.25" style="68" customWidth="1"/>
    <col min="7919" max="7919" width="10.125" style="68" customWidth="1"/>
    <col min="7920" max="7921" width="10.25" style="68" customWidth="1"/>
    <col min="7922" max="7922" width="10.125" style="68" customWidth="1"/>
    <col min="7923" max="7924" width="11.75" style="68" customWidth="1"/>
    <col min="7925" max="7925" width="7.875" style="68" customWidth="1"/>
    <col min="7926" max="7927" width="9" style="68"/>
    <col min="7928" max="7928" width="7.125" style="68" customWidth="1"/>
    <col min="7929" max="7934" width="2.375" style="68" customWidth="1"/>
    <col min="7935" max="8168" width="9" style="68"/>
    <col min="8169" max="8169" width="6.375" style="68" customWidth="1"/>
    <col min="8170" max="8170" width="8.375" style="68" customWidth="1"/>
    <col min="8171" max="8171" width="12" style="68" customWidth="1"/>
    <col min="8172" max="8172" width="10.375" style="68" customWidth="1"/>
    <col min="8173" max="8173" width="10.5" style="68" customWidth="1"/>
    <col min="8174" max="8174" width="10.25" style="68" customWidth="1"/>
    <col min="8175" max="8175" width="10.125" style="68" customWidth="1"/>
    <col min="8176" max="8177" width="10.25" style="68" customWidth="1"/>
    <col min="8178" max="8178" width="10.125" style="68" customWidth="1"/>
    <col min="8179" max="8180" width="11.75" style="68" customWidth="1"/>
    <col min="8181" max="8181" width="7.875" style="68" customWidth="1"/>
    <col min="8182" max="8183" width="9" style="68"/>
    <col min="8184" max="8184" width="7.125" style="68" customWidth="1"/>
    <col min="8185" max="8190" width="2.375" style="68" customWidth="1"/>
    <col min="8191" max="8424" width="9" style="68"/>
    <col min="8425" max="8425" width="6.375" style="68" customWidth="1"/>
    <col min="8426" max="8426" width="8.375" style="68" customWidth="1"/>
    <col min="8427" max="8427" width="12" style="68" customWidth="1"/>
    <col min="8428" max="8428" width="10.375" style="68" customWidth="1"/>
    <col min="8429" max="8429" width="10.5" style="68" customWidth="1"/>
    <col min="8430" max="8430" width="10.25" style="68" customWidth="1"/>
    <col min="8431" max="8431" width="10.125" style="68" customWidth="1"/>
    <col min="8432" max="8433" width="10.25" style="68" customWidth="1"/>
    <col min="8434" max="8434" width="10.125" style="68" customWidth="1"/>
    <col min="8435" max="8436" width="11.75" style="68" customWidth="1"/>
    <col min="8437" max="8437" width="7.875" style="68" customWidth="1"/>
    <col min="8438" max="8439" width="9" style="68"/>
    <col min="8440" max="8440" width="7.125" style="68" customWidth="1"/>
    <col min="8441" max="8446" width="2.375" style="68" customWidth="1"/>
    <col min="8447" max="8680" width="9" style="68"/>
    <col min="8681" max="8681" width="6.375" style="68" customWidth="1"/>
    <col min="8682" max="8682" width="8.375" style="68" customWidth="1"/>
    <col min="8683" max="8683" width="12" style="68" customWidth="1"/>
    <col min="8684" max="8684" width="10.375" style="68" customWidth="1"/>
    <col min="8685" max="8685" width="10.5" style="68" customWidth="1"/>
    <col min="8686" max="8686" width="10.25" style="68" customWidth="1"/>
    <col min="8687" max="8687" width="10.125" style="68" customWidth="1"/>
    <col min="8688" max="8689" width="10.25" style="68" customWidth="1"/>
    <col min="8690" max="8690" width="10.125" style="68" customWidth="1"/>
    <col min="8691" max="8692" width="11.75" style="68" customWidth="1"/>
    <col min="8693" max="8693" width="7.875" style="68" customWidth="1"/>
    <col min="8694" max="8695" width="9" style="68"/>
    <col min="8696" max="8696" width="7.125" style="68" customWidth="1"/>
    <col min="8697" max="8702" width="2.375" style="68" customWidth="1"/>
    <col min="8703" max="8936" width="9" style="68"/>
    <col min="8937" max="8937" width="6.375" style="68" customWidth="1"/>
    <col min="8938" max="8938" width="8.375" style="68" customWidth="1"/>
    <col min="8939" max="8939" width="12" style="68" customWidth="1"/>
    <col min="8940" max="8940" width="10.375" style="68" customWidth="1"/>
    <col min="8941" max="8941" width="10.5" style="68" customWidth="1"/>
    <col min="8942" max="8942" width="10.25" style="68" customWidth="1"/>
    <col min="8943" max="8943" width="10.125" style="68" customWidth="1"/>
    <col min="8944" max="8945" width="10.25" style="68" customWidth="1"/>
    <col min="8946" max="8946" width="10.125" style="68" customWidth="1"/>
    <col min="8947" max="8948" width="11.75" style="68" customWidth="1"/>
    <col min="8949" max="8949" width="7.875" style="68" customWidth="1"/>
    <col min="8950" max="8951" width="9" style="68"/>
    <col min="8952" max="8952" width="7.125" style="68" customWidth="1"/>
    <col min="8953" max="8958" width="2.375" style="68" customWidth="1"/>
    <col min="8959" max="9192" width="9" style="68"/>
    <col min="9193" max="9193" width="6.375" style="68" customWidth="1"/>
    <col min="9194" max="9194" width="8.375" style="68" customWidth="1"/>
    <col min="9195" max="9195" width="12" style="68" customWidth="1"/>
    <col min="9196" max="9196" width="10.375" style="68" customWidth="1"/>
    <col min="9197" max="9197" width="10.5" style="68" customWidth="1"/>
    <col min="9198" max="9198" width="10.25" style="68" customWidth="1"/>
    <col min="9199" max="9199" width="10.125" style="68" customWidth="1"/>
    <col min="9200" max="9201" width="10.25" style="68" customWidth="1"/>
    <col min="9202" max="9202" width="10.125" style="68" customWidth="1"/>
    <col min="9203" max="9204" width="11.75" style="68" customWidth="1"/>
    <col min="9205" max="9205" width="7.875" style="68" customWidth="1"/>
    <col min="9206" max="9207" width="9" style="68"/>
    <col min="9208" max="9208" width="7.125" style="68" customWidth="1"/>
    <col min="9209" max="9214" width="2.375" style="68" customWidth="1"/>
    <col min="9215" max="9448" width="9" style="68"/>
    <col min="9449" max="9449" width="6.375" style="68" customWidth="1"/>
    <col min="9450" max="9450" width="8.375" style="68" customWidth="1"/>
    <col min="9451" max="9451" width="12" style="68" customWidth="1"/>
    <col min="9452" max="9452" width="10.375" style="68" customWidth="1"/>
    <col min="9453" max="9453" width="10.5" style="68" customWidth="1"/>
    <col min="9454" max="9454" width="10.25" style="68" customWidth="1"/>
    <col min="9455" max="9455" width="10.125" style="68" customWidth="1"/>
    <col min="9456" max="9457" width="10.25" style="68" customWidth="1"/>
    <col min="9458" max="9458" width="10.125" style="68" customWidth="1"/>
    <col min="9459" max="9460" width="11.75" style="68" customWidth="1"/>
    <col min="9461" max="9461" width="7.875" style="68" customWidth="1"/>
    <col min="9462" max="9463" width="9" style="68"/>
    <col min="9464" max="9464" width="7.125" style="68" customWidth="1"/>
    <col min="9465" max="9470" width="2.375" style="68" customWidth="1"/>
    <col min="9471" max="9704" width="9" style="68"/>
    <col min="9705" max="9705" width="6.375" style="68" customWidth="1"/>
    <col min="9706" max="9706" width="8.375" style="68" customWidth="1"/>
    <col min="9707" max="9707" width="12" style="68" customWidth="1"/>
    <col min="9708" max="9708" width="10.375" style="68" customWidth="1"/>
    <col min="9709" max="9709" width="10.5" style="68" customWidth="1"/>
    <col min="9710" max="9710" width="10.25" style="68" customWidth="1"/>
    <col min="9711" max="9711" width="10.125" style="68" customWidth="1"/>
    <col min="9712" max="9713" width="10.25" style="68" customWidth="1"/>
    <col min="9714" max="9714" width="10.125" style="68" customWidth="1"/>
    <col min="9715" max="9716" width="11.75" style="68" customWidth="1"/>
    <col min="9717" max="9717" width="7.875" style="68" customWidth="1"/>
    <col min="9718" max="9719" width="9" style="68"/>
    <col min="9720" max="9720" width="7.125" style="68" customWidth="1"/>
    <col min="9721" max="9726" width="2.375" style="68" customWidth="1"/>
    <col min="9727" max="9960" width="9" style="68"/>
    <col min="9961" max="9961" width="6.375" style="68" customWidth="1"/>
    <col min="9962" max="9962" width="8.375" style="68" customWidth="1"/>
    <col min="9963" max="9963" width="12" style="68" customWidth="1"/>
    <col min="9964" max="9964" width="10.375" style="68" customWidth="1"/>
    <col min="9965" max="9965" width="10.5" style="68" customWidth="1"/>
    <col min="9966" max="9966" width="10.25" style="68" customWidth="1"/>
    <col min="9967" max="9967" width="10.125" style="68" customWidth="1"/>
    <col min="9968" max="9969" width="10.25" style="68" customWidth="1"/>
    <col min="9970" max="9970" width="10.125" style="68" customWidth="1"/>
    <col min="9971" max="9972" width="11.75" style="68" customWidth="1"/>
    <col min="9973" max="9973" width="7.875" style="68" customWidth="1"/>
    <col min="9974" max="9975" width="9" style="68"/>
    <col min="9976" max="9976" width="7.125" style="68" customWidth="1"/>
    <col min="9977" max="9982" width="2.375" style="68" customWidth="1"/>
    <col min="9983" max="10216" width="9" style="68"/>
    <col min="10217" max="10217" width="6.375" style="68" customWidth="1"/>
    <col min="10218" max="10218" width="8.375" style="68" customWidth="1"/>
    <col min="10219" max="10219" width="12" style="68" customWidth="1"/>
    <col min="10220" max="10220" width="10.375" style="68" customWidth="1"/>
    <col min="10221" max="10221" width="10.5" style="68" customWidth="1"/>
    <col min="10222" max="10222" width="10.25" style="68" customWidth="1"/>
    <col min="10223" max="10223" width="10.125" style="68" customWidth="1"/>
    <col min="10224" max="10225" width="10.25" style="68" customWidth="1"/>
    <col min="10226" max="10226" width="10.125" style="68" customWidth="1"/>
    <col min="10227" max="10228" width="11.75" style="68" customWidth="1"/>
    <col min="10229" max="10229" width="7.875" style="68" customWidth="1"/>
    <col min="10230" max="10231" width="9" style="68"/>
    <col min="10232" max="10232" width="7.125" style="68" customWidth="1"/>
    <col min="10233" max="10238" width="2.375" style="68" customWidth="1"/>
    <col min="10239" max="10472" width="9" style="68"/>
    <col min="10473" max="10473" width="6.375" style="68" customWidth="1"/>
    <col min="10474" max="10474" width="8.375" style="68" customWidth="1"/>
    <col min="10475" max="10475" width="12" style="68" customWidth="1"/>
    <col min="10476" max="10476" width="10.375" style="68" customWidth="1"/>
    <col min="10477" max="10477" width="10.5" style="68" customWidth="1"/>
    <col min="10478" max="10478" width="10.25" style="68" customWidth="1"/>
    <col min="10479" max="10479" width="10.125" style="68" customWidth="1"/>
    <col min="10480" max="10481" width="10.25" style="68" customWidth="1"/>
    <col min="10482" max="10482" width="10.125" style="68" customWidth="1"/>
    <col min="10483" max="10484" width="11.75" style="68" customWidth="1"/>
    <col min="10485" max="10485" width="7.875" style="68" customWidth="1"/>
    <col min="10486" max="10487" width="9" style="68"/>
    <col min="10488" max="10488" width="7.125" style="68" customWidth="1"/>
    <col min="10489" max="10494" width="2.375" style="68" customWidth="1"/>
    <col min="10495" max="10728" width="9" style="68"/>
    <col min="10729" max="10729" width="6.375" style="68" customWidth="1"/>
    <col min="10730" max="10730" width="8.375" style="68" customWidth="1"/>
    <col min="10731" max="10731" width="12" style="68" customWidth="1"/>
    <col min="10732" max="10732" width="10.375" style="68" customWidth="1"/>
    <col min="10733" max="10733" width="10.5" style="68" customWidth="1"/>
    <col min="10734" max="10734" width="10.25" style="68" customWidth="1"/>
    <col min="10735" max="10735" width="10.125" style="68" customWidth="1"/>
    <col min="10736" max="10737" width="10.25" style="68" customWidth="1"/>
    <col min="10738" max="10738" width="10.125" style="68" customWidth="1"/>
    <col min="10739" max="10740" width="11.75" style="68" customWidth="1"/>
    <col min="10741" max="10741" width="7.875" style="68" customWidth="1"/>
    <col min="10742" max="10743" width="9" style="68"/>
    <col min="10744" max="10744" width="7.125" style="68" customWidth="1"/>
    <col min="10745" max="10750" width="2.375" style="68" customWidth="1"/>
    <col min="10751" max="10984" width="9" style="68"/>
    <col min="10985" max="10985" width="6.375" style="68" customWidth="1"/>
    <col min="10986" max="10986" width="8.375" style="68" customWidth="1"/>
    <col min="10987" max="10987" width="12" style="68" customWidth="1"/>
    <col min="10988" max="10988" width="10.375" style="68" customWidth="1"/>
    <col min="10989" max="10989" width="10.5" style="68" customWidth="1"/>
    <col min="10990" max="10990" width="10.25" style="68" customWidth="1"/>
    <col min="10991" max="10991" width="10.125" style="68" customWidth="1"/>
    <col min="10992" max="10993" width="10.25" style="68" customWidth="1"/>
    <col min="10994" max="10994" width="10.125" style="68" customWidth="1"/>
    <col min="10995" max="10996" width="11.75" style="68" customWidth="1"/>
    <col min="10997" max="10997" width="7.875" style="68" customWidth="1"/>
    <col min="10998" max="10999" width="9" style="68"/>
    <col min="11000" max="11000" width="7.125" style="68" customWidth="1"/>
    <col min="11001" max="11006" width="2.375" style="68" customWidth="1"/>
    <col min="11007" max="11240" width="9" style="68"/>
    <col min="11241" max="11241" width="6.375" style="68" customWidth="1"/>
    <col min="11242" max="11242" width="8.375" style="68" customWidth="1"/>
    <col min="11243" max="11243" width="12" style="68" customWidth="1"/>
    <col min="11244" max="11244" width="10.375" style="68" customWidth="1"/>
    <col min="11245" max="11245" width="10.5" style="68" customWidth="1"/>
    <col min="11246" max="11246" width="10.25" style="68" customWidth="1"/>
    <col min="11247" max="11247" width="10.125" style="68" customWidth="1"/>
    <col min="11248" max="11249" width="10.25" style="68" customWidth="1"/>
    <col min="11250" max="11250" width="10.125" style="68" customWidth="1"/>
    <col min="11251" max="11252" width="11.75" style="68" customWidth="1"/>
    <col min="11253" max="11253" width="7.875" style="68" customWidth="1"/>
    <col min="11254" max="11255" width="9" style="68"/>
    <col min="11256" max="11256" width="7.125" style="68" customWidth="1"/>
    <col min="11257" max="11262" width="2.375" style="68" customWidth="1"/>
    <col min="11263" max="11496" width="9" style="68"/>
    <col min="11497" max="11497" width="6.375" style="68" customWidth="1"/>
    <col min="11498" max="11498" width="8.375" style="68" customWidth="1"/>
    <col min="11499" max="11499" width="12" style="68" customWidth="1"/>
    <col min="11500" max="11500" width="10.375" style="68" customWidth="1"/>
    <col min="11501" max="11501" width="10.5" style="68" customWidth="1"/>
    <col min="11502" max="11502" width="10.25" style="68" customWidth="1"/>
    <col min="11503" max="11503" width="10.125" style="68" customWidth="1"/>
    <col min="11504" max="11505" width="10.25" style="68" customWidth="1"/>
    <col min="11506" max="11506" width="10.125" style="68" customWidth="1"/>
    <col min="11507" max="11508" width="11.75" style="68" customWidth="1"/>
    <col min="11509" max="11509" width="7.875" style="68" customWidth="1"/>
    <col min="11510" max="11511" width="9" style="68"/>
    <col min="11512" max="11512" width="7.125" style="68" customWidth="1"/>
    <col min="11513" max="11518" width="2.375" style="68" customWidth="1"/>
    <col min="11519" max="11752" width="9" style="68"/>
    <col min="11753" max="11753" width="6.375" style="68" customWidth="1"/>
    <col min="11754" max="11754" width="8.375" style="68" customWidth="1"/>
    <col min="11755" max="11755" width="12" style="68" customWidth="1"/>
    <col min="11756" max="11756" width="10.375" style="68" customWidth="1"/>
    <col min="11757" max="11757" width="10.5" style="68" customWidth="1"/>
    <col min="11758" max="11758" width="10.25" style="68" customWidth="1"/>
    <col min="11759" max="11759" width="10.125" style="68" customWidth="1"/>
    <col min="11760" max="11761" width="10.25" style="68" customWidth="1"/>
    <col min="11762" max="11762" width="10.125" style="68" customWidth="1"/>
    <col min="11763" max="11764" width="11.75" style="68" customWidth="1"/>
    <col min="11765" max="11765" width="7.875" style="68" customWidth="1"/>
    <col min="11766" max="11767" width="9" style="68"/>
    <col min="11768" max="11768" width="7.125" style="68" customWidth="1"/>
    <col min="11769" max="11774" width="2.375" style="68" customWidth="1"/>
    <col min="11775" max="12008" width="9" style="68"/>
    <col min="12009" max="12009" width="6.375" style="68" customWidth="1"/>
    <col min="12010" max="12010" width="8.375" style="68" customWidth="1"/>
    <col min="12011" max="12011" width="12" style="68" customWidth="1"/>
    <col min="12012" max="12012" width="10.375" style="68" customWidth="1"/>
    <col min="12013" max="12013" width="10.5" style="68" customWidth="1"/>
    <col min="12014" max="12014" width="10.25" style="68" customWidth="1"/>
    <col min="12015" max="12015" width="10.125" style="68" customWidth="1"/>
    <col min="12016" max="12017" width="10.25" style="68" customWidth="1"/>
    <col min="12018" max="12018" width="10.125" style="68" customWidth="1"/>
    <col min="12019" max="12020" width="11.75" style="68" customWidth="1"/>
    <col min="12021" max="12021" width="7.875" style="68" customWidth="1"/>
    <col min="12022" max="12023" width="9" style="68"/>
    <col min="12024" max="12024" width="7.125" style="68" customWidth="1"/>
    <col min="12025" max="12030" width="2.375" style="68" customWidth="1"/>
    <col min="12031" max="12264" width="9" style="68"/>
    <col min="12265" max="12265" width="6.375" style="68" customWidth="1"/>
    <col min="12266" max="12266" width="8.375" style="68" customWidth="1"/>
    <col min="12267" max="12267" width="12" style="68" customWidth="1"/>
    <col min="12268" max="12268" width="10.375" style="68" customWidth="1"/>
    <col min="12269" max="12269" width="10.5" style="68" customWidth="1"/>
    <col min="12270" max="12270" width="10.25" style="68" customWidth="1"/>
    <col min="12271" max="12271" width="10.125" style="68" customWidth="1"/>
    <col min="12272" max="12273" width="10.25" style="68" customWidth="1"/>
    <col min="12274" max="12274" width="10.125" style="68" customWidth="1"/>
    <col min="12275" max="12276" width="11.75" style="68" customWidth="1"/>
    <col min="12277" max="12277" width="7.875" style="68" customWidth="1"/>
    <col min="12278" max="12279" width="9" style="68"/>
    <col min="12280" max="12280" width="7.125" style="68" customWidth="1"/>
    <col min="12281" max="12286" width="2.375" style="68" customWidth="1"/>
    <col min="12287" max="12520" width="9" style="68"/>
    <col min="12521" max="12521" width="6.375" style="68" customWidth="1"/>
    <col min="12522" max="12522" width="8.375" style="68" customWidth="1"/>
    <col min="12523" max="12523" width="12" style="68" customWidth="1"/>
    <col min="12524" max="12524" width="10.375" style="68" customWidth="1"/>
    <col min="12525" max="12525" width="10.5" style="68" customWidth="1"/>
    <col min="12526" max="12526" width="10.25" style="68" customWidth="1"/>
    <col min="12527" max="12527" width="10.125" style="68" customWidth="1"/>
    <col min="12528" max="12529" width="10.25" style="68" customWidth="1"/>
    <col min="12530" max="12530" width="10.125" style="68" customWidth="1"/>
    <col min="12531" max="12532" width="11.75" style="68" customWidth="1"/>
    <col min="12533" max="12533" width="7.875" style="68" customWidth="1"/>
    <col min="12534" max="12535" width="9" style="68"/>
    <col min="12536" max="12536" width="7.125" style="68" customWidth="1"/>
    <col min="12537" max="12542" width="2.375" style="68" customWidth="1"/>
    <col min="12543" max="12776" width="9" style="68"/>
    <col min="12777" max="12777" width="6.375" style="68" customWidth="1"/>
    <col min="12778" max="12778" width="8.375" style="68" customWidth="1"/>
    <col min="12779" max="12779" width="12" style="68" customWidth="1"/>
    <col min="12780" max="12780" width="10.375" style="68" customWidth="1"/>
    <col min="12781" max="12781" width="10.5" style="68" customWidth="1"/>
    <col min="12782" max="12782" width="10.25" style="68" customWidth="1"/>
    <col min="12783" max="12783" width="10.125" style="68" customWidth="1"/>
    <col min="12784" max="12785" width="10.25" style="68" customWidth="1"/>
    <col min="12786" max="12786" width="10.125" style="68" customWidth="1"/>
    <col min="12787" max="12788" width="11.75" style="68" customWidth="1"/>
    <col min="12789" max="12789" width="7.875" style="68" customWidth="1"/>
    <col min="12790" max="12791" width="9" style="68"/>
    <col min="12792" max="12792" width="7.125" style="68" customWidth="1"/>
    <col min="12793" max="12798" width="2.375" style="68" customWidth="1"/>
    <col min="12799" max="13032" width="9" style="68"/>
    <col min="13033" max="13033" width="6.375" style="68" customWidth="1"/>
    <col min="13034" max="13034" width="8.375" style="68" customWidth="1"/>
    <col min="13035" max="13035" width="12" style="68" customWidth="1"/>
    <col min="13036" max="13036" width="10.375" style="68" customWidth="1"/>
    <col min="13037" max="13037" width="10.5" style="68" customWidth="1"/>
    <col min="13038" max="13038" width="10.25" style="68" customWidth="1"/>
    <col min="13039" max="13039" width="10.125" style="68" customWidth="1"/>
    <col min="13040" max="13041" width="10.25" style="68" customWidth="1"/>
    <col min="13042" max="13042" width="10.125" style="68" customWidth="1"/>
    <col min="13043" max="13044" width="11.75" style="68" customWidth="1"/>
    <col min="13045" max="13045" width="7.875" style="68" customWidth="1"/>
    <col min="13046" max="13047" width="9" style="68"/>
    <col min="13048" max="13048" width="7.125" style="68" customWidth="1"/>
    <col min="13049" max="13054" width="2.375" style="68" customWidth="1"/>
    <col min="13055" max="13288" width="9" style="68"/>
    <col min="13289" max="13289" width="6.375" style="68" customWidth="1"/>
    <col min="13290" max="13290" width="8.375" style="68" customWidth="1"/>
    <col min="13291" max="13291" width="12" style="68" customWidth="1"/>
    <col min="13292" max="13292" width="10.375" style="68" customWidth="1"/>
    <col min="13293" max="13293" width="10.5" style="68" customWidth="1"/>
    <col min="13294" max="13294" width="10.25" style="68" customWidth="1"/>
    <col min="13295" max="13295" width="10.125" style="68" customWidth="1"/>
    <col min="13296" max="13297" width="10.25" style="68" customWidth="1"/>
    <col min="13298" max="13298" width="10.125" style="68" customWidth="1"/>
    <col min="13299" max="13300" width="11.75" style="68" customWidth="1"/>
    <col min="13301" max="13301" width="7.875" style="68" customWidth="1"/>
    <col min="13302" max="13303" width="9" style="68"/>
    <col min="13304" max="13304" width="7.125" style="68" customWidth="1"/>
    <col min="13305" max="13310" width="2.375" style="68" customWidth="1"/>
    <col min="13311" max="13544" width="9" style="68"/>
    <col min="13545" max="13545" width="6.375" style="68" customWidth="1"/>
    <col min="13546" max="13546" width="8.375" style="68" customWidth="1"/>
    <col min="13547" max="13547" width="12" style="68" customWidth="1"/>
    <col min="13548" max="13548" width="10.375" style="68" customWidth="1"/>
    <col min="13549" max="13549" width="10.5" style="68" customWidth="1"/>
    <col min="13550" max="13550" width="10.25" style="68" customWidth="1"/>
    <col min="13551" max="13551" width="10.125" style="68" customWidth="1"/>
    <col min="13552" max="13553" width="10.25" style="68" customWidth="1"/>
    <col min="13554" max="13554" width="10.125" style="68" customWidth="1"/>
    <col min="13555" max="13556" width="11.75" style="68" customWidth="1"/>
    <col min="13557" max="13557" width="7.875" style="68" customWidth="1"/>
    <col min="13558" max="13559" width="9" style="68"/>
    <col min="13560" max="13560" width="7.125" style="68" customWidth="1"/>
    <col min="13561" max="13566" width="2.375" style="68" customWidth="1"/>
    <col min="13567" max="13800" width="9" style="68"/>
    <col min="13801" max="13801" width="6.375" style="68" customWidth="1"/>
    <col min="13802" max="13802" width="8.375" style="68" customWidth="1"/>
    <col min="13803" max="13803" width="12" style="68" customWidth="1"/>
    <col min="13804" max="13804" width="10.375" style="68" customWidth="1"/>
    <col min="13805" max="13805" width="10.5" style="68" customWidth="1"/>
    <col min="13806" max="13806" width="10.25" style="68" customWidth="1"/>
    <col min="13807" max="13807" width="10.125" style="68" customWidth="1"/>
    <col min="13808" max="13809" width="10.25" style="68" customWidth="1"/>
    <col min="13810" max="13810" width="10.125" style="68" customWidth="1"/>
    <col min="13811" max="13812" width="11.75" style="68" customWidth="1"/>
    <col min="13813" max="13813" width="7.875" style="68" customWidth="1"/>
    <col min="13814" max="13815" width="9" style="68"/>
    <col min="13816" max="13816" width="7.125" style="68" customWidth="1"/>
    <col min="13817" max="13822" width="2.375" style="68" customWidth="1"/>
    <col min="13823" max="14056" width="9" style="68"/>
    <col min="14057" max="14057" width="6.375" style="68" customWidth="1"/>
    <col min="14058" max="14058" width="8.375" style="68" customWidth="1"/>
    <col min="14059" max="14059" width="12" style="68" customWidth="1"/>
    <col min="14060" max="14060" width="10.375" style="68" customWidth="1"/>
    <col min="14061" max="14061" width="10.5" style="68" customWidth="1"/>
    <col min="14062" max="14062" width="10.25" style="68" customWidth="1"/>
    <col min="14063" max="14063" width="10.125" style="68" customWidth="1"/>
    <col min="14064" max="14065" width="10.25" style="68" customWidth="1"/>
    <col min="14066" max="14066" width="10.125" style="68" customWidth="1"/>
    <col min="14067" max="14068" width="11.75" style="68" customWidth="1"/>
    <col min="14069" max="14069" width="7.875" style="68" customWidth="1"/>
    <col min="14070" max="14071" width="9" style="68"/>
    <col min="14072" max="14072" width="7.125" style="68" customWidth="1"/>
    <col min="14073" max="14078" width="2.375" style="68" customWidth="1"/>
    <col min="14079" max="14312" width="9" style="68"/>
    <col min="14313" max="14313" width="6.375" style="68" customWidth="1"/>
    <col min="14314" max="14314" width="8.375" style="68" customWidth="1"/>
    <col min="14315" max="14315" width="12" style="68" customWidth="1"/>
    <col min="14316" max="14316" width="10.375" style="68" customWidth="1"/>
    <col min="14317" max="14317" width="10.5" style="68" customWidth="1"/>
    <col min="14318" max="14318" width="10.25" style="68" customWidth="1"/>
    <col min="14319" max="14319" width="10.125" style="68" customWidth="1"/>
    <col min="14320" max="14321" width="10.25" style="68" customWidth="1"/>
    <col min="14322" max="14322" width="10.125" style="68" customWidth="1"/>
    <col min="14323" max="14324" width="11.75" style="68" customWidth="1"/>
    <col min="14325" max="14325" width="7.875" style="68" customWidth="1"/>
    <col min="14326" max="14327" width="9" style="68"/>
    <col min="14328" max="14328" width="7.125" style="68" customWidth="1"/>
    <col min="14329" max="14334" width="2.375" style="68" customWidth="1"/>
    <col min="14335" max="14568" width="9" style="68"/>
    <col min="14569" max="14569" width="6.375" style="68" customWidth="1"/>
    <col min="14570" max="14570" width="8.375" style="68" customWidth="1"/>
    <col min="14571" max="14571" width="12" style="68" customWidth="1"/>
    <col min="14572" max="14572" width="10.375" style="68" customWidth="1"/>
    <col min="14573" max="14573" width="10.5" style="68" customWidth="1"/>
    <col min="14574" max="14574" width="10.25" style="68" customWidth="1"/>
    <col min="14575" max="14575" width="10.125" style="68" customWidth="1"/>
    <col min="14576" max="14577" width="10.25" style="68" customWidth="1"/>
    <col min="14578" max="14578" width="10.125" style="68" customWidth="1"/>
    <col min="14579" max="14580" width="11.75" style="68" customWidth="1"/>
    <col min="14581" max="14581" width="7.875" style="68" customWidth="1"/>
    <col min="14582" max="14583" width="9" style="68"/>
    <col min="14584" max="14584" width="7.125" style="68" customWidth="1"/>
    <col min="14585" max="14590" width="2.375" style="68" customWidth="1"/>
    <col min="14591" max="14824" width="9" style="68"/>
    <col min="14825" max="14825" width="6.375" style="68" customWidth="1"/>
    <col min="14826" max="14826" width="8.375" style="68" customWidth="1"/>
    <col min="14827" max="14827" width="12" style="68" customWidth="1"/>
    <col min="14828" max="14828" width="10.375" style="68" customWidth="1"/>
    <col min="14829" max="14829" width="10.5" style="68" customWidth="1"/>
    <col min="14830" max="14830" width="10.25" style="68" customWidth="1"/>
    <col min="14831" max="14831" width="10.125" style="68" customWidth="1"/>
    <col min="14832" max="14833" width="10.25" style="68" customWidth="1"/>
    <col min="14834" max="14834" width="10.125" style="68" customWidth="1"/>
    <col min="14835" max="14836" width="11.75" style="68" customWidth="1"/>
    <col min="14837" max="14837" width="7.875" style="68" customWidth="1"/>
    <col min="14838" max="14839" width="9" style="68"/>
    <col min="14840" max="14840" width="7.125" style="68" customWidth="1"/>
    <col min="14841" max="14846" width="2.375" style="68" customWidth="1"/>
    <col min="14847" max="15080" width="9" style="68"/>
    <col min="15081" max="15081" width="6.375" style="68" customWidth="1"/>
    <col min="15082" max="15082" width="8.375" style="68" customWidth="1"/>
    <col min="15083" max="15083" width="12" style="68" customWidth="1"/>
    <col min="15084" max="15084" width="10.375" style="68" customWidth="1"/>
    <col min="15085" max="15085" width="10.5" style="68" customWidth="1"/>
    <col min="15086" max="15086" width="10.25" style="68" customWidth="1"/>
    <col min="15087" max="15087" width="10.125" style="68" customWidth="1"/>
    <col min="15088" max="15089" width="10.25" style="68" customWidth="1"/>
    <col min="15090" max="15090" width="10.125" style="68" customWidth="1"/>
    <col min="15091" max="15092" width="11.75" style="68" customWidth="1"/>
    <col min="15093" max="15093" width="7.875" style="68" customWidth="1"/>
    <col min="15094" max="15095" width="9" style="68"/>
    <col min="15096" max="15096" width="7.125" style="68" customWidth="1"/>
    <col min="15097" max="15102" width="2.375" style="68" customWidth="1"/>
    <col min="15103" max="15336" width="9" style="68"/>
    <col min="15337" max="15337" width="6.375" style="68" customWidth="1"/>
    <col min="15338" max="15338" width="8.375" style="68" customWidth="1"/>
    <col min="15339" max="15339" width="12" style="68" customWidth="1"/>
    <col min="15340" max="15340" width="10.375" style="68" customWidth="1"/>
    <col min="15341" max="15341" width="10.5" style="68" customWidth="1"/>
    <col min="15342" max="15342" width="10.25" style="68" customWidth="1"/>
    <col min="15343" max="15343" width="10.125" style="68" customWidth="1"/>
    <col min="15344" max="15345" width="10.25" style="68" customWidth="1"/>
    <col min="15346" max="15346" width="10.125" style="68" customWidth="1"/>
    <col min="15347" max="15348" width="11.75" style="68" customWidth="1"/>
    <col min="15349" max="15349" width="7.875" style="68" customWidth="1"/>
    <col min="15350" max="15351" width="9" style="68"/>
    <col min="15352" max="15352" width="7.125" style="68" customWidth="1"/>
    <col min="15353" max="15358" width="2.375" style="68" customWidth="1"/>
    <col min="15359" max="15592" width="9" style="68"/>
    <col min="15593" max="15593" width="6.375" style="68" customWidth="1"/>
    <col min="15594" max="15594" width="8.375" style="68" customWidth="1"/>
    <col min="15595" max="15595" width="12" style="68" customWidth="1"/>
    <col min="15596" max="15596" width="10.375" style="68" customWidth="1"/>
    <col min="15597" max="15597" width="10.5" style="68" customWidth="1"/>
    <col min="15598" max="15598" width="10.25" style="68" customWidth="1"/>
    <col min="15599" max="15599" width="10.125" style="68" customWidth="1"/>
    <col min="15600" max="15601" width="10.25" style="68" customWidth="1"/>
    <col min="15602" max="15602" width="10.125" style="68" customWidth="1"/>
    <col min="15603" max="15604" width="11.75" style="68" customWidth="1"/>
    <col min="15605" max="15605" width="7.875" style="68" customWidth="1"/>
    <col min="15606" max="15607" width="9" style="68"/>
    <col min="15608" max="15608" width="7.125" style="68" customWidth="1"/>
    <col min="15609" max="15614" width="2.375" style="68" customWidth="1"/>
    <col min="15615" max="15848" width="9" style="68"/>
    <col min="15849" max="15849" width="6.375" style="68" customWidth="1"/>
    <col min="15850" max="15850" width="8.375" style="68" customWidth="1"/>
    <col min="15851" max="15851" width="12" style="68" customWidth="1"/>
    <col min="15852" max="15852" width="10.375" style="68" customWidth="1"/>
    <col min="15853" max="15853" width="10.5" style="68" customWidth="1"/>
    <col min="15854" max="15854" width="10.25" style="68" customWidth="1"/>
    <col min="15855" max="15855" width="10.125" style="68" customWidth="1"/>
    <col min="15856" max="15857" width="10.25" style="68" customWidth="1"/>
    <col min="15858" max="15858" width="10.125" style="68" customWidth="1"/>
    <col min="15859" max="15860" width="11.75" style="68" customWidth="1"/>
    <col min="15861" max="15861" width="7.875" style="68" customWidth="1"/>
    <col min="15862" max="15863" width="9" style="68"/>
    <col min="15864" max="15864" width="7.125" style="68" customWidth="1"/>
    <col min="15865" max="15870" width="2.375" style="68" customWidth="1"/>
    <col min="15871" max="16104" width="9" style="68"/>
    <col min="16105" max="16105" width="6.375" style="68" customWidth="1"/>
    <col min="16106" max="16106" width="8.375" style="68" customWidth="1"/>
    <col min="16107" max="16107" width="12" style="68" customWidth="1"/>
    <col min="16108" max="16108" width="10.375" style="68" customWidth="1"/>
    <col min="16109" max="16109" width="10.5" style="68" customWidth="1"/>
    <col min="16110" max="16110" width="10.25" style="68" customWidth="1"/>
    <col min="16111" max="16111" width="10.125" style="68" customWidth="1"/>
    <col min="16112" max="16113" width="10.25" style="68" customWidth="1"/>
    <col min="16114" max="16114" width="10.125" style="68" customWidth="1"/>
    <col min="16115" max="16116" width="11.75" style="68" customWidth="1"/>
    <col min="16117" max="16117" width="7.875" style="68" customWidth="1"/>
    <col min="16118" max="16119" width="9" style="68"/>
    <col min="16120" max="16120" width="7.125" style="68" customWidth="1"/>
    <col min="16121" max="16126" width="2.375" style="68" customWidth="1"/>
    <col min="16127" max="16384" width="9" style="68"/>
  </cols>
  <sheetData>
    <row r="1" spans="1:30" s="59" customFormat="1" ht="14.25" customHeight="1">
      <c r="A1" s="68" t="s">
        <v>170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69"/>
      <c r="P1" s="107"/>
    </row>
    <row r="2" spans="1:30" s="59" customFormat="1" ht="14.25" customHeight="1">
      <c r="A2" s="68"/>
      <c r="B2" s="106" t="s">
        <v>161</v>
      </c>
      <c r="C2" s="106"/>
      <c r="D2" s="106"/>
      <c r="E2" s="106" t="s">
        <v>162</v>
      </c>
      <c r="F2" s="106"/>
      <c r="G2" s="106"/>
      <c r="H2" s="106"/>
      <c r="I2" s="106" t="s">
        <v>159</v>
      </c>
      <c r="J2" s="106"/>
      <c r="K2" s="106"/>
      <c r="L2" s="106"/>
      <c r="M2" s="106"/>
      <c r="N2" s="107"/>
      <c r="O2" s="69"/>
      <c r="P2" s="107"/>
    </row>
    <row r="3" spans="1:30" s="59" customFormat="1" ht="28.5" customHeight="1">
      <c r="A3" s="68"/>
      <c r="B3" s="69"/>
      <c r="C3" s="69" t="s">
        <v>34</v>
      </c>
      <c r="D3" s="69" t="s">
        <v>33</v>
      </c>
      <c r="E3" s="69"/>
      <c r="F3" s="69" t="s">
        <v>32</v>
      </c>
      <c r="G3" s="108" t="s">
        <v>35</v>
      </c>
      <c r="H3" s="69" t="s">
        <v>28</v>
      </c>
      <c r="I3" s="108"/>
      <c r="J3" s="108" t="s">
        <v>160</v>
      </c>
      <c r="K3" s="69" t="s">
        <v>35</v>
      </c>
      <c r="L3" s="108" t="s">
        <v>28</v>
      </c>
      <c r="M3" s="108"/>
      <c r="N3" s="109"/>
      <c r="O3" s="109"/>
      <c r="P3" s="109"/>
    </row>
    <row r="4" spans="1:30" s="62" customFormat="1" ht="14.25" customHeight="1">
      <c r="A4" s="68"/>
      <c r="B4" s="111" t="s">
        <v>12</v>
      </c>
      <c r="C4" s="111" t="s">
        <v>12</v>
      </c>
      <c r="D4" s="111" t="s">
        <v>12</v>
      </c>
      <c r="E4" s="111" t="s">
        <v>12</v>
      </c>
      <c r="F4" s="111" t="s">
        <v>12</v>
      </c>
      <c r="G4" s="111" t="s">
        <v>12</v>
      </c>
      <c r="H4" s="111" t="s">
        <v>12</v>
      </c>
      <c r="I4" s="111"/>
      <c r="J4" s="111" t="s">
        <v>12</v>
      </c>
      <c r="K4" s="111"/>
      <c r="L4" s="111" t="s">
        <v>12</v>
      </c>
      <c r="M4" s="111"/>
      <c r="N4" s="111"/>
      <c r="O4" s="111"/>
      <c r="P4" s="112"/>
      <c r="V4" s="113"/>
      <c r="W4" s="113"/>
      <c r="AD4" s="114"/>
    </row>
    <row r="5" spans="1:30" s="66" customFormat="1" ht="14.25" customHeight="1">
      <c r="A5" s="68">
        <v>2018</v>
      </c>
      <c r="B5" s="106">
        <v>12890.061610000001</v>
      </c>
      <c r="C5" s="106">
        <v>12861.823197745138</v>
      </c>
      <c r="D5" s="106">
        <v>28.238412254863594</v>
      </c>
      <c r="E5" s="106">
        <v>18238.55862</v>
      </c>
      <c r="F5" s="106">
        <v>14219.151278714999</v>
      </c>
      <c r="G5" s="106">
        <v>3758.0615254600002</v>
      </c>
      <c r="H5" s="106">
        <v>261.34581582499982</v>
      </c>
      <c r="I5" s="106">
        <v>33971.048518320007</v>
      </c>
      <c r="J5" s="106">
        <v>28438.302557429997</v>
      </c>
      <c r="K5" s="106">
        <v>3758.0615254600002</v>
      </c>
      <c r="L5" s="106">
        <f>L33*($I$5-$J$5-$K$5)/SUM($L$33,$I$33-SUM($J$33:$L$33))+(I33-SUM(J33:L33))*($I$5-$J$5-$K$5)/SUM($L$33,$I$33-SUM($J$33:$L$33))</f>
        <v>1774.6844354300097</v>
      </c>
      <c r="M5" s="106"/>
      <c r="N5" s="106"/>
      <c r="O5" s="106"/>
      <c r="P5" s="115"/>
      <c r="Q5" s="58"/>
    </row>
    <row r="6" spans="1:30" s="66" customFormat="1" ht="14.25" customHeight="1">
      <c r="A6" s="68">
        <v>2019</v>
      </c>
      <c r="B6" s="106">
        <f t="shared" ref="B6:B27" si="0">C6+D6</f>
        <v>12845.848715782846</v>
      </c>
      <c r="C6" s="106">
        <f>C34*($C$5/$C$33)*(経済前提!L58/経済前提!L17)*(1+人口等補正!C12)</f>
        <v>12817.685264355514</v>
      </c>
      <c r="D6" s="106">
        <f>D34*($C$5/$C$33)*(1+人口等補正!C12)</f>
        <v>28.163451427332028</v>
      </c>
      <c r="E6" s="106">
        <f t="shared" ref="E6:E18" si="1">SUM(F6:H6)</f>
        <v>18465.035067501074</v>
      </c>
      <c r="F6" s="106">
        <f t="shared" ref="F6:F27" si="2">J6/2</f>
        <v>14346.703977833668</v>
      </c>
      <c r="G6" s="106">
        <f t="shared" ref="G6:G27" si="3">K6</f>
        <v>3859.789649084169</v>
      </c>
      <c r="H6" s="106">
        <f t="shared" ref="H6:H27" si="4">H34*($H$5/$H$33)</f>
        <v>258.54144058323828</v>
      </c>
      <c r="I6" s="106">
        <f t="shared" ref="I6:I27" si="5">SUM(J6:M6)</f>
        <v>34304.907509447345</v>
      </c>
      <c r="J6" s="106">
        <f>J34*($J$5/$J$33)*基礎年金拠出金の計算!$V17</f>
        <v>28693.407955667335</v>
      </c>
      <c r="K6" s="106">
        <f>K34*($K$5/$K$33)*基礎年金拠出金の計算!$V17</f>
        <v>3859.789649084169</v>
      </c>
      <c r="L6" s="106">
        <f>L34*($I$5-$J$5-$K$5)/SUM($L$33,$I$33-SUM($J$33:$L$33))+(I34-SUM(J34:L34))*($I$5-$J$5-$K$5)/SUM($L$33,$I$33-SUM($J$33:$L$33))*基礎年金拠出金の計算!$V17</f>
        <v>1751.709904695841</v>
      </c>
      <c r="M6" s="106"/>
      <c r="N6" s="106"/>
      <c r="O6" s="106"/>
      <c r="P6" s="115"/>
      <c r="Q6" s="58"/>
    </row>
    <row r="7" spans="1:30" s="66" customFormat="1" ht="14.25" customHeight="1">
      <c r="A7" s="68">
        <v>2020</v>
      </c>
      <c r="B7" s="106">
        <f t="shared" si="0"/>
        <v>12860.168102790467</v>
      </c>
      <c r="C7" s="106">
        <f>C35*($C$5/$C$33)*(経済前提!L59/経済前提!L18)*(1+人口等補正!C13)</f>
        <v>12832.014077005993</v>
      </c>
      <c r="D7" s="106">
        <f>D35*($C$5/$C$33)*(1+人口等補正!C13)</f>
        <v>28.15402578447387</v>
      </c>
      <c r="E7" s="106">
        <f t="shared" si="1"/>
        <v>18865.272153621681</v>
      </c>
      <c r="F7" s="106">
        <f t="shared" si="2"/>
        <v>14604.079996545324</v>
      </c>
      <c r="G7" s="106">
        <f t="shared" si="3"/>
        <v>4006.1660245223652</v>
      </c>
      <c r="H7" s="106">
        <f t="shared" si="4"/>
        <v>255.02613255398873</v>
      </c>
      <c r="I7" s="106">
        <f t="shared" si="5"/>
        <v>34941.293608414031</v>
      </c>
      <c r="J7" s="106">
        <f>J35*($J$5/$J$33)*基礎年金拠出金の計算!$V18</f>
        <v>29208.159993090649</v>
      </c>
      <c r="K7" s="106">
        <f>K35*($K$5/$K$33)*基礎年金拠出金の計算!$V18</f>
        <v>4006.1660245223652</v>
      </c>
      <c r="L7" s="106">
        <f>L35*($I$5-$J$5-$K$5)/SUM($L$33,$I$33-SUM($J$33:$L$33))+(I35-SUM(J35:L35))*($I$5-$J$5-$K$5)/SUM($L$33,$I$33-SUM($J$33:$L$33))*基礎年金拠出金の計算!$V18</f>
        <v>1726.9675908010149</v>
      </c>
      <c r="M7" s="106"/>
      <c r="N7" s="106"/>
      <c r="O7" s="106"/>
      <c r="P7" s="115"/>
      <c r="Q7" s="58"/>
    </row>
    <row r="8" spans="1:30" s="66" customFormat="1" ht="14.25" customHeight="1">
      <c r="A8" s="68">
        <v>2021</v>
      </c>
      <c r="B8" s="106">
        <f t="shared" si="0"/>
        <v>13019.115245321098</v>
      </c>
      <c r="C8" s="106">
        <f>C36*($C$5/$C$33)*(経済前提!L60/経済前提!L19)*(1+人口等補正!C14)</f>
        <v>12990.910496661012</v>
      </c>
      <c r="D8" s="106">
        <f>D36*($C$5/$C$33)*(1+人口等補正!C14)</f>
        <v>28.204748660086334</v>
      </c>
      <c r="E8" s="106">
        <f t="shared" si="1"/>
        <v>19284.654842692638</v>
      </c>
      <c r="F8" s="106">
        <f t="shared" si="2"/>
        <v>14872.336981786948</v>
      </c>
      <c r="G8" s="106">
        <f t="shared" si="3"/>
        <v>4161.7625973857275</v>
      </c>
      <c r="H8" s="106">
        <f t="shared" si="4"/>
        <v>250.55526351996519</v>
      </c>
      <c r="I8" s="106">
        <f t="shared" si="5"/>
        <v>35603.716116945121</v>
      </c>
      <c r="J8" s="106">
        <f>J36*($J$5/$J$33)*基礎年金拠出金の計算!$V19</f>
        <v>29744.673963573896</v>
      </c>
      <c r="K8" s="106">
        <f>K36*($K$5/$K$33)*基礎年金拠出金の計算!$V19</f>
        <v>4161.7625973857275</v>
      </c>
      <c r="L8" s="106">
        <f>L36*($I$5-$J$5-$K$5)/SUM($L$33,$I$33-SUM($J$33:$L$33))+(I36-SUM(J36:L36))*($I$5-$J$5-$K$5)/SUM($L$33,$I$33-SUM($J$33:$L$33))*基礎年金拠出金の計算!$V19</f>
        <v>1697.2795559854981</v>
      </c>
      <c r="M8" s="106"/>
      <c r="N8" s="106"/>
      <c r="O8" s="106"/>
      <c r="P8" s="115"/>
      <c r="Q8" s="58"/>
    </row>
    <row r="9" spans="1:30" s="66" customFormat="1" ht="14.25" customHeight="1">
      <c r="A9" s="68">
        <v>2022</v>
      </c>
      <c r="B9" s="106">
        <f t="shared" si="0"/>
        <v>13249.009797372335</v>
      </c>
      <c r="C9" s="106">
        <f>C37*($C$5/$C$33)*(経済前提!L61/経済前提!L20)*(1+人口等補正!C15)</f>
        <v>13220.704997185323</v>
      </c>
      <c r="D9" s="106">
        <f>D37*($C$5/$C$33)*(1+人口等補正!C15)</f>
        <v>28.304800187011146</v>
      </c>
      <c r="E9" s="106">
        <f t="shared" si="1"/>
        <v>19629.368715162967</v>
      </c>
      <c r="F9" s="106">
        <f t="shared" si="2"/>
        <v>15076.726939258637</v>
      </c>
      <c r="G9" s="106">
        <f t="shared" si="3"/>
        <v>4306.792416230197</v>
      </c>
      <c r="H9" s="106">
        <f t="shared" si="4"/>
        <v>245.8493596741346</v>
      </c>
      <c r="I9" s="106">
        <f t="shared" si="5"/>
        <v>36125.85504576144</v>
      </c>
      <c r="J9" s="106">
        <f>J37*($J$5/$J$33)*基礎年金拠出金の計算!$V20</f>
        <v>30153.453878517274</v>
      </c>
      <c r="K9" s="106">
        <f>K37*($K$5/$K$33)*基礎年金拠出金の計算!$V20</f>
        <v>4306.792416230197</v>
      </c>
      <c r="L9" s="106">
        <f>L37*($I$5-$J$5-$K$5)/SUM($L$33,$I$33-SUM($J$33:$L$33))+(I37-SUM(J37:L37))*($I$5-$J$5-$K$5)/SUM($L$33,$I$33-SUM($J$33:$L$33))*基礎年金拠出金の計算!$V20</f>
        <v>1665.6087510139712</v>
      </c>
      <c r="M9" s="106"/>
      <c r="N9" s="106"/>
      <c r="O9" s="106"/>
      <c r="P9" s="115"/>
      <c r="Q9" s="58"/>
    </row>
    <row r="10" spans="1:30" s="66" customFormat="1" ht="14.25" customHeight="1">
      <c r="A10" s="68">
        <v>2023</v>
      </c>
      <c r="B10" s="106">
        <f t="shared" si="0"/>
        <v>13460.271339024839</v>
      </c>
      <c r="C10" s="106">
        <f>C38*($C$5/$C$33)*(経済前提!L62/経済前提!L21)*(1+人口等補正!C16)</f>
        <v>13431.868352767933</v>
      </c>
      <c r="D10" s="106">
        <f>D38*($C$5/$C$33)*(1+人口等補正!C16)</f>
        <v>28.402986256906335</v>
      </c>
      <c r="E10" s="106">
        <f t="shared" si="1"/>
        <v>19939.142791571052</v>
      </c>
      <c r="F10" s="106">
        <f t="shared" si="2"/>
        <v>15250.503545763953</v>
      </c>
      <c r="G10" s="106">
        <f t="shared" si="3"/>
        <v>4447.8997325151868</v>
      </c>
      <c r="H10" s="106">
        <f t="shared" si="4"/>
        <v>240.73951329191118</v>
      </c>
      <c r="I10" s="106">
        <f t="shared" si="5"/>
        <v>36579.891268731779</v>
      </c>
      <c r="J10" s="106">
        <f>J38*($J$5/$J$33)*基礎年金拠出金の計算!$V21</f>
        <v>30501.007091527907</v>
      </c>
      <c r="K10" s="106">
        <f>K38*($K$5/$K$33)*基礎年金拠出金の計算!$V21</f>
        <v>4447.8997325151868</v>
      </c>
      <c r="L10" s="106">
        <f>L38*($I$5-$J$5-$K$5)/SUM($L$33,$I$33-SUM($J$33:$L$33))+(I38-SUM(J38:L38))*($I$5-$J$5-$K$5)/SUM($L$33,$I$33-SUM($J$33:$L$33))*基礎年金拠出金の計算!$V21</f>
        <v>1630.9844446886889</v>
      </c>
      <c r="M10" s="106"/>
      <c r="N10" s="106"/>
      <c r="O10" s="106"/>
      <c r="P10" s="115"/>
      <c r="Q10" s="58"/>
    </row>
    <row r="11" spans="1:30" s="66" customFormat="1" ht="14.25" customHeight="1">
      <c r="A11" s="68">
        <v>2024</v>
      </c>
      <c r="B11" s="106">
        <f t="shared" si="0"/>
        <v>13611.275158214328</v>
      </c>
      <c r="C11" s="106">
        <f>C39*($C$5/$C$33)*(経済前提!L63/経済前提!L22)*(1+人口等補正!C17)</f>
        <v>13582.801336078866</v>
      </c>
      <c r="D11" s="106">
        <f>D39*($C$5/$C$33)*(1+人口等補正!C17)</f>
        <v>28.473822135462651</v>
      </c>
      <c r="E11" s="106">
        <f t="shared" si="1"/>
        <v>20246.622543309521</v>
      </c>
      <c r="F11" s="106">
        <f t="shared" si="2"/>
        <v>15417.862205033296</v>
      </c>
      <c r="G11" s="106">
        <f t="shared" si="3"/>
        <v>4593.3217471798798</v>
      </c>
      <c r="H11" s="106">
        <f t="shared" si="4"/>
        <v>235.43859109634343</v>
      </c>
      <c r="I11" s="106">
        <f t="shared" si="5"/>
        <v>37024.416175925784</v>
      </c>
      <c r="J11" s="106">
        <f>J39*($J$5/$J$33)*基礎年金拠出金の計算!$V22</f>
        <v>30835.724410066592</v>
      </c>
      <c r="K11" s="106">
        <f>K39*($K$5/$K$33)*基礎年金拠出金の計算!$V22</f>
        <v>4593.3217471798798</v>
      </c>
      <c r="L11" s="106">
        <f>L39*($I$5-$J$5-$K$5)/SUM($L$33,$I$33-SUM($J$33:$L$33))+(I39-SUM(J39:L39))*($I$5-$J$5-$K$5)/SUM($L$33,$I$33-SUM($J$33:$L$33))*基礎年金拠出金の計算!$V22</f>
        <v>1595.3700186793155</v>
      </c>
      <c r="M11" s="106"/>
      <c r="N11" s="106"/>
      <c r="O11" s="106"/>
      <c r="P11" s="115"/>
      <c r="Q11" s="58"/>
    </row>
    <row r="12" spans="1:30" s="66" customFormat="1" ht="14.25" customHeight="1">
      <c r="A12" s="68">
        <v>2025</v>
      </c>
      <c r="B12" s="106">
        <f t="shared" si="0"/>
        <v>13730.262156903884</v>
      </c>
      <c r="C12" s="106">
        <f>C40*($C$5/$C$33)*(経済前提!L64/経済前提!L23)*(1+人口等補正!C18)</f>
        <v>13701.717573183765</v>
      </c>
      <c r="D12" s="106">
        <f>D40*($C$5/$C$33)*(1+人口等補正!C18)</f>
        <v>28.544583720119526</v>
      </c>
      <c r="E12" s="106">
        <f t="shared" si="1"/>
        <v>20525.858428069794</v>
      </c>
      <c r="F12" s="106">
        <f t="shared" si="2"/>
        <v>15559.132973450012</v>
      </c>
      <c r="G12" s="106">
        <f t="shared" si="3"/>
        <v>4736.8390189918819</v>
      </c>
      <c r="H12" s="106">
        <f t="shared" si="4"/>
        <v>229.88643562790037</v>
      </c>
      <c r="I12" s="106">
        <f t="shared" si="5"/>
        <v>37414.408879195995</v>
      </c>
      <c r="J12" s="106">
        <f>J40*($J$5/$J$33)*基礎年金拠出金の計算!$V23</f>
        <v>31118.265946900025</v>
      </c>
      <c r="K12" s="106">
        <f>K40*($K$5/$K$33)*基礎年金拠出金の計算!$V23</f>
        <v>4736.8390189918819</v>
      </c>
      <c r="L12" s="106">
        <f>L40*($I$5-$J$5-$K$5)/SUM($L$33,$I$33-SUM($J$33:$L$33))+(I40-SUM(J40:L40))*($I$5-$J$5-$K$5)/SUM($L$33,$I$33-SUM($J$33:$L$33))*基礎年金拠出金の計算!$V23</f>
        <v>1559.3039133040847</v>
      </c>
      <c r="M12" s="106"/>
      <c r="N12" s="106"/>
      <c r="O12" s="106"/>
      <c r="P12" s="115"/>
      <c r="Q12" s="58"/>
    </row>
    <row r="13" spans="1:30" s="66" customFormat="1" ht="14.25" customHeight="1">
      <c r="A13" s="68">
        <v>2026</v>
      </c>
      <c r="B13" s="106">
        <f t="shared" si="0"/>
        <v>13884.186340370308</v>
      </c>
      <c r="C13" s="106">
        <f>C41*($C$5/$C$33)*(経済前提!L65/経済前提!L24)*(1+人口等補正!C19)</f>
        <v>13855.523897008952</v>
      </c>
      <c r="D13" s="106">
        <f>D41*($C$5/$C$33)*(1+人口等補正!C19)</f>
        <v>28.662443361356353</v>
      </c>
      <c r="E13" s="106">
        <f t="shared" si="1"/>
        <v>20819.139389114382</v>
      </c>
      <c r="F13" s="106">
        <f t="shared" si="2"/>
        <v>15714.723357056195</v>
      </c>
      <c r="G13" s="106">
        <f t="shared" si="3"/>
        <v>4880.1032600379704</v>
      </c>
      <c r="H13" s="106">
        <f t="shared" si="4"/>
        <v>224.3127720202171</v>
      </c>
      <c r="I13" s="106">
        <f t="shared" si="5"/>
        <v>37833.256497849499</v>
      </c>
      <c r="J13" s="106">
        <f>J41*($J$5/$J$33)*基礎年金拠出金の計算!$V24</f>
        <v>31429.44671411239</v>
      </c>
      <c r="K13" s="106">
        <f>K41*($K$5/$K$33)*基礎年金拠出金の計算!$V24</f>
        <v>4880.1032600379704</v>
      </c>
      <c r="L13" s="106">
        <f>L41*($I$5-$J$5-$K$5)/SUM($L$33,$I$33-SUM($J$33:$L$33))+(I41-SUM(J41:L41))*($I$5-$J$5-$K$5)/SUM($L$33,$I$33-SUM($J$33:$L$33))*基礎年金拠出金の計算!$V24</f>
        <v>1523.7065236991405</v>
      </c>
      <c r="M13" s="106"/>
      <c r="N13" s="106"/>
      <c r="O13" s="106"/>
      <c r="P13" s="115"/>
      <c r="Q13" s="58"/>
    </row>
    <row r="14" spans="1:30" s="66" customFormat="1" ht="14.25" customHeight="1">
      <c r="A14" s="68">
        <v>2027</v>
      </c>
      <c r="B14" s="106">
        <f t="shared" si="0"/>
        <v>14060.808250908163</v>
      </c>
      <c r="C14" s="106">
        <f>C42*($C$5/$C$33)*(経済前提!L66/経済前提!L25)*(1+人口等補正!C20)</f>
        <v>14032.060298588625</v>
      </c>
      <c r="D14" s="106">
        <f>D42*($C$5/$C$33)*(1+人口等補正!C20)</f>
        <v>28.747952319537657</v>
      </c>
      <c r="E14" s="106">
        <f t="shared" si="1"/>
        <v>21142.373741954143</v>
      </c>
      <c r="F14" s="106">
        <f t="shared" si="2"/>
        <v>15894.339741941254</v>
      </c>
      <c r="G14" s="106">
        <f t="shared" si="3"/>
        <v>5029.3486953402817</v>
      </c>
      <c r="H14" s="106">
        <f t="shared" si="4"/>
        <v>218.68530467260697</v>
      </c>
      <c r="I14" s="106">
        <f t="shared" si="5"/>
        <v>38306.519863836387</v>
      </c>
      <c r="J14" s="106">
        <f>J42*($J$5/$J$33)*基礎年金拠出金の計算!$V25</f>
        <v>31788.679483882508</v>
      </c>
      <c r="K14" s="106">
        <f>K42*($K$5/$K$33)*基礎年金拠出金の計算!$V25</f>
        <v>5029.3486953402817</v>
      </c>
      <c r="L14" s="106">
        <f>L42*($I$5-$J$5-$K$5)/SUM($L$33,$I$33-SUM($J$33:$L$33))+(I42-SUM(J42:L42))*($I$5-$J$5-$K$5)/SUM($L$33,$I$33-SUM($J$33:$L$33))*基礎年金拠出金の計算!$V25</f>
        <v>1488.4916846135959</v>
      </c>
      <c r="M14" s="106"/>
      <c r="N14" s="106"/>
      <c r="O14" s="106"/>
      <c r="P14" s="115"/>
      <c r="Q14" s="58"/>
    </row>
    <row r="15" spans="1:30" s="66" customFormat="1" ht="14.25" customHeight="1">
      <c r="A15" s="68">
        <v>2028</v>
      </c>
      <c r="B15" s="106">
        <f t="shared" si="0"/>
        <v>14186.365335623103</v>
      </c>
      <c r="C15" s="106">
        <f>C43*($C$5/$C$33)*(経済前提!L67/経済前提!L26)*(1+人口等補正!C21)</f>
        <v>14157.627929992903</v>
      </c>
      <c r="D15" s="106">
        <f>D43*($C$5/$C$33)*(1+人口等補正!C21)</f>
        <v>28.737405630199166</v>
      </c>
      <c r="E15" s="106">
        <f t="shared" si="1"/>
        <v>21438.721359066487</v>
      </c>
      <c r="F15" s="106">
        <f t="shared" si="2"/>
        <v>16046.040692673692</v>
      </c>
      <c r="G15" s="106">
        <f t="shared" si="3"/>
        <v>5179.5978602444548</v>
      </c>
      <c r="H15" s="106">
        <f t="shared" si="4"/>
        <v>213.08280614834086</v>
      </c>
      <c r="I15" s="106">
        <f t="shared" si="5"/>
        <v>38726.863733899132</v>
      </c>
      <c r="J15" s="106">
        <f>J43*($J$5/$J$33)*基礎年金拠出金の計算!$V26</f>
        <v>32092.081385347385</v>
      </c>
      <c r="K15" s="106">
        <f>K43*($K$5/$K$33)*基礎年金拠出金の計算!$V26</f>
        <v>5179.5978602444548</v>
      </c>
      <c r="L15" s="106">
        <f>L43*($I$5-$J$5-$K$5)/SUM($L$33,$I$33-SUM($J$33:$L$33))+(I43-SUM(J43:L43))*($I$5-$J$5-$K$5)/SUM($L$33,$I$33-SUM($J$33:$L$33))*基礎年金拠出金の計算!$V26</f>
        <v>1455.1844883072913</v>
      </c>
      <c r="M15" s="106"/>
      <c r="N15" s="106"/>
      <c r="O15" s="106"/>
      <c r="P15" s="115"/>
      <c r="Q15" s="58"/>
    </row>
    <row r="16" spans="1:30" s="66" customFormat="1" ht="14.25" customHeight="1">
      <c r="A16" s="68">
        <v>2029</v>
      </c>
      <c r="B16" s="106">
        <f t="shared" si="0"/>
        <v>14290.48915343612</v>
      </c>
      <c r="C16" s="106">
        <f>C44*($C$5/$C$33)*(経済前提!L68/経済前提!L27)*(1+人口等補正!C22)</f>
        <v>14261.828941812548</v>
      </c>
      <c r="D16" s="106">
        <f>D44*($C$5/$C$33)*(1+人口等補正!C22)</f>
        <v>28.660211623571559</v>
      </c>
      <c r="E16" s="106">
        <f t="shared" si="1"/>
        <v>21766.245644022732</v>
      </c>
      <c r="F16" s="106">
        <f t="shared" si="2"/>
        <v>16213.653336185102</v>
      </c>
      <c r="G16" s="106">
        <f t="shared" si="3"/>
        <v>5344.8598045930275</v>
      </c>
      <c r="H16" s="106">
        <f t="shared" si="4"/>
        <v>207.73250324460128</v>
      </c>
      <c r="I16" s="106">
        <f t="shared" si="5"/>
        <v>39196.16889015006</v>
      </c>
      <c r="J16" s="106">
        <f>J44*($J$5/$J$33)*基礎年金拠出金の計算!$V27</f>
        <v>32427.306672370203</v>
      </c>
      <c r="K16" s="106">
        <f>K44*($K$5/$K$33)*基礎年金拠出金の計算!$V27</f>
        <v>5344.8598045930275</v>
      </c>
      <c r="L16" s="106">
        <f>L44*($I$5-$J$5-$K$5)/SUM($L$33,$I$33-SUM($J$33:$L$33))+(I44-SUM(J44:L44))*($I$5-$J$5-$K$5)/SUM($L$33,$I$33-SUM($J$33:$L$33))*基礎年金拠出金の計算!$V27</f>
        <v>1424.0024131868238</v>
      </c>
      <c r="M16" s="106"/>
      <c r="N16" s="106"/>
      <c r="O16" s="106"/>
      <c r="P16" s="115"/>
      <c r="Q16" s="58"/>
    </row>
    <row r="17" spans="1:36" s="66" customFormat="1" ht="14.25" customHeight="1">
      <c r="A17" s="68">
        <v>2030</v>
      </c>
      <c r="B17" s="106">
        <f t="shared" si="0"/>
        <v>14384.127204546226</v>
      </c>
      <c r="C17" s="106">
        <f>C45*($C$5/$C$33)*(経済前提!L69/経済前提!L28)*(1+人口等補正!C23)</f>
        <v>14355.623395673558</v>
      </c>
      <c r="D17" s="106">
        <f>D45*($C$5/$C$33)*(1+人口等補正!C23)</f>
        <v>28.50380887266893</v>
      </c>
      <c r="E17" s="106">
        <f t="shared" si="1"/>
        <v>22107.660034020879</v>
      </c>
      <c r="F17" s="106">
        <f t="shared" si="2"/>
        <v>16383.168483241672</v>
      </c>
      <c r="G17" s="106">
        <f t="shared" si="3"/>
        <v>5521.8140269358528</v>
      </c>
      <c r="H17" s="106">
        <f t="shared" si="4"/>
        <v>202.67752384335387</v>
      </c>
      <c r="I17" s="106">
        <f t="shared" si="5"/>
        <v>39683.199998994896</v>
      </c>
      <c r="J17" s="106">
        <f>J45*($J$5/$J$33)*基礎年金拠出金の計算!$V28</f>
        <v>32766.336966483344</v>
      </c>
      <c r="K17" s="106">
        <f>K45*($K$5/$K$33)*基礎年金拠出金の計算!$V28</f>
        <v>5521.8140269358528</v>
      </c>
      <c r="L17" s="106">
        <f>L45*($I$5-$J$5-$K$5)/SUM($L$33,$I$33-SUM($J$33:$L$33))+(I45-SUM(J45:L45))*($I$5-$J$5-$K$5)/SUM($L$33,$I$33-SUM($J$33:$L$33))*基礎年金拠出金の計算!$V28</f>
        <v>1395.0490055756929</v>
      </c>
      <c r="M17" s="106"/>
      <c r="N17" s="106"/>
      <c r="O17" s="106"/>
      <c r="P17" s="115"/>
      <c r="Q17" s="58"/>
    </row>
    <row r="18" spans="1:36" s="66" customFormat="1" ht="14.25" customHeight="1">
      <c r="A18" s="68">
        <v>2031</v>
      </c>
      <c r="B18" s="106">
        <f t="shared" si="0"/>
        <v>14465.743721069128</v>
      </c>
      <c r="C18" s="106">
        <f>C46*($C$5/$C$33)*(経済前提!L70/経済前提!L29)*(1+人口等補正!C24)</f>
        <v>14437.452519833145</v>
      </c>
      <c r="D18" s="106">
        <f>D46*($C$5/$C$33)*(1+人口等補正!C24)</f>
        <v>28.291201235982761</v>
      </c>
      <c r="E18" s="106">
        <f t="shared" si="1"/>
        <v>22397.571428762654</v>
      </c>
      <c r="F18" s="106">
        <f t="shared" si="2"/>
        <v>16506.203015370444</v>
      </c>
      <c r="G18" s="106">
        <f t="shared" si="3"/>
        <v>5693.6961032907939</v>
      </c>
      <c r="H18" s="106">
        <f t="shared" si="4"/>
        <v>197.67231010141921</v>
      </c>
      <c r="I18" s="106">
        <f t="shared" si="5"/>
        <v>40074.193575631129</v>
      </c>
      <c r="J18" s="106">
        <f>J46*($J$5/$J$33)*基礎年金拠出金の計算!$V29</f>
        <v>33012.406030740887</v>
      </c>
      <c r="K18" s="106">
        <f>K46*($K$5/$K$33)*基礎年金拠出金の計算!$V29</f>
        <v>5693.6961032907939</v>
      </c>
      <c r="L18" s="106">
        <f>L46*($I$5-$J$5-$K$5)/SUM($L$33,$I$33-SUM($J$33:$L$33))+(I46-SUM(J46:L46))*($I$5-$J$5-$K$5)/SUM($L$33,$I$33-SUM($J$33:$L$33))*基礎年金拠出金の計算!$V29</f>
        <v>1368.0914415994469</v>
      </c>
      <c r="M18" s="106"/>
      <c r="N18" s="106"/>
      <c r="O18" s="106"/>
      <c r="P18" s="115"/>
      <c r="Q18" s="58"/>
    </row>
    <row r="19" spans="1:36" s="66" customFormat="1" ht="14.25" customHeight="1">
      <c r="A19" s="68">
        <v>2032</v>
      </c>
      <c r="B19" s="106">
        <f t="shared" si="0"/>
        <v>14545.667874511821</v>
      </c>
      <c r="C19" s="106">
        <f>C47*($C$5/$C$33)*(経済前提!L71/経済前提!L30)*(1+人口等補正!C25)</f>
        <v>14517.699944943332</v>
      </c>
      <c r="D19" s="106">
        <f>D47*($C$5/$C$33)*(1+人口等補正!C25)</f>
        <v>27.967929568489058</v>
      </c>
      <c r="E19" s="106">
        <f t="shared" ref="E19:E27" si="6">SUM(F19:H19)</f>
        <v>22693.449766935177</v>
      </c>
      <c r="F19" s="106">
        <f t="shared" si="2"/>
        <v>16627.947937326524</v>
      </c>
      <c r="G19" s="106">
        <f t="shared" si="3"/>
        <v>5872.5784055874183</v>
      </c>
      <c r="H19" s="106">
        <f t="shared" si="4"/>
        <v>192.92342402123421</v>
      </c>
      <c r="I19" s="106">
        <f t="shared" si="5"/>
        <v>40471.842467355542</v>
      </c>
      <c r="J19" s="106">
        <f>J47*($J$5/$J$33)*基礎年金拠出金の計算!$V30</f>
        <v>33255.895874653048</v>
      </c>
      <c r="K19" s="106">
        <f>K47*($K$5/$K$33)*基礎年金拠出金の計算!$V30</f>
        <v>5872.5784055874183</v>
      </c>
      <c r="L19" s="106">
        <f>L47*($I$5-$J$5-$K$5)/SUM($L$33,$I$33-SUM($J$33:$L$33))+(I47-SUM(J47:L47))*($I$5-$J$5-$K$5)/SUM($L$33,$I$33-SUM($J$33:$L$33))*基礎年金拠出金の計算!$V30</f>
        <v>1343.3681871150802</v>
      </c>
      <c r="M19" s="106"/>
      <c r="N19" s="106"/>
      <c r="O19" s="106"/>
      <c r="P19" s="115"/>
      <c r="Q19" s="58"/>
    </row>
    <row r="20" spans="1:36" s="66" customFormat="1" ht="14.25" customHeight="1">
      <c r="A20" s="68">
        <v>2033</v>
      </c>
      <c r="B20" s="106">
        <f t="shared" si="0"/>
        <v>14623.12652246467</v>
      </c>
      <c r="C20" s="106">
        <f>C48*($C$5/$C$33)*(経済前提!L72/経済前提!L31)*(1+人口等補正!C26)</f>
        <v>14595.615094636119</v>
      </c>
      <c r="D20" s="106">
        <f>D48*($C$5/$C$33)*(1+人口等補正!C26)</f>
        <v>27.511427828551628</v>
      </c>
      <c r="E20" s="106">
        <f t="shared" si="6"/>
        <v>23075.403224005033</v>
      </c>
      <c r="F20" s="106">
        <f t="shared" si="2"/>
        <v>16804.11969688785</v>
      </c>
      <c r="G20" s="106">
        <f t="shared" si="3"/>
        <v>6082.2476079943199</v>
      </c>
      <c r="H20" s="106">
        <f t="shared" si="4"/>
        <v>189.03591912286419</v>
      </c>
      <c r="I20" s="106">
        <f t="shared" si="5"/>
        <v>41013.047770966659</v>
      </c>
      <c r="J20" s="106">
        <f>J48*($J$5/$J$33)*基礎年金拠出金の計算!$V31</f>
        <v>33608.239393775701</v>
      </c>
      <c r="K20" s="106">
        <f>K48*($K$5/$K$33)*基礎年金拠出金の計算!$V31</f>
        <v>6082.2476079943199</v>
      </c>
      <c r="L20" s="106">
        <f>L48*($I$5-$J$5-$K$5)/SUM($L$33,$I$33-SUM($J$33:$L$33))+(I48-SUM(J48:L48))*($I$5-$J$5-$K$5)/SUM($L$33,$I$33-SUM($J$33:$L$33))*基礎年金拠出金の計算!$V31</f>
        <v>1322.560769196637</v>
      </c>
      <c r="M20" s="106"/>
      <c r="N20" s="106"/>
      <c r="O20" s="106"/>
      <c r="P20" s="115"/>
      <c r="Q20" s="58"/>
    </row>
    <row r="21" spans="1:36" s="66" customFormat="1" ht="14.25" customHeight="1">
      <c r="A21" s="68">
        <v>2034</v>
      </c>
      <c r="B21" s="106">
        <f t="shared" si="0"/>
        <v>14694.313437336399</v>
      </c>
      <c r="C21" s="106">
        <f>C49*($C$5/$C$33)*(経済前提!L73/経済前提!L32)*(1+人口等補正!C27)</f>
        <v>14667.321352879249</v>
      </c>
      <c r="D21" s="106">
        <f>D49*($C$5/$C$33)*(1+人口等補正!C27)</f>
        <v>26.992084457148902</v>
      </c>
      <c r="E21" s="106">
        <f t="shared" si="6"/>
        <v>23459.203279540889</v>
      </c>
      <c r="F21" s="106">
        <f t="shared" si="2"/>
        <v>16970.485940910909</v>
      </c>
      <c r="G21" s="106">
        <f t="shared" si="3"/>
        <v>6303.2562582179389</v>
      </c>
      <c r="H21" s="106">
        <f t="shared" si="4"/>
        <v>185.46108041204349</v>
      </c>
      <c r="I21" s="106">
        <f t="shared" si="5"/>
        <v>41548.089408176551</v>
      </c>
      <c r="J21" s="106">
        <f>J49*($J$5/$J$33)*基礎年金拠出金の計算!$V32</f>
        <v>33940.971881821817</v>
      </c>
      <c r="K21" s="106">
        <f>K49*($K$5/$K$33)*基礎年金拠出金の計算!$V32</f>
        <v>6303.2562582179389</v>
      </c>
      <c r="L21" s="106">
        <f>L49*($I$5-$J$5-$K$5)/SUM($L$33,$I$33-SUM($J$33:$L$33))+(I49-SUM(J49:L49))*($I$5-$J$5-$K$5)/SUM($L$33,$I$33-SUM($J$33:$L$33))*基礎年金拠出金の計算!$V32</f>
        <v>1303.8612681367943</v>
      </c>
      <c r="M21" s="106"/>
      <c r="N21" s="106"/>
      <c r="O21" s="106"/>
      <c r="P21" s="115"/>
      <c r="Q21" s="58"/>
    </row>
    <row r="22" spans="1:36" s="66" customFormat="1" ht="14.25" customHeight="1">
      <c r="A22" s="68">
        <v>2035</v>
      </c>
      <c r="B22" s="106">
        <f t="shared" si="0"/>
        <v>14770.53891260777</v>
      </c>
      <c r="C22" s="106">
        <f>C50*($C$5/$C$33)*(経済前提!L74/経済前提!L33)*(1+人口等補正!C28)</f>
        <v>14744.077955987988</v>
      </c>
      <c r="D22" s="106">
        <f>D50*($C$5/$C$33)*(1+人口等補正!C28)</f>
        <v>26.460956619782134</v>
      </c>
      <c r="E22" s="106">
        <f t="shared" si="6"/>
        <v>23850.022314640351</v>
      </c>
      <c r="F22" s="106">
        <f t="shared" si="2"/>
        <v>17133.021924484205</v>
      </c>
      <c r="G22" s="106">
        <f t="shared" si="3"/>
        <v>6534.8158597384972</v>
      </c>
      <c r="H22" s="106">
        <f t="shared" si="4"/>
        <v>182.18453041764911</v>
      </c>
      <c r="I22" s="106">
        <f t="shared" si="5"/>
        <v>42087.264079039873</v>
      </c>
      <c r="J22" s="106">
        <f>J50*($J$5/$J$33)*基礎年金拠出金の計算!$V33</f>
        <v>34266.043848968409</v>
      </c>
      <c r="K22" s="106">
        <f>K50*($K$5/$K$33)*基礎年金拠出金の計算!$V33</f>
        <v>6534.8158597384972</v>
      </c>
      <c r="L22" s="106">
        <f>L50*($I$5-$J$5-$K$5)/SUM($L$33,$I$33-SUM($J$33:$L$33))+(I50-SUM(J50:L50))*($I$5-$J$5-$K$5)/SUM($L$33,$I$33-SUM($J$33:$L$33))*基礎年金拠出金の計算!$V33</f>
        <v>1286.4043703329633</v>
      </c>
      <c r="M22" s="106"/>
      <c r="N22" s="106"/>
      <c r="O22" s="106"/>
      <c r="P22" s="115"/>
      <c r="Q22" s="58"/>
    </row>
    <row r="23" spans="1:36" s="66" customFormat="1" ht="14.25" customHeight="1">
      <c r="A23" s="68">
        <v>2036</v>
      </c>
      <c r="B23" s="106">
        <f t="shared" si="0"/>
        <v>14866.490430502017</v>
      </c>
      <c r="C23" s="106">
        <f>C51*($C$5/$C$33)*(経済前提!L75/経済前提!L34)*(1+人口等補正!C29)</f>
        <v>14840.563913874636</v>
      </c>
      <c r="D23" s="106">
        <f>D51*($C$5/$C$33)*(1+人口等補正!C29)</f>
        <v>25.926516627380966</v>
      </c>
      <c r="E23" s="106">
        <f t="shared" si="6"/>
        <v>24262.936796286616</v>
      </c>
      <c r="F23" s="106">
        <f t="shared" si="2"/>
        <v>17303.412815439991</v>
      </c>
      <c r="G23" s="106">
        <f t="shared" si="3"/>
        <v>6780.1888494912591</v>
      </c>
      <c r="H23" s="106">
        <f t="shared" si="4"/>
        <v>179.33513135536353</v>
      </c>
      <c r="I23" s="106">
        <f t="shared" si="5"/>
        <v>42655.74086911117</v>
      </c>
      <c r="J23" s="106">
        <f>J51*($J$5/$J$33)*基礎年金拠出金の計算!$V34</f>
        <v>34606.825630879983</v>
      </c>
      <c r="K23" s="106">
        <f>K51*($K$5/$K$33)*基礎年金拠出金の計算!$V34</f>
        <v>6780.1888494912591</v>
      </c>
      <c r="L23" s="106">
        <f>L51*($I$5-$J$5-$K$5)/SUM($L$33,$I$33-SUM($J$33:$L$33))+(I51-SUM(J51:L51))*($I$5-$J$5-$K$5)/SUM($L$33,$I$33-SUM($J$33:$L$33))*基礎年金拠出金の計算!$V34</f>
        <v>1268.726388739929</v>
      </c>
      <c r="M23" s="106"/>
      <c r="N23" s="106"/>
      <c r="O23" s="106"/>
      <c r="P23" s="115"/>
      <c r="Q23" s="58"/>
    </row>
    <row r="24" spans="1:36" s="66" customFormat="1" ht="14.25" customHeight="1">
      <c r="A24" s="68">
        <v>2037</v>
      </c>
      <c r="B24" s="106">
        <f t="shared" si="0"/>
        <v>14959.331492493027</v>
      </c>
      <c r="C24" s="106">
        <f>C52*($C$5/$C$33)*(経済前提!L76/経済前提!L35)*(1+人口等補正!C30)</f>
        <v>14933.977913133156</v>
      </c>
      <c r="D24" s="106">
        <f>D52*($C$5/$C$33)*(1+人口等補正!C30)</f>
        <v>25.353579359871514</v>
      </c>
      <c r="E24" s="106">
        <f t="shared" si="6"/>
        <v>24721.392747751604</v>
      </c>
      <c r="F24" s="106">
        <f t="shared" si="2"/>
        <v>17503.201454987837</v>
      </c>
      <c r="G24" s="106">
        <f t="shared" si="3"/>
        <v>7041.2251444303283</v>
      </c>
      <c r="H24" s="106">
        <f t="shared" si="4"/>
        <v>176.96614833343773</v>
      </c>
      <c r="I24" s="106">
        <f t="shared" si="5"/>
        <v>43299.953445754225</v>
      </c>
      <c r="J24" s="106">
        <f>J52*($J$5/$J$33)*基礎年金拠出金の計算!$V35</f>
        <v>35006.402909975674</v>
      </c>
      <c r="K24" s="106">
        <f>K52*($K$5/$K$33)*基礎年金拠出金の計算!$V35</f>
        <v>7041.2251444303283</v>
      </c>
      <c r="L24" s="106">
        <f>L52*($I$5-$J$5-$K$5)/SUM($L$33,$I$33-SUM($J$33:$L$33))+(I52-SUM(J52:L52))*($I$5-$J$5-$K$5)/SUM($L$33,$I$33-SUM($J$33:$L$33))*基礎年金拠出金の計算!$V35</f>
        <v>1252.3253913482279</v>
      </c>
      <c r="M24" s="106"/>
      <c r="N24" s="106"/>
      <c r="O24" s="106"/>
      <c r="P24" s="115"/>
      <c r="Q24" s="58"/>
    </row>
    <row r="25" spans="1:36" s="66" customFormat="1" ht="14.25" customHeight="1">
      <c r="A25" s="68">
        <v>2038</v>
      </c>
      <c r="B25" s="106">
        <f t="shared" si="0"/>
        <v>15055.328902997177</v>
      </c>
      <c r="C25" s="106">
        <f>C53*($C$5/$C$33)*(経済前提!L77/経済前提!L36)*(1+人口等補正!C31)</f>
        <v>15030.555846067209</v>
      </c>
      <c r="D25" s="106">
        <f>D53*($C$5/$C$33)*(1+人口等補正!C31)</f>
        <v>24.773056929967769</v>
      </c>
      <c r="E25" s="106">
        <f t="shared" si="6"/>
        <v>25198.003023371941</v>
      </c>
      <c r="F25" s="106">
        <f t="shared" si="2"/>
        <v>17710.575867640462</v>
      </c>
      <c r="G25" s="106">
        <f t="shared" si="3"/>
        <v>7312.3811803855333</v>
      </c>
      <c r="H25" s="106">
        <f t="shared" si="4"/>
        <v>175.0459753459464</v>
      </c>
      <c r="I25" s="106">
        <f t="shared" si="5"/>
        <v>43970.53292022652</v>
      </c>
      <c r="J25" s="106">
        <f>J53*($J$5/$J$33)*基礎年金拠出金の計算!$V36</f>
        <v>35421.151735280924</v>
      </c>
      <c r="K25" s="106">
        <f>K53*($K$5/$K$33)*基礎年金拠出金の計算!$V36</f>
        <v>7312.3811803855333</v>
      </c>
      <c r="L25" s="106">
        <f>L53*($I$5-$J$5-$K$5)/SUM($L$33,$I$33-SUM($J$33:$L$33))+(I53-SUM(J53:L53))*($I$5-$J$5-$K$5)/SUM($L$33,$I$33-SUM($J$33:$L$33))*基礎年金拠出金の計算!$V36</f>
        <v>1237.0000045600634</v>
      </c>
      <c r="M25" s="106"/>
      <c r="N25" s="106"/>
      <c r="O25" s="106"/>
      <c r="P25" s="115"/>
      <c r="Q25" s="58"/>
    </row>
    <row r="26" spans="1:36" s="66" customFormat="1" ht="14.25" customHeight="1">
      <c r="A26" s="68">
        <v>2039</v>
      </c>
      <c r="B26" s="106">
        <f t="shared" si="0"/>
        <v>15161.630097014975</v>
      </c>
      <c r="C26" s="106">
        <f>C54*($C$5/$C$33)*(経済前提!L78/経済前提!L37)*(1+人口等補正!C32)</f>
        <v>15137.412020776977</v>
      </c>
      <c r="D26" s="106">
        <f>D54*($C$5/$C$33)*(1+人口等補正!C32)</f>
        <v>24.218076237998254</v>
      </c>
      <c r="E26" s="106">
        <f t="shared" si="6"/>
        <v>25669.622943207207</v>
      </c>
      <c r="F26" s="106">
        <f t="shared" si="2"/>
        <v>17910.31279797891</v>
      </c>
      <c r="G26" s="106">
        <f t="shared" si="3"/>
        <v>7586.0136810689728</v>
      </c>
      <c r="H26" s="106">
        <f t="shared" si="4"/>
        <v>173.29646415932484</v>
      </c>
      <c r="I26" s="106">
        <f t="shared" si="5"/>
        <v>44627.163932947937</v>
      </c>
      <c r="J26" s="106">
        <f>J54*($J$5/$J$33)*基礎年金拠出金の計算!$V37</f>
        <v>35820.625595957819</v>
      </c>
      <c r="K26" s="106">
        <f>K54*($K$5/$K$33)*基礎年金拠出金の計算!$V37</f>
        <v>7586.0136810689728</v>
      </c>
      <c r="L26" s="106">
        <f>L54*($I$5-$J$5-$K$5)/SUM($L$33,$I$33-SUM($J$33:$L$33))+(I54-SUM(J54:L54))*($I$5-$J$5-$K$5)/SUM($L$33,$I$33-SUM($J$33:$L$33))*基礎年金拠出金の計算!$V37</f>
        <v>1220.5246559211441</v>
      </c>
      <c r="M26" s="106"/>
      <c r="N26" s="106"/>
      <c r="O26" s="106"/>
      <c r="P26" s="115"/>
      <c r="Q26" s="58"/>
    </row>
    <row r="27" spans="1:36" s="66" customFormat="1" ht="14.25" customHeight="1">
      <c r="A27" s="68">
        <v>2040</v>
      </c>
      <c r="B27" s="106">
        <f t="shared" si="0"/>
        <v>15288.249448431341</v>
      </c>
      <c r="C27" s="106">
        <f>C55*($C$5/$C$33)*(経済前提!L79/経済前提!L38)*(1+人口等補正!C33)</f>
        <v>15264.523647326976</v>
      </c>
      <c r="D27" s="106">
        <f>D55*($C$5/$C$33)*(1+人口等補正!C33)</f>
        <v>23.725801104364443</v>
      </c>
      <c r="E27" s="106">
        <f t="shared" si="6"/>
        <v>26101.316834883273</v>
      </c>
      <c r="F27" s="106">
        <f t="shared" si="2"/>
        <v>18079.949077393489</v>
      </c>
      <c r="G27" s="106">
        <f t="shared" si="3"/>
        <v>7849.8880305458242</v>
      </c>
      <c r="H27" s="106">
        <f t="shared" si="4"/>
        <v>171.47972694396319</v>
      </c>
      <c r="I27" s="106">
        <f t="shared" si="5"/>
        <v>45211.702104482152</v>
      </c>
      <c r="J27" s="106">
        <f>J55*($J$5/$J$33)*基礎年金拠出金の計算!$V38</f>
        <v>36159.898154786977</v>
      </c>
      <c r="K27" s="106">
        <f>K55*($K$5/$K$33)*基礎年金拠出金の計算!$V38</f>
        <v>7849.8880305458242</v>
      </c>
      <c r="L27" s="106">
        <f>L55*($I$5-$J$5-$K$5)/SUM($L$33,$I$33-SUM($J$33:$L$33))+(I55-SUM(J55:L55))*($I$5-$J$5-$K$5)/SUM($L$33,$I$33-SUM($J$33:$L$33))*基礎年金拠出金の計算!$V38</f>
        <v>1201.9159191493545</v>
      </c>
      <c r="M27" s="106"/>
      <c r="N27" s="106"/>
      <c r="O27" s="106"/>
      <c r="P27" s="115"/>
      <c r="Q27" s="58"/>
    </row>
    <row r="28" spans="1:36" s="66" customFormat="1" ht="14.25" customHeight="1">
      <c r="A28" s="68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15"/>
      <c r="Q28" s="58"/>
    </row>
    <row r="29" spans="1:36" s="66" customFormat="1" ht="14.25" customHeight="1">
      <c r="A29" s="68" t="s">
        <v>163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15"/>
      <c r="Q29" s="58"/>
    </row>
    <row r="30" spans="1:36" ht="14.25" customHeight="1">
      <c r="B30" s="68" t="s">
        <v>25</v>
      </c>
      <c r="E30" s="68" t="s">
        <v>26</v>
      </c>
      <c r="I30" s="107" t="s">
        <v>159</v>
      </c>
      <c r="J30" s="107"/>
      <c r="K30" s="107"/>
      <c r="L30" s="107"/>
      <c r="M30" s="107"/>
      <c r="N30" s="107"/>
      <c r="O30" s="69"/>
      <c r="P30" s="107"/>
      <c r="Z30" s="107"/>
      <c r="AA30" s="107"/>
      <c r="AD30" s="107"/>
      <c r="AE30" s="107"/>
      <c r="AF30" s="107"/>
      <c r="AG30" s="107"/>
      <c r="AH30" s="107"/>
      <c r="AI30" s="69"/>
      <c r="AJ30" s="107"/>
    </row>
    <row r="31" spans="1:36" ht="30" customHeight="1">
      <c r="B31" s="116"/>
      <c r="C31" s="69" t="s">
        <v>34</v>
      </c>
      <c r="D31" s="69" t="s">
        <v>33</v>
      </c>
      <c r="E31" s="69"/>
      <c r="F31" s="69" t="s">
        <v>32</v>
      </c>
      <c r="G31" s="108" t="s">
        <v>35</v>
      </c>
      <c r="H31" s="69" t="s">
        <v>28</v>
      </c>
      <c r="I31" s="117"/>
      <c r="J31" s="108" t="s">
        <v>160</v>
      </c>
      <c r="K31" s="69" t="s">
        <v>35</v>
      </c>
      <c r="L31" s="108" t="s">
        <v>28</v>
      </c>
      <c r="M31" s="108"/>
      <c r="N31" s="109"/>
      <c r="O31" s="109"/>
      <c r="P31" s="109"/>
      <c r="T31" s="69"/>
      <c r="U31" s="69"/>
      <c r="V31" s="69"/>
      <c r="W31" s="69"/>
      <c r="X31" s="108"/>
      <c r="Y31" s="69"/>
      <c r="Z31" s="109"/>
      <c r="AA31" s="109"/>
      <c r="AD31" s="109"/>
      <c r="AE31" s="109"/>
      <c r="AF31" s="110"/>
      <c r="AG31" s="110"/>
      <c r="AH31" s="109"/>
      <c r="AI31" s="109"/>
      <c r="AJ31" s="109"/>
    </row>
    <row r="32" spans="1:36" ht="14.25" customHeight="1">
      <c r="B32" s="111" t="s">
        <v>12</v>
      </c>
      <c r="C32" s="111" t="s">
        <v>12</v>
      </c>
      <c r="D32" s="111" t="s">
        <v>12</v>
      </c>
      <c r="E32" s="111" t="s">
        <v>12</v>
      </c>
      <c r="F32" s="111" t="s">
        <v>12</v>
      </c>
      <c r="G32" s="111" t="s">
        <v>12</v>
      </c>
      <c r="H32" s="111" t="s">
        <v>12</v>
      </c>
      <c r="I32" s="111"/>
      <c r="J32" s="111" t="s">
        <v>12</v>
      </c>
      <c r="K32" s="111" t="s">
        <v>12</v>
      </c>
      <c r="L32" s="111" t="s">
        <v>12</v>
      </c>
      <c r="M32" s="111"/>
      <c r="N32" s="111"/>
      <c r="O32" s="111"/>
      <c r="P32" s="112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2"/>
    </row>
    <row r="33" spans="1:36" ht="14.25" customHeight="1">
      <c r="A33" s="68">
        <v>2018</v>
      </c>
      <c r="B33" s="106">
        <f t="shared" ref="B33:B54" si="7">C33+D33</f>
        <v>17115.216234027946</v>
      </c>
      <c r="C33" s="106">
        <v>17077.721724965813</v>
      </c>
      <c r="D33" s="106">
        <v>37.494509062134348</v>
      </c>
      <c r="E33" s="106">
        <f t="shared" ref="E33:E46" si="8">SUM(F33:H33)</f>
        <v>23286.851514706283</v>
      </c>
      <c r="F33" s="106">
        <f t="shared" ref="F33:F55" si="9">J33/2</f>
        <v>19050.092205160949</v>
      </c>
      <c r="G33" s="106">
        <v>4012.6397924042335</v>
      </c>
      <c r="H33" s="106">
        <v>224.11951714110199</v>
      </c>
      <c r="I33" s="106">
        <v>43099.499977541513</v>
      </c>
      <c r="J33" s="106">
        <v>38100.184410321897</v>
      </c>
      <c r="K33" s="106">
        <v>4012.5958870870313</v>
      </c>
      <c r="L33" s="106">
        <v>896.47806856440798</v>
      </c>
      <c r="M33" s="106"/>
      <c r="N33" s="106"/>
      <c r="O33" s="106"/>
      <c r="P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15"/>
    </row>
    <row r="34" spans="1:36" ht="14.25" customHeight="1">
      <c r="A34" s="68">
        <v>2019</v>
      </c>
      <c r="B34" s="106">
        <f t="shared" si="7"/>
        <v>17120.638426813603</v>
      </c>
      <c r="C34" s="106">
        <v>17083.273569256318</v>
      </c>
      <c r="D34" s="106">
        <v>37.364857557283663</v>
      </c>
      <c r="E34" s="106">
        <f t="shared" si="8"/>
        <v>23603.327342343873</v>
      </c>
      <c r="F34" s="106">
        <f t="shared" si="9"/>
        <v>19253.406304825749</v>
      </c>
      <c r="G34" s="106">
        <v>4128.2064382559747</v>
      </c>
      <c r="H34" s="106">
        <v>221.714599262153</v>
      </c>
      <c r="I34" s="106">
        <v>43609.071936257315</v>
      </c>
      <c r="J34" s="106">
        <v>38506.812609651497</v>
      </c>
      <c r="K34" s="106">
        <v>4128.166507224023</v>
      </c>
      <c r="L34" s="106">
        <v>886.85839704861201</v>
      </c>
      <c r="M34" s="106"/>
      <c r="N34" s="106"/>
      <c r="O34" s="106"/>
      <c r="P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15"/>
    </row>
    <row r="35" spans="1:36" ht="14.25" customHeight="1">
      <c r="A35" s="68">
        <v>2020</v>
      </c>
      <c r="B35" s="106">
        <f t="shared" si="7"/>
        <v>17263.136289872829</v>
      </c>
      <c r="C35" s="106">
        <v>17225.813690764899</v>
      </c>
      <c r="D35" s="106">
        <v>37.322599107931602</v>
      </c>
      <c r="E35" s="106">
        <f t="shared" si="8"/>
        <v>23973.694410706088</v>
      </c>
      <c r="F35" s="106">
        <f t="shared" si="9"/>
        <v>19493.303087734952</v>
      </c>
      <c r="G35" s="106">
        <v>4261.6913085632705</v>
      </c>
      <c r="H35" s="106">
        <v>218.70001440786476</v>
      </c>
      <c r="I35" s="106">
        <v>44208.134199353488</v>
      </c>
      <c r="J35" s="106">
        <v>38986.606175469904</v>
      </c>
      <c r="K35" s="106">
        <v>4261.6551701400003</v>
      </c>
      <c r="L35" s="106">
        <v>874.80005763145891</v>
      </c>
      <c r="M35" s="106"/>
      <c r="N35" s="106"/>
      <c r="O35" s="106"/>
      <c r="P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15"/>
    </row>
    <row r="36" spans="1:36" ht="14.25" customHeight="1">
      <c r="A36" s="68">
        <v>2021</v>
      </c>
      <c r="B36" s="106">
        <f t="shared" si="7"/>
        <v>17564.010253588425</v>
      </c>
      <c r="C36" s="106">
        <v>17526.641872214037</v>
      </c>
      <c r="D36" s="106">
        <v>37.368381374389926</v>
      </c>
      <c r="E36" s="106">
        <f t="shared" si="8"/>
        <v>24376.964753232503</v>
      </c>
      <c r="F36" s="106">
        <f t="shared" si="9"/>
        <v>19756.129712216498</v>
      </c>
      <c r="G36" s="106">
        <v>4405.9690616239432</v>
      </c>
      <c r="H36" s="106">
        <v>214.86597939206248</v>
      </c>
      <c r="I36" s="106">
        <v>44861.162589171778</v>
      </c>
      <c r="J36" s="106">
        <v>39512.259424432996</v>
      </c>
      <c r="K36" s="106">
        <v>4405.9349909220309</v>
      </c>
      <c r="L36" s="106">
        <v>859.46391756824983</v>
      </c>
      <c r="M36" s="106"/>
      <c r="N36" s="106"/>
      <c r="O36" s="106"/>
      <c r="P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15"/>
    </row>
    <row r="37" spans="1:36" ht="14.25" customHeight="1">
      <c r="A37" s="68">
        <v>2022</v>
      </c>
      <c r="B37" s="106">
        <f t="shared" si="7"/>
        <v>17945.466262450482</v>
      </c>
      <c r="C37" s="106">
        <v>17907.987647492791</v>
      </c>
      <c r="D37" s="106">
        <v>37.478614957689302</v>
      </c>
      <c r="E37" s="106">
        <f t="shared" si="8"/>
        <v>24773.510125136996</v>
      </c>
      <c r="F37" s="106">
        <f t="shared" si="9"/>
        <v>20007.71033261505</v>
      </c>
      <c r="G37" s="106">
        <v>4554.9694044184262</v>
      </c>
      <c r="H37" s="106">
        <v>210.8303881035215</v>
      </c>
      <c r="I37" s="106">
        <v>45495.647946255522</v>
      </c>
      <c r="J37" s="106">
        <v>40015.4206652301</v>
      </c>
      <c r="K37" s="106">
        <v>4554.9371827550003</v>
      </c>
      <c r="L37" s="106">
        <v>843.321552414086</v>
      </c>
      <c r="M37" s="106"/>
      <c r="N37" s="106"/>
      <c r="O37" s="106"/>
      <c r="P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15"/>
    </row>
    <row r="38" spans="1:36" ht="14.25" customHeight="1">
      <c r="A38" s="68">
        <v>2023</v>
      </c>
      <c r="B38" s="106">
        <f t="shared" si="7"/>
        <v>18330.172801843059</v>
      </c>
      <c r="C38" s="106">
        <v>18292.585234190021</v>
      </c>
      <c r="D38" s="106">
        <v>37.587567653038242</v>
      </c>
      <c r="E38" s="106">
        <f t="shared" si="8"/>
        <v>25181.588437023416</v>
      </c>
      <c r="F38" s="106">
        <f t="shared" si="9"/>
        <v>20264.784641815</v>
      </c>
      <c r="G38" s="106">
        <v>4710.3554030447694</v>
      </c>
      <c r="H38" s="106">
        <v>206.448392163644</v>
      </c>
      <c r="I38" s="106">
        <v>46146.055222459174</v>
      </c>
      <c r="J38" s="106">
        <v>40529.56928363</v>
      </c>
      <c r="K38" s="106">
        <v>4710.3255942720316</v>
      </c>
      <c r="L38" s="106">
        <v>825.79356865457601</v>
      </c>
      <c r="M38" s="106"/>
      <c r="N38" s="106"/>
      <c r="O38" s="106"/>
      <c r="P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15"/>
    </row>
    <row r="39" spans="1:36" ht="14.25" customHeight="1">
      <c r="A39" s="68">
        <v>2024</v>
      </c>
      <c r="B39" s="106">
        <f t="shared" si="7"/>
        <v>18669.599402097501</v>
      </c>
      <c r="C39" s="106">
        <v>18631.938493695885</v>
      </c>
      <c r="D39" s="106">
        <v>37.660908401617931</v>
      </c>
      <c r="E39" s="106">
        <f t="shared" si="8"/>
        <v>25598.36053538385</v>
      </c>
      <c r="F39" s="106">
        <f t="shared" si="9"/>
        <v>20523.482203160449</v>
      </c>
      <c r="G39" s="106">
        <v>4872.9757948274046</v>
      </c>
      <c r="H39" s="106">
        <v>201.90253739599498</v>
      </c>
      <c r="I39" s="106">
        <v>46806.42529339539</v>
      </c>
      <c r="J39" s="106">
        <v>41046.964406320898</v>
      </c>
      <c r="K39" s="106">
        <v>4872.9492344959763</v>
      </c>
      <c r="L39" s="106">
        <v>807.61014958397993</v>
      </c>
      <c r="M39" s="106"/>
      <c r="N39" s="106"/>
      <c r="O39" s="106"/>
      <c r="P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15"/>
    </row>
    <row r="40" spans="1:36" ht="14.25" customHeight="1">
      <c r="A40" s="68">
        <v>2025</v>
      </c>
      <c r="B40" s="106">
        <f t="shared" si="7"/>
        <v>18981.908166559835</v>
      </c>
      <c r="C40" s="106">
        <v>18944.177642827362</v>
      </c>
      <c r="D40" s="106">
        <v>37.73052373247328</v>
      </c>
      <c r="E40" s="106">
        <f t="shared" si="8"/>
        <v>25988.598506340259</v>
      </c>
      <c r="F40" s="106">
        <f t="shared" si="9"/>
        <v>20755.55001365325</v>
      </c>
      <c r="G40" s="106">
        <v>5035.9072574712372</v>
      </c>
      <c r="H40" s="106">
        <v>197.14123521577176</v>
      </c>
      <c r="I40" s="106">
        <v>47413.613792386583</v>
      </c>
      <c r="J40" s="106">
        <v>41511.1000273065</v>
      </c>
      <c r="K40" s="106">
        <v>5035.8827509890234</v>
      </c>
      <c r="L40" s="106">
        <v>788.56494086308692</v>
      </c>
      <c r="M40" s="106"/>
      <c r="N40" s="106"/>
      <c r="O40" s="106"/>
      <c r="P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15"/>
    </row>
    <row r="41" spans="1:36" ht="14.25" customHeight="1">
      <c r="A41" s="68">
        <v>2026</v>
      </c>
      <c r="B41" s="106">
        <f t="shared" si="7"/>
        <v>19345.727446894809</v>
      </c>
      <c r="C41" s="106">
        <v>19307.862174980619</v>
      </c>
      <c r="D41" s="106">
        <v>37.865271914190799</v>
      </c>
      <c r="E41" s="106">
        <f t="shared" si="8"/>
        <v>26405.131116596043</v>
      </c>
      <c r="F41" s="106">
        <f t="shared" si="9"/>
        <v>21012.364691592298</v>
      </c>
      <c r="G41" s="106">
        <v>5200.4049364715684</v>
      </c>
      <c r="H41" s="106">
        <v>192.36148853217702</v>
      </c>
      <c r="I41" s="106">
        <v>48072.136136214416</v>
      </c>
      <c r="J41" s="106">
        <v>42024.729383184596</v>
      </c>
      <c r="K41" s="106">
        <v>5200.3830212139846</v>
      </c>
      <c r="L41" s="106">
        <v>769.44595412870797</v>
      </c>
      <c r="M41" s="106"/>
      <c r="N41" s="106"/>
      <c r="O41" s="106"/>
      <c r="P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15"/>
    </row>
    <row r="42" spans="1:36" ht="14.25" customHeight="1">
      <c r="A42" s="68">
        <v>2027</v>
      </c>
      <c r="B42" s="106">
        <f t="shared" si="7"/>
        <v>19738.442861211683</v>
      </c>
      <c r="C42" s="106">
        <v>19700.486923024866</v>
      </c>
      <c r="D42" s="106">
        <v>37.955938186816851</v>
      </c>
      <c r="E42" s="106">
        <f t="shared" si="8"/>
        <v>26865.104163631575</v>
      </c>
      <c r="F42" s="106">
        <f t="shared" si="9"/>
        <v>21304.914910515901</v>
      </c>
      <c r="G42" s="106">
        <v>5372.6536511609884</v>
      </c>
      <c r="H42" s="106">
        <v>187.53560195468449</v>
      </c>
      <c r="I42" s="106">
        <v>48810.098454637293</v>
      </c>
      <c r="J42" s="106">
        <v>42609.829821031803</v>
      </c>
      <c r="K42" s="106">
        <v>5372.6331796499999</v>
      </c>
      <c r="L42" s="106">
        <v>750.14240781873798</v>
      </c>
      <c r="M42" s="106"/>
      <c r="N42" s="106"/>
      <c r="O42" s="106"/>
      <c r="P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15"/>
    </row>
    <row r="43" spans="1:36" ht="14.25" customHeight="1">
      <c r="A43" s="68">
        <v>2028</v>
      </c>
      <c r="B43" s="106">
        <f t="shared" si="7"/>
        <v>20055.313143569278</v>
      </c>
      <c r="C43" s="106">
        <v>20017.396204899389</v>
      </c>
      <c r="D43" s="106">
        <v>37.916938669887863</v>
      </c>
      <c r="E43" s="106">
        <f t="shared" si="8"/>
        <v>27316.15581992915</v>
      </c>
      <c r="F43" s="106">
        <f t="shared" si="9"/>
        <v>21581.4394253752</v>
      </c>
      <c r="G43" s="106">
        <v>5551.9852669317834</v>
      </c>
      <c r="H43" s="106">
        <v>182.73112762216624</v>
      </c>
      <c r="I43" s="106">
        <v>49524.226636007741</v>
      </c>
      <c r="J43" s="106">
        <v>43162.8788507504</v>
      </c>
      <c r="K43" s="106">
        <v>5551.9646414589843</v>
      </c>
      <c r="L43" s="106">
        <v>730.92451048866508</v>
      </c>
      <c r="M43" s="106"/>
      <c r="N43" s="106"/>
      <c r="O43" s="106"/>
      <c r="P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5"/>
    </row>
    <row r="44" spans="1:36" ht="14.25" customHeight="1">
      <c r="A44" s="68">
        <v>2029</v>
      </c>
      <c r="B44" s="106">
        <f t="shared" si="7"/>
        <v>20331.188319534471</v>
      </c>
      <c r="C44" s="106">
        <v>20293.403337992655</v>
      </c>
      <c r="D44" s="106">
        <v>37.78498154181748</v>
      </c>
      <c r="E44" s="106">
        <f t="shared" si="8"/>
        <v>27788.813998426198</v>
      </c>
      <c r="F44" s="106">
        <f t="shared" si="9"/>
        <v>21866.0071966082</v>
      </c>
      <c r="G44" s="106">
        <v>5744.6638758456666</v>
      </c>
      <c r="H44" s="106">
        <v>178.14292597233501</v>
      </c>
      <c r="I44" s="106">
        <v>50268.922967049373</v>
      </c>
      <c r="J44" s="106">
        <v>43732.014393216399</v>
      </c>
      <c r="K44" s="106">
        <v>5744.6430987230078</v>
      </c>
      <c r="L44" s="106">
        <v>712.57170388934003</v>
      </c>
      <c r="M44" s="106"/>
      <c r="N44" s="106"/>
      <c r="O44" s="106"/>
      <c r="P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15"/>
    </row>
    <row r="45" spans="1:36" ht="14.25" customHeight="1">
      <c r="A45" s="68">
        <v>2030</v>
      </c>
      <c r="B45" s="106">
        <f t="shared" si="7"/>
        <v>20583.163034991976</v>
      </c>
      <c r="C45" s="106">
        <v>20545.611402194761</v>
      </c>
      <c r="D45" s="106">
        <v>37.551632797214893</v>
      </c>
      <c r="E45" s="106">
        <f t="shared" si="8"/>
        <v>28277.678895489942</v>
      </c>
      <c r="F45" s="106">
        <f t="shared" si="9"/>
        <v>22153.2643542935</v>
      </c>
      <c r="G45" s="106">
        <v>5950.6065594779111</v>
      </c>
      <c r="H45" s="106">
        <v>173.80798171853297</v>
      </c>
      <c r="I45" s="106">
        <v>51033.505270355607</v>
      </c>
      <c r="J45" s="106">
        <v>44306.528708587</v>
      </c>
      <c r="K45" s="106">
        <v>5950.5860319419926</v>
      </c>
      <c r="L45" s="106">
        <v>695.23192687413189</v>
      </c>
      <c r="M45" s="106"/>
      <c r="N45" s="106"/>
      <c r="O45" s="106"/>
      <c r="P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15"/>
    </row>
    <row r="46" spans="1:36" ht="14.25" customHeight="1">
      <c r="A46" s="68">
        <v>2031</v>
      </c>
      <c r="B46" s="106">
        <f t="shared" si="7"/>
        <v>20797.9482705808</v>
      </c>
      <c r="C46" s="106">
        <v>20760.69441786161</v>
      </c>
      <c r="D46" s="106">
        <v>37.253852719190611</v>
      </c>
      <c r="E46" s="106">
        <f t="shared" si="8"/>
        <v>28705.796607200431</v>
      </c>
      <c r="F46" s="106">
        <f t="shared" si="9"/>
        <v>22383.019899684448</v>
      </c>
      <c r="G46" s="106">
        <v>6153.2609930506651</v>
      </c>
      <c r="H46" s="106">
        <v>169.51571446531798</v>
      </c>
      <c r="I46" s="106">
        <v>51680.939819973566</v>
      </c>
      <c r="J46" s="106">
        <v>44766.039799368897</v>
      </c>
      <c r="K46" s="106">
        <v>6153.2408163769924</v>
      </c>
      <c r="L46" s="106">
        <v>678.06285786127194</v>
      </c>
      <c r="M46" s="106"/>
      <c r="N46" s="106"/>
      <c r="O46" s="106"/>
      <c r="P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15"/>
    </row>
    <row r="47" spans="1:36" ht="14.25" customHeight="1">
      <c r="A47" s="68">
        <v>2032</v>
      </c>
      <c r="B47" s="106">
        <f t="shared" si="7"/>
        <v>20968.715641917766</v>
      </c>
      <c r="C47" s="106">
        <v>20931.908784283689</v>
      </c>
      <c r="D47" s="106">
        <v>36.806857634078156</v>
      </c>
      <c r="E47" s="106">
        <f t="shared" ref="E47:E55" si="10">SUM(F47:H47)</f>
        <v>29126.561405944492</v>
      </c>
      <c r="F47" s="106">
        <f t="shared" si="9"/>
        <v>22599.946697228199</v>
      </c>
      <c r="G47" s="106">
        <v>6361.1714453514051</v>
      </c>
      <c r="H47" s="106">
        <v>165.44326336488851</v>
      </c>
      <c r="I47" s="106">
        <v>52309.186681358828</v>
      </c>
      <c r="J47" s="106">
        <v>45199.893394456398</v>
      </c>
      <c r="K47" s="106">
        <v>6361.1511190089841</v>
      </c>
      <c r="L47" s="106">
        <v>661.77305345955392</v>
      </c>
      <c r="M47" s="106"/>
      <c r="N47" s="106"/>
      <c r="O47" s="106"/>
      <c r="P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15"/>
    </row>
    <row r="48" spans="1:36" ht="14.25" customHeight="1">
      <c r="A48" s="68">
        <v>2033</v>
      </c>
      <c r="B48" s="106">
        <f t="shared" si="7"/>
        <v>21087.298409013267</v>
      </c>
      <c r="C48" s="106">
        <v>21051.12132048943</v>
      </c>
      <c r="D48" s="106">
        <v>36.177088523835209</v>
      </c>
      <c r="E48" s="106">
        <f t="shared" si="10"/>
        <v>29663.192671026223</v>
      </c>
      <c r="F48" s="106">
        <f t="shared" si="9"/>
        <v>22896.36489480775</v>
      </c>
      <c r="G48" s="106">
        <v>6604.7182785691575</v>
      </c>
      <c r="H48" s="106">
        <v>162.10949764931351</v>
      </c>
      <c r="I48" s="106">
        <v>53134.247106104864</v>
      </c>
      <c r="J48" s="106">
        <v>45792.7297896155</v>
      </c>
      <c r="K48" s="106">
        <v>6604.6985135349996</v>
      </c>
      <c r="L48" s="106">
        <v>648.43799059725416</v>
      </c>
      <c r="M48" s="106"/>
      <c r="N48" s="106"/>
      <c r="O48" s="106"/>
      <c r="P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15"/>
    </row>
    <row r="49" spans="1:36" ht="14.25" customHeight="1">
      <c r="A49" s="68">
        <v>2034</v>
      </c>
      <c r="B49" s="106">
        <f t="shared" si="7"/>
        <v>21178.149271895836</v>
      </c>
      <c r="C49" s="106">
        <v>21142.675023630709</v>
      </c>
      <c r="D49" s="106">
        <v>35.474248265126676</v>
      </c>
      <c r="E49" s="106">
        <f t="shared" si="10"/>
        <v>30198.455324946401</v>
      </c>
      <c r="F49" s="106">
        <f t="shared" si="9"/>
        <v>23178.335270164</v>
      </c>
      <c r="G49" s="106">
        <v>6861.0761930729514</v>
      </c>
      <c r="H49" s="106">
        <v>159.04386170944852</v>
      </c>
      <c r="I49" s="106">
        <v>53944.397536804026</v>
      </c>
      <c r="J49" s="106">
        <v>46356.670540327999</v>
      </c>
      <c r="K49" s="106">
        <v>6861.0574584330079</v>
      </c>
      <c r="L49" s="106">
        <v>636.17544683779408</v>
      </c>
      <c r="M49" s="106"/>
      <c r="N49" s="106"/>
      <c r="O49" s="106"/>
      <c r="P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15"/>
    </row>
    <row r="50" spans="1:36" ht="14.25" customHeight="1">
      <c r="A50" s="68">
        <v>2035</v>
      </c>
      <c r="B50" s="106">
        <f t="shared" si="7"/>
        <v>21271.490580227179</v>
      </c>
      <c r="C50" s="106">
        <v>21236.741488891876</v>
      </c>
      <c r="D50" s="106">
        <v>34.749091335304577</v>
      </c>
      <c r="E50" s="106">
        <f t="shared" si="10"/>
        <v>30737.88272076568</v>
      </c>
      <c r="F50" s="106">
        <f t="shared" si="9"/>
        <v>23452.624548436452</v>
      </c>
      <c r="G50" s="106">
        <v>7129.0241463170323</v>
      </c>
      <c r="H50" s="106">
        <v>156.23402601219723</v>
      </c>
      <c r="I50" s="106">
        <v>54751.453957712518</v>
      </c>
      <c r="J50" s="106">
        <v>46905.249096872903</v>
      </c>
      <c r="K50" s="106">
        <v>7129.0057532859764</v>
      </c>
      <c r="L50" s="106">
        <v>624.93610404878882</v>
      </c>
      <c r="M50" s="106"/>
      <c r="N50" s="106"/>
      <c r="O50" s="106"/>
      <c r="P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15"/>
    </row>
    <row r="51" spans="1:36" ht="14.25" customHeight="1">
      <c r="A51" s="68">
        <v>2036</v>
      </c>
      <c r="B51" s="106">
        <f t="shared" si="7"/>
        <v>21370.971680182469</v>
      </c>
      <c r="C51" s="106">
        <v>21336.986115405016</v>
      </c>
      <c r="D51" s="106">
        <v>33.985564777453703</v>
      </c>
      <c r="E51" s="106">
        <f t="shared" si="10"/>
        <v>31299.826115023952</v>
      </c>
      <c r="F51" s="106">
        <f t="shared" si="9"/>
        <v>23734.225134569399</v>
      </c>
      <c r="G51" s="106">
        <v>7411.8104829142612</v>
      </c>
      <c r="H51" s="106">
        <v>153.79049754029174</v>
      </c>
      <c r="I51" s="106">
        <v>55587.79930708067</v>
      </c>
      <c r="J51" s="106">
        <v>47468.450269138797</v>
      </c>
      <c r="K51" s="106">
        <v>7411.7917682710158</v>
      </c>
      <c r="L51" s="106">
        <v>615.16199016116684</v>
      </c>
      <c r="M51" s="106"/>
      <c r="N51" s="106"/>
      <c r="O51" s="106"/>
      <c r="P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15"/>
    </row>
    <row r="52" spans="1:36" ht="14.25" customHeight="1">
      <c r="A52" s="68">
        <v>2037</v>
      </c>
      <c r="B52" s="106">
        <f t="shared" si="7"/>
        <v>21465.110098420137</v>
      </c>
      <c r="C52" s="106">
        <v>21431.936480434517</v>
      </c>
      <c r="D52" s="106">
        <v>33.173617985618854</v>
      </c>
      <c r="E52" s="106">
        <f t="shared" si="10"/>
        <v>31914.321584066805</v>
      </c>
      <c r="F52" s="106">
        <f t="shared" si="9"/>
        <v>24051.528758338849</v>
      </c>
      <c r="G52" s="106">
        <v>7711.0338714488944</v>
      </c>
      <c r="H52" s="106">
        <v>151.75895427906349</v>
      </c>
      <c r="I52" s="106">
        <v>56512.652055059145</v>
      </c>
      <c r="J52" s="106">
        <v>48103.057516677698</v>
      </c>
      <c r="K52" s="106">
        <v>7711.0151492730074</v>
      </c>
      <c r="L52" s="106">
        <v>607.03581711625395</v>
      </c>
      <c r="M52" s="106"/>
      <c r="N52" s="106"/>
      <c r="O52" s="106"/>
      <c r="P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15"/>
    </row>
    <row r="53" spans="1:36" ht="14.25" customHeight="1">
      <c r="A53" s="68">
        <v>2038</v>
      </c>
      <c r="B53" s="106">
        <f t="shared" si="7"/>
        <v>21561.681739874224</v>
      </c>
      <c r="C53" s="106">
        <v>21529.329622028104</v>
      </c>
      <c r="D53" s="106">
        <v>32.352117846120962</v>
      </c>
      <c r="E53" s="106">
        <f t="shared" si="10"/>
        <v>32547.414027157796</v>
      </c>
      <c r="F53" s="106">
        <f t="shared" si="9"/>
        <v>24376.238673124502</v>
      </c>
      <c r="G53" s="106">
        <v>8021.0630618269533</v>
      </c>
      <c r="H53" s="106">
        <v>150.11229220634024</v>
      </c>
      <c r="I53" s="106">
        <v>57463.677724518857</v>
      </c>
      <c r="J53" s="106">
        <v>48752.477346249005</v>
      </c>
      <c r="K53" s="106">
        <v>8021.0451963480082</v>
      </c>
      <c r="L53" s="106">
        <v>600.44916882536086</v>
      </c>
      <c r="M53" s="106"/>
      <c r="N53" s="106"/>
      <c r="O53" s="106"/>
      <c r="P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15"/>
    </row>
    <row r="54" spans="1:36" ht="14.25" customHeight="1">
      <c r="A54" s="68">
        <v>2039</v>
      </c>
      <c r="B54" s="106">
        <f t="shared" si="7"/>
        <v>21672.362544758755</v>
      </c>
      <c r="C54" s="106">
        <v>21640.795866181586</v>
      </c>
      <c r="D54" s="106">
        <v>31.566678577169615</v>
      </c>
      <c r="E54" s="106">
        <f t="shared" si="10"/>
        <v>33166.214775579654</v>
      </c>
      <c r="F54" s="106">
        <f t="shared" si="9"/>
        <v>24684.972294523548</v>
      </c>
      <c r="G54" s="106">
        <v>8332.6304983195841</v>
      </c>
      <c r="H54" s="106">
        <v>148.61198273652599</v>
      </c>
      <c r="I54" s="106">
        <v>58383.585068524008</v>
      </c>
      <c r="J54" s="106">
        <v>49369.944589047096</v>
      </c>
      <c r="K54" s="106">
        <v>8332.613258915977</v>
      </c>
      <c r="L54" s="106">
        <v>594.44793094610407</v>
      </c>
      <c r="M54" s="106"/>
      <c r="N54" s="106"/>
      <c r="O54" s="106"/>
      <c r="P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15"/>
    </row>
    <row r="55" spans="1:36" ht="14.25" customHeight="1">
      <c r="A55" s="68">
        <v>2040</v>
      </c>
      <c r="B55" s="106">
        <f>C55+D55</f>
        <v>21809.904611790324</v>
      </c>
      <c r="C55" s="106">
        <v>21779.041192751716</v>
      </c>
      <c r="D55" s="106">
        <v>30.863419038606111</v>
      </c>
      <c r="E55" s="106">
        <f t="shared" si="10"/>
        <v>33727.198688458739</v>
      </c>
      <c r="F55" s="106">
        <f t="shared" si="9"/>
        <v>24947.671407563997</v>
      </c>
      <c r="G55" s="106">
        <v>8632.4732579296196</v>
      </c>
      <c r="H55" s="106">
        <v>147.05402296512574</v>
      </c>
      <c r="I55" s="106">
        <v>59198.457488877109</v>
      </c>
      <c r="J55" s="106">
        <v>49895.342815127995</v>
      </c>
      <c r="K55" s="106">
        <v>8632.4566234819922</v>
      </c>
      <c r="L55" s="106">
        <v>588.21609186050296</v>
      </c>
      <c r="M55" s="106"/>
      <c r="N55" s="106"/>
      <c r="O55" s="106"/>
      <c r="P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15"/>
    </row>
    <row r="56" spans="1:36" ht="14.25" customHeight="1"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</row>
  </sheetData>
  <phoneticPr fontId="1"/>
  <printOptions horizontalCentered="1"/>
  <pageMargins left="0.39370078740157483" right="0" top="0.78740157480314965" bottom="0.19685039370078741" header="0.51181102362204722" footer="0.51181102362204722"/>
  <pageSetup paperSize="9"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T52"/>
  <sheetViews>
    <sheetView zoomScaleNormal="100" workbookViewId="0"/>
  </sheetViews>
  <sheetFormatPr defaultRowHeight="13.5"/>
  <cols>
    <col min="1" max="2" width="7.625" style="1" customWidth="1"/>
    <col min="3" max="5" width="11.25" style="1" customWidth="1"/>
    <col min="6" max="6" width="11.25" style="9" customWidth="1"/>
    <col min="7" max="7" width="9" style="1"/>
    <col min="8" max="8" width="9.25" style="1" bestFit="1" customWidth="1"/>
    <col min="9" max="16384" width="9" style="1"/>
  </cols>
  <sheetData>
    <row r="1" spans="1:20">
      <c r="A1" s="1" t="s">
        <v>156</v>
      </c>
    </row>
    <row r="3" spans="1:20">
      <c r="A3" s="2" t="s">
        <v>55</v>
      </c>
      <c r="B3" s="4"/>
      <c r="C3" s="4" t="s">
        <v>56</v>
      </c>
      <c r="D3" s="30" t="s">
        <v>57</v>
      </c>
      <c r="E3" s="81" t="s">
        <v>13</v>
      </c>
      <c r="F3" s="10" t="s">
        <v>58</v>
      </c>
    </row>
    <row r="4" spans="1:20">
      <c r="A4" s="6"/>
      <c r="B4" s="82"/>
      <c r="C4" s="82" t="s">
        <v>59</v>
      </c>
      <c r="D4" s="82"/>
      <c r="E4" s="83"/>
      <c r="F4" s="11"/>
    </row>
    <row r="5" spans="1:20">
      <c r="A5" s="7">
        <v>30</v>
      </c>
      <c r="B5" s="73">
        <v>2018</v>
      </c>
      <c r="C5" s="74">
        <f>厚生年金!H5</f>
        <v>502535.77962218528</v>
      </c>
      <c r="D5" s="74">
        <f>厚生年金!C5</f>
        <v>364292.81280378974</v>
      </c>
      <c r="E5" s="74">
        <f>厚生年金!D5-F5</f>
        <v>102082.84309999998</v>
      </c>
      <c r="F5" s="13">
        <f>SUM(厚生年金!Q5,厚生年金!M5/2)</f>
        <v>7057.6702875178935</v>
      </c>
      <c r="H5" s="12"/>
      <c r="N5" s="26"/>
      <c r="O5" s="26"/>
      <c r="P5" s="26"/>
      <c r="Q5" s="26"/>
      <c r="R5" s="26"/>
      <c r="S5" s="26"/>
      <c r="T5" s="26"/>
    </row>
    <row r="6" spans="1:20">
      <c r="A6" s="7">
        <f t="shared" ref="A6:A27" si="0">A5+1</f>
        <v>31</v>
      </c>
      <c r="B6" s="73">
        <f t="shared" ref="B6:B27" si="1">B5+1</f>
        <v>2019</v>
      </c>
      <c r="C6" s="74">
        <f>厚生年金!H6</f>
        <v>504142.76974141534</v>
      </c>
      <c r="D6" s="74">
        <f>厚生年金!C6</f>
        <v>370545.66747927613</v>
      </c>
      <c r="E6" s="74">
        <f>厚生年金!D6-F6</f>
        <v>102936.0264150139</v>
      </c>
      <c r="F6" s="13">
        <f>SUM(厚生年金!Q6,厚生年金!M6/2)</f>
        <v>7135.6914102492183</v>
      </c>
      <c r="H6" s="12"/>
      <c r="N6" s="26"/>
      <c r="O6" s="26"/>
      <c r="P6" s="26"/>
      <c r="Q6" s="26"/>
      <c r="R6" s="26"/>
      <c r="S6" s="26"/>
      <c r="T6" s="26"/>
    </row>
    <row r="7" spans="1:20">
      <c r="A7" s="7">
        <f t="shared" si="0"/>
        <v>32</v>
      </c>
      <c r="B7" s="73">
        <f t="shared" si="1"/>
        <v>2020</v>
      </c>
      <c r="C7" s="74">
        <f>厚生年金!H7</f>
        <v>509341.93325396569</v>
      </c>
      <c r="D7" s="74">
        <f>厚生年金!C7</f>
        <v>378554.72771108721</v>
      </c>
      <c r="E7" s="74">
        <f>厚生年金!D7-F7</f>
        <v>104475.44157988702</v>
      </c>
      <c r="F7" s="13">
        <f>SUM(厚生年金!Q7,厚生年金!M7/2)</f>
        <v>7263.8085255805354</v>
      </c>
      <c r="H7" s="12"/>
      <c r="N7" s="26"/>
      <c r="O7" s="26"/>
      <c r="P7" s="26"/>
      <c r="Q7" s="26"/>
      <c r="R7" s="26"/>
      <c r="S7" s="26"/>
      <c r="T7" s="26"/>
    </row>
    <row r="8" spans="1:20">
      <c r="A8" s="7">
        <f t="shared" si="0"/>
        <v>33</v>
      </c>
      <c r="B8" s="73">
        <f t="shared" si="1"/>
        <v>2021</v>
      </c>
      <c r="C8" s="74">
        <f>厚生年金!H8</f>
        <v>516889.26202850172</v>
      </c>
      <c r="D8" s="74">
        <f>厚生年金!C8</f>
        <v>385734.60171468311</v>
      </c>
      <c r="E8" s="74">
        <f>厚生年金!D8-F8</f>
        <v>105863.16422061276</v>
      </c>
      <c r="F8" s="13">
        <f>SUM(厚生年金!Q8,厚生年金!M8/2)</f>
        <v>7385.6740470881468</v>
      </c>
      <c r="H8" s="12"/>
      <c r="N8" s="26"/>
      <c r="O8" s="26"/>
      <c r="P8" s="26"/>
      <c r="Q8" s="26"/>
      <c r="R8" s="26"/>
      <c r="S8" s="26"/>
      <c r="T8" s="26"/>
    </row>
    <row r="9" spans="1:20">
      <c r="A9" s="7">
        <f t="shared" si="0"/>
        <v>34</v>
      </c>
      <c r="B9" s="73">
        <f t="shared" si="1"/>
        <v>2022</v>
      </c>
      <c r="C9" s="74">
        <f>厚生年金!H9</f>
        <v>520232.42500970105</v>
      </c>
      <c r="D9" s="74">
        <f>厚生年金!C9</f>
        <v>392472.68174644216</v>
      </c>
      <c r="E9" s="74">
        <f>厚生年金!D9-F9</f>
        <v>106715.2562722399</v>
      </c>
      <c r="F9" s="13">
        <f>SUM(厚生年金!Q9,厚生年金!M9/2)</f>
        <v>7477.5967274535587</v>
      </c>
      <c r="H9" s="12"/>
      <c r="N9" s="26"/>
      <c r="O9" s="26"/>
      <c r="P9" s="26"/>
      <c r="Q9" s="26"/>
      <c r="R9" s="26"/>
      <c r="S9" s="26"/>
      <c r="T9" s="26"/>
    </row>
    <row r="10" spans="1:20">
      <c r="A10" s="7">
        <f t="shared" si="0"/>
        <v>35</v>
      </c>
      <c r="B10" s="73">
        <f t="shared" si="1"/>
        <v>2023</v>
      </c>
      <c r="C10" s="74">
        <f>厚生年金!H10</f>
        <v>521444.52092681418</v>
      </c>
      <c r="D10" s="74">
        <f>厚生年金!C10</f>
        <v>399246.2674537687</v>
      </c>
      <c r="E10" s="74">
        <f>厚生年金!D10-F10</f>
        <v>107321.97809533271</v>
      </c>
      <c r="F10" s="13">
        <f>SUM(厚生年金!Q10,厚生年金!M10/2)</f>
        <v>7560.2767732785233</v>
      </c>
      <c r="H10" s="12"/>
      <c r="N10" s="26"/>
      <c r="O10" s="26"/>
      <c r="P10" s="26"/>
      <c r="Q10" s="26"/>
      <c r="R10" s="26"/>
      <c r="S10" s="26"/>
      <c r="T10" s="26"/>
    </row>
    <row r="11" spans="1:20">
      <c r="A11" s="7">
        <f t="shared" si="0"/>
        <v>36</v>
      </c>
      <c r="B11" s="73">
        <f t="shared" si="1"/>
        <v>2024</v>
      </c>
      <c r="C11" s="74">
        <f>厚生年金!H11</f>
        <v>525265.8523933118</v>
      </c>
      <c r="D11" s="74">
        <f>厚生年金!C11</f>
        <v>405540.73472353787</v>
      </c>
      <c r="E11" s="74">
        <f>厚生年金!D11-F11</f>
        <v>107975.900147351</v>
      </c>
      <c r="F11" s="13">
        <f>SUM(厚生年金!Q11,厚生年金!M11/2)</f>
        <v>7651.3607911024837</v>
      </c>
      <c r="H11" s="12"/>
      <c r="N11" s="26"/>
      <c r="O11" s="26"/>
      <c r="P11" s="26"/>
      <c r="Q11" s="26"/>
      <c r="R11" s="26"/>
      <c r="S11" s="26"/>
      <c r="T11" s="26"/>
    </row>
    <row r="12" spans="1:20">
      <c r="A12" s="7">
        <f t="shared" si="0"/>
        <v>37</v>
      </c>
      <c r="B12" s="73">
        <f t="shared" si="1"/>
        <v>2025</v>
      </c>
      <c r="C12" s="74">
        <f>厚生年金!H12</f>
        <v>526448.3107296119</v>
      </c>
      <c r="D12" s="74">
        <f>厚生年金!C12</f>
        <v>411744.35591604962</v>
      </c>
      <c r="E12" s="74">
        <f>厚生年金!D12-F12</f>
        <v>108531.64576496172</v>
      </c>
      <c r="F12" s="13">
        <f>SUM(厚生年金!Q12,厚生年金!M12/2)</f>
        <v>7741.4358815305495</v>
      </c>
      <c r="H12" s="12"/>
      <c r="N12" s="26"/>
      <c r="O12" s="26"/>
      <c r="P12" s="26"/>
      <c r="Q12" s="26"/>
      <c r="R12" s="26"/>
      <c r="S12" s="26"/>
      <c r="T12" s="26"/>
    </row>
    <row r="13" spans="1:20">
      <c r="A13" s="7">
        <f t="shared" si="0"/>
        <v>38</v>
      </c>
      <c r="B13" s="73">
        <f t="shared" si="1"/>
        <v>2026</v>
      </c>
      <c r="C13" s="74">
        <f>厚生年金!H13</f>
        <v>526385.16015310981</v>
      </c>
      <c r="D13" s="74">
        <f>厚生年金!C13</f>
        <v>418104.7779960116</v>
      </c>
      <c r="E13" s="74">
        <f>厚生年金!D13-F13</f>
        <v>108989.08816732102</v>
      </c>
      <c r="F13" s="13">
        <f>SUM(厚生年金!Q13,厚生年金!M13/2)</f>
        <v>7831.2882794858569</v>
      </c>
      <c r="H13" s="12"/>
      <c r="N13" s="26"/>
      <c r="O13" s="26"/>
      <c r="P13" s="26"/>
      <c r="Q13" s="26"/>
      <c r="R13" s="26"/>
      <c r="S13" s="26"/>
      <c r="T13" s="26"/>
    </row>
    <row r="14" spans="1:20">
      <c r="A14" s="7">
        <f t="shared" si="0"/>
        <v>39</v>
      </c>
      <c r="B14" s="73">
        <f t="shared" si="1"/>
        <v>2027</v>
      </c>
      <c r="C14" s="74">
        <f>厚生年金!H14</f>
        <v>530614.40022574319</v>
      </c>
      <c r="D14" s="74">
        <f>厚生年金!C14</f>
        <v>424032.00838000263</v>
      </c>
      <c r="E14" s="74">
        <f>厚生年金!D14-F14</f>
        <v>109362.34516899698</v>
      </c>
      <c r="F14" s="13">
        <f>SUM(厚生年金!Q14,厚生年金!M14/2)</f>
        <v>7913.3602532895438</v>
      </c>
      <c r="H14" s="12"/>
      <c r="N14" s="26"/>
      <c r="O14" s="26"/>
      <c r="P14" s="26"/>
      <c r="Q14" s="26"/>
      <c r="R14" s="26"/>
      <c r="S14" s="26"/>
      <c r="T14" s="26"/>
    </row>
    <row r="15" spans="1:20">
      <c r="A15" s="7">
        <f t="shared" si="0"/>
        <v>40</v>
      </c>
      <c r="B15" s="73">
        <f t="shared" si="1"/>
        <v>2028</v>
      </c>
      <c r="C15" s="74">
        <f>厚生年金!H15</f>
        <v>534808.62584364822</v>
      </c>
      <c r="D15" s="74">
        <f>厚生年金!C15</f>
        <v>429367.56135076017</v>
      </c>
      <c r="E15" s="74">
        <f>厚生年金!D15-F15</f>
        <v>109693.44870932438</v>
      </c>
      <c r="F15" s="13">
        <f>SUM(厚生年金!Q15,厚生年金!M15/2)</f>
        <v>8003.7751564429727</v>
      </c>
      <c r="H15" s="12"/>
      <c r="N15" s="26"/>
      <c r="O15" s="26"/>
      <c r="P15" s="26"/>
      <c r="Q15" s="26"/>
      <c r="R15" s="26"/>
      <c r="S15" s="26"/>
      <c r="T15" s="26"/>
    </row>
    <row r="16" spans="1:20">
      <c r="A16" s="7">
        <f t="shared" si="0"/>
        <v>41</v>
      </c>
      <c r="B16" s="73">
        <f t="shared" si="1"/>
        <v>2029</v>
      </c>
      <c r="C16" s="74">
        <f>厚生年金!H16</f>
        <v>541019.35415271018</v>
      </c>
      <c r="D16" s="74">
        <f>厚生年金!C16</f>
        <v>436321.70823505271</v>
      </c>
      <c r="E16" s="74">
        <f>厚生年金!D16-F16</f>
        <v>110237.31470822199</v>
      </c>
      <c r="F16" s="13">
        <f>SUM(厚生年金!Q16,厚生年金!M16/2)</f>
        <v>8122.0168553453168</v>
      </c>
      <c r="H16" s="12"/>
      <c r="N16" s="26"/>
      <c r="O16" s="26"/>
      <c r="P16" s="26"/>
      <c r="Q16" s="26"/>
      <c r="R16" s="26"/>
      <c r="S16" s="26"/>
      <c r="T16" s="26"/>
    </row>
    <row r="17" spans="1:20">
      <c r="A17" s="7">
        <f t="shared" si="0"/>
        <v>42</v>
      </c>
      <c r="B17" s="73">
        <f t="shared" si="1"/>
        <v>2030</v>
      </c>
      <c r="C17" s="74">
        <f>厚生年金!H17</f>
        <v>547097.88994497282</v>
      </c>
      <c r="D17" s="74">
        <f>厚生年金!C17</f>
        <v>443211.89348796621</v>
      </c>
      <c r="E17" s="74">
        <f>厚生年金!D17-F17</f>
        <v>110908.39554963005</v>
      </c>
      <c r="F17" s="13">
        <f>SUM(厚生年金!Q17,厚生年金!M17/2)</f>
        <v>8248.797736852961</v>
      </c>
      <c r="H17" s="12"/>
      <c r="N17" s="26"/>
      <c r="O17" s="26"/>
      <c r="P17" s="26"/>
      <c r="Q17" s="26"/>
      <c r="R17" s="26"/>
      <c r="S17" s="26"/>
      <c r="T17" s="26"/>
    </row>
    <row r="18" spans="1:20">
      <c r="A18" s="7">
        <f t="shared" si="0"/>
        <v>43</v>
      </c>
      <c r="B18" s="73">
        <f t="shared" si="1"/>
        <v>2031</v>
      </c>
      <c r="C18" s="74">
        <f>厚生年金!H18</f>
        <v>551753.05315868009</v>
      </c>
      <c r="D18" s="74">
        <f>厚生年金!C18</f>
        <v>449790.09126508288</v>
      </c>
      <c r="E18" s="75">
        <f>厚生年金!D18-F18</f>
        <v>111396.33883103414</v>
      </c>
      <c r="F18" s="13">
        <f>SUM(厚生年金!Q18,厚生年金!M18/2)</f>
        <v>8362.2417732504691</v>
      </c>
      <c r="H18" s="12"/>
      <c r="N18" s="26"/>
      <c r="O18" s="26"/>
      <c r="P18" s="26"/>
      <c r="Q18" s="26"/>
      <c r="R18" s="26"/>
      <c r="S18" s="26"/>
      <c r="T18" s="26"/>
    </row>
    <row r="19" spans="1:20">
      <c r="A19" s="7">
        <f t="shared" si="0"/>
        <v>44</v>
      </c>
      <c r="B19" s="73">
        <f t="shared" si="1"/>
        <v>2032</v>
      </c>
      <c r="C19" s="74">
        <f>厚生年金!H19</f>
        <v>558117.75450338295</v>
      </c>
      <c r="D19" s="74">
        <f>厚生年金!C19</f>
        <v>456133.27560060157</v>
      </c>
      <c r="E19" s="75">
        <f>厚生年金!D19-F19</f>
        <v>111999.58546886571</v>
      </c>
      <c r="F19" s="13">
        <f>SUM(厚生年金!Q19,厚生年金!M19/2)</f>
        <v>8491.3714018481805</v>
      </c>
      <c r="H19" s="12"/>
      <c r="N19" s="26"/>
      <c r="O19" s="26"/>
      <c r="P19" s="26"/>
      <c r="Q19" s="26"/>
      <c r="R19" s="26"/>
      <c r="S19" s="26"/>
      <c r="T19" s="26"/>
    </row>
    <row r="20" spans="1:20">
      <c r="A20" s="7">
        <f t="shared" si="0"/>
        <v>45</v>
      </c>
      <c r="B20" s="73">
        <f t="shared" si="1"/>
        <v>2033</v>
      </c>
      <c r="C20" s="74">
        <f>厚生年金!H20</f>
        <v>567146.70639791607</v>
      </c>
      <c r="D20" s="74">
        <f>厚生年金!C20</f>
        <v>462351.27676702006</v>
      </c>
      <c r="E20" s="75">
        <f>厚生年金!D20-F20</f>
        <v>113183.76565706865</v>
      </c>
      <c r="F20" s="13">
        <f>SUM(厚生年金!Q20,厚生年金!M20/2)</f>
        <v>8676.0142080549685</v>
      </c>
      <c r="H20" s="12"/>
      <c r="N20" s="26"/>
      <c r="O20" s="26"/>
      <c r="P20" s="26"/>
      <c r="Q20" s="26"/>
      <c r="R20" s="26"/>
      <c r="S20" s="26"/>
      <c r="T20" s="26"/>
    </row>
    <row r="21" spans="1:20">
      <c r="A21" s="7">
        <f t="shared" si="0"/>
        <v>46</v>
      </c>
      <c r="B21" s="73">
        <f t="shared" si="1"/>
        <v>2034</v>
      </c>
      <c r="C21" s="74">
        <f>厚生年金!H21</f>
        <v>576658.54263153649</v>
      </c>
      <c r="D21" s="74">
        <f>厚生年金!C21</f>
        <v>468260.12797748443</v>
      </c>
      <c r="E21" s="75">
        <f>厚生年金!D21-F21</f>
        <v>114474.52587517237</v>
      </c>
      <c r="F21" s="13">
        <f>SUM(厚生年金!Q21,厚生年金!M21/2)</f>
        <v>8872.8264631750426</v>
      </c>
      <c r="H21" s="12"/>
      <c r="N21" s="26"/>
      <c r="O21" s="26"/>
      <c r="P21" s="26"/>
      <c r="Q21" s="26"/>
      <c r="R21" s="26"/>
      <c r="S21" s="26"/>
      <c r="T21" s="26"/>
    </row>
    <row r="22" spans="1:20">
      <c r="A22" s="7">
        <f t="shared" si="0"/>
        <v>47</v>
      </c>
      <c r="B22" s="73">
        <f t="shared" si="1"/>
        <v>2035</v>
      </c>
      <c r="C22" s="74">
        <f>厚生年金!H22</f>
        <v>586569.48490882595</v>
      </c>
      <c r="D22" s="74">
        <f>厚生年金!C22</f>
        <v>474135.4433770082</v>
      </c>
      <c r="E22" s="75">
        <f>厚生年金!D22-F22</f>
        <v>115850.46196707354</v>
      </c>
      <c r="F22" s="13">
        <f>SUM(厚生年金!Q22,厚生年金!M22/2)</f>
        <v>9074.4365342721158</v>
      </c>
      <c r="H22" s="12"/>
      <c r="N22" s="26"/>
      <c r="O22" s="26"/>
      <c r="P22" s="26"/>
      <c r="Q22" s="26"/>
      <c r="R22" s="26"/>
      <c r="S22" s="26"/>
      <c r="T22" s="26"/>
    </row>
    <row r="23" spans="1:20">
      <c r="A23" s="7">
        <f t="shared" si="0"/>
        <v>48</v>
      </c>
      <c r="B23" s="73">
        <f t="shared" si="1"/>
        <v>2036</v>
      </c>
      <c r="C23" s="74">
        <f>厚生年金!H23</f>
        <v>597448.4421761221</v>
      </c>
      <c r="D23" s="74">
        <f>厚生年金!C23</f>
        <v>480466.59631001967</v>
      </c>
      <c r="E23" s="75">
        <f>厚生年金!D23-F23</f>
        <v>117416.97716007076</v>
      </c>
      <c r="F23" s="13">
        <f>SUM(厚生年金!Q23,厚生年金!M23/2)</f>
        <v>9282.3455996024186</v>
      </c>
      <c r="H23" s="12"/>
      <c r="N23" s="26"/>
      <c r="O23" s="26"/>
      <c r="P23" s="26"/>
      <c r="Q23" s="26"/>
      <c r="R23" s="26"/>
      <c r="S23" s="26"/>
      <c r="T23" s="26"/>
    </row>
    <row r="24" spans="1:20">
      <c r="A24" s="7">
        <f t="shared" si="0"/>
        <v>49</v>
      </c>
      <c r="B24" s="73">
        <f t="shared" si="1"/>
        <v>2037</v>
      </c>
      <c r="C24" s="74">
        <f>厚生年金!H24</f>
        <v>610556.31839254394</v>
      </c>
      <c r="D24" s="74">
        <f>厚生年金!C24</f>
        <v>486622.12031489634</v>
      </c>
      <c r="E24" s="75">
        <f>厚生年金!D24-F24</f>
        <v>119318.83614423918</v>
      </c>
      <c r="F24" s="13">
        <f>SUM(厚生年金!Q24,厚生年金!M24/2)</f>
        <v>9507.6924342756884</v>
      </c>
      <c r="H24" s="12"/>
      <c r="N24" s="26"/>
      <c r="O24" s="26"/>
      <c r="P24" s="26"/>
      <c r="Q24" s="26"/>
      <c r="R24" s="26"/>
      <c r="S24" s="26"/>
      <c r="T24" s="26"/>
    </row>
    <row r="25" spans="1:20">
      <c r="A25" s="7">
        <f t="shared" si="0"/>
        <v>50</v>
      </c>
      <c r="B25" s="73">
        <f t="shared" si="1"/>
        <v>2038</v>
      </c>
      <c r="C25" s="74">
        <f>厚生年金!H25</f>
        <v>624288.95470049174</v>
      </c>
      <c r="D25" s="74">
        <f>厚生年金!C25</f>
        <v>492561.76663759537</v>
      </c>
      <c r="E25" s="75">
        <f>厚生年金!D25-F25</f>
        <v>121303.67534134246</v>
      </c>
      <c r="F25" s="13">
        <f>SUM(厚生年金!Q25,厚生年金!M25/2)</f>
        <v>9736.0952962643823</v>
      </c>
      <c r="H25" s="12"/>
      <c r="N25" s="26"/>
      <c r="O25" s="26"/>
      <c r="P25" s="26"/>
      <c r="Q25" s="26"/>
      <c r="R25" s="26"/>
      <c r="S25" s="26"/>
      <c r="T25" s="26"/>
    </row>
    <row r="26" spans="1:20">
      <c r="A26" s="7">
        <f t="shared" si="0"/>
        <v>51</v>
      </c>
      <c r="B26" s="73">
        <f t="shared" si="1"/>
        <v>2039</v>
      </c>
      <c r="C26" s="74">
        <f>厚生年金!H26</f>
        <v>637786.57574387477</v>
      </c>
      <c r="D26" s="74">
        <f>厚生年金!C26</f>
        <v>498462.45767320611</v>
      </c>
      <c r="E26" s="75">
        <f>厚生年金!D26-F26</f>
        <v>123218.48680720975</v>
      </c>
      <c r="F26" s="13">
        <f>SUM(厚生年金!Q26,厚生年金!M26/2)</f>
        <v>9953.8295825991463</v>
      </c>
      <c r="H26" s="12"/>
      <c r="N26" s="26"/>
      <c r="O26" s="26"/>
      <c r="P26" s="26"/>
      <c r="Q26" s="26"/>
      <c r="R26" s="26"/>
      <c r="S26" s="26"/>
      <c r="T26" s="26"/>
    </row>
    <row r="27" spans="1:20">
      <c r="A27" s="76">
        <f t="shared" si="0"/>
        <v>52</v>
      </c>
      <c r="B27" s="77">
        <f t="shared" si="1"/>
        <v>2040</v>
      </c>
      <c r="C27" s="78">
        <f>厚生年金!H27</f>
        <v>650029.53563911049</v>
      </c>
      <c r="D27" s="78">
        <f>厚生年金!C27</f>
        <v>504466.81629209075</v>
      </c>
      <c r="E27" s="79">
        <f>厚生年金!D27-F27</f>
        <v>124859.28757220331</v>
      </c>
      <c r="F27" s="80">
        <f>SUM(厚生年金!Q27,厚生年金!M27/2)</f>
        <v>10142.722470545608</v>
      </c>
      <c r="H27" s="12"/>
      <c r="N27" s="26"/>
      <c r="O27" s="26"/>
      <c r="P27" s="26"/>
      <c r="Q27" s="26"/>
      <c r="R27" s="26"/>
      <c r="S27" s="26"/>
      <c r="T27" s="26"/>
    </row>
    <row r="29" spans="1:20">
      <c r="H29" s="26"/>
      <c r="I29" s="26"/>
      <c r="J29" s="26"/>
      <c r="K29" s="26"/>
      <c r="L29" s="26"/>
      <c r="M29" s="26"/>
      <c r="N29" s="26"/>
    </row>
    <row r="30" spans="1:20">
      <c r="H30" s="26"/>
      <c r="I30" s="26"/>
      <c r="J30" s="26"/>
      <c r="K30" s="26"/>
      <c r="L30" s="26"/>
      <c r="M30" s="26"/>
      <c r="N30" s="26"/>
    </row>
    <row r="31" spans="1:20">
      <c r="H31" s="26"/>
      <c r="I31" s="26"/>
      <c r="J31" s="26"/>
      <c r="K31" s="26"/>
      <c r="L31" s="26"/>
      <c r="M31" s="26"/>
      <c r="N31" s="26"/>
    </row>
    <row r="32" spans="1:20">
      <c r="H32" s="26"/>
      <c r="I32" s="26"/>
      <c r="J32" s="26"/>
      <c r="K32" s="26"/>
      <c r="L32" s="26"/>
      <c r="M32" s="26"/>
      <c r="N32" s="26"/>
    </row>
    <row r="33" spans="8:14">
      <c r="H33" s="26"/>
      <c r="I33" s="26"/>
      <c r="J33" s="26"/>
      <c r="K33" s="26"/>
      <c r="L33" s="26"/>
      <c r="M33" s="26"/>
      <c r="N33" s="26"/>
    </row>
    <row r="34" spans="8:14">
      <c r="H34" s="26"/>
      <c r="I34" s="26"/>
      <c r="J34" s="26"/>
      <c r="K34" s="26"/>
      <c r="L34" s="26"/>
      <c r="M34" s="26"/>
      <c r="N34" s="26"/>
    </row>
    <row r="35" spans="8:14">
      <c r="H35" s="26"/>
      <c r="I35" s="26"/>
      <c r="J35" s="26"/>
      <c r="K35" s="26"/>
      <c r="L35" s="26"/>
      <c r="M35" s="26"/>
      <c r="N35" s="26"/>
    </row>
    <row r="36" spans="8:14">
      <c r="H36" s="26"/>
      <c r="I36" s="26"/>
      <c r="J36" s="26"/>
      <c r="K36" s="26"/>
      <c r="L36" s="26"/>
      <c r="M36" s="26"/>
      <c r="N36" s="26"/>
    </row>
    <row r="37" spans="8:14">
      <c r="H37" s="26"/>
      <c r="I37" s="26"/>
      <c r="J37" s="26"/>
      <c r="K37" s="26"/>
      <c r="L37" s="26"/>
      <c r="M37" s="26"/>
      <c r="N37" s="26"/>
    </row>
    <row r="38" spans="8:14">
      <c r="H38" s="26"/>
      <c r="I38" s="26"/>
      <c r="J38" s="26"/>
      <c r="K38" s="26"/>
      <c r="L38" s="26"/>
      <c r="M38" s="26"/>
      <c r="N38" s="26"/>
    </row>
    <row r="39" spans="8:14">
      <c r="H39" s="26"/>
      <c r="I39" s="26"/>
      <c r="J39" s="26"/>
      <c r="K39" s="26"/>
      <c r="L39" s="26"/>
      <c r="M39" s="26"/>
      <c r="N39" s="26"/>
    </row>
    <row r="40" spans="8:14">
      <c r="H40" s="26"/>
      <c r="I40" s="26"/>
      <c r="J40" s="26"/>
      <c r="K40" s="26"/>
      <c r="L40" s="26"/>
      <c r="M40" s="26"/>
      <c r="N40" s="26"/>
    </row>
    <row r="41" spans="8:14">
      <c r="H41" s="26"/>
      <c r="I41" s="26"/>
      <c r="J41" s="26"/>
      <c r="K41" s="26"/>
      <c r="L41" s="26"/>
      <c r="M41" s="26"/>
      <c r="N41" s="26"/>
    </row>
    <row r="42" spans="8:14">
      <c r="H42" s="26"/>
      <c r="I42" s="26"/>
      <c r="J42" s="26"/>
      <c r="K42" s="26"/>
      <c r="L42" s="26"/>
      <c r="M42" s="26"/>
      <c r="N42" s="26"/>
    </row>
    <row r="43" spans="8:14">
      <c r="H43" s="26"/>
      <c r="I43" s="26"/>
      <c r="J43" s="26"/>
      <c r="K43" s="26"/>
      <c r="L43" s="26"/>
      <c r="M43" s="26"/>
      <c r="N43" s="26"/>
    </row>
    <row r="44" spans="8:14">
      <c r="H44" s="26"/>
      <c r="I44" s="26"/>
      <c r="J44" s="26"/>
      <c r="K44" s="26"/>
      <c r="L44" s="26"/>
      <c r="M44" s="26"/>
      <c r="N44" s="26"/>
    </row>
    <row r="45" spans="8:14">
      <c r="H45" s="26"/>
      <c r="I45" s="26"/>
      <c r="J45" s="26"/>
      <c r="K45" s="26"/>
      <c r="L45" s="26"/>
      <c r="M45" s="26"/>
      <c r="N45" s="26"/>
    </row>
    <row r="46" spans="8:14">
      <c r="H46" s="26"/>
      <c r="I46" s="26"/>
      <c r="J46" s="26"/>
      <c r="K46" s="26"/>
      <c r="L46" s="26"/>
      <c r="M46" s="26"/>
      <c r="N46" s="26"/>
    </row>
    <row r="47" spans="8:14">
      <c r="H47" s="26"/>
      <c r="I47" s="26"/>
      <c r="J47" s="26"/>
      <c r="K47" s="26"/>
      <c r="L47" s="26"/>
      <c r="M47" s="26"/>
      <c r="N47" s="26"/>
    </row>
    <row r="48" spans="8:14">
      <c r="H48" s="26"/>
      <c r="I48" s="26"/>
      <c r="J48" s="26"/>
      <c r="K48" s="26"/>
      <c r="L48" s="26"/>
      <c r="M48" s="26"/>
      <c r="N48" s="26"/>
    </row>
    <row r="49" spans="8:14">
      <c r="H49" s="26"/>
      <c r="I49" s="26"/>
      <c r="J49" s="26"/>
      <c r="K49" s="26"/>
      <c r="L49" s="26"/>
      <c r="M49" s="26"/>
      <c r="N49" s="26"/>
    </row>
    <row r="50" spans="8:14">
      <c r="H50" s="26"/>
      <c r="I50" s="26"/>
      <c r="J50" s="26"/>
      <c r="K50" s="26"/>
      <c r="L50" s="26"/>
      <c r="M50" s="26"/>
      <c r="N50" s="26"/>
    </row>
    <row r="51" spans="8:14">
      <c r="H51" s="26"/>
      <c r="I51" s="26"/>
      <c r="J51" s="26"/>
      <c r="K51" s="26"/>
      <c r="L51" s="26"/>
      <c r="M51" s="26"/>
      <c r="N51" s="26"/>
    </row>
    <row r="52" spans="8:14">
      <c r="H52" s="26"/>
      <c r="I52" s="26"/>
      <c r="J52" s="26"/>
      <c r="K52" s="26"/>
      <c r="L52" s="26"/>
      <c r="M52" s="26"/>
      <c r="N52" s="26"/>
    </row>
  </sheetData>
  <phoneticPr fontId="1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T58"/>
  <sheetViews>
    <sheetView zoomScaleNormal="100" zoomScaleSheetLayoutView="75" workbookViewId="0"/>
  </sheetViews>
  <sheetFormatPr defaultRowHeight="19.5" customHeight="1"/>
  <cols>
    <col min="1" max="1" width="4.25" style="68" bestFit="1" customWidth="1"/>
    <col min="2" max="2" width="9" style="68"/>
    <col min="3" max="5" width="10.375" style="68" customWidth="1"/>
    <col min="6" max="6" width="9.5" style="68" customWidth="1"/>
    <col min="7" max="11" width="10.375" style="68" customWidth="1"/>
    <col min="12" max="12" width="2.875" style="68" customWidth="1"/>
    <col min="13" max="13" width="8.125" style="68" customWidth="1"/>
    <col min="14" max="14" width="2.375" style="68" customWidth="1"/>
    <col min="15" max="15" width="8.125" style="68" customWidth="1"/>
    <col min="16" max="16" width="6.75" style="68" customWidth="1"/>
    <col min="17" max="17" width="8.125" style="68" customWidth="1"/>
    <col min="18" max="18" width="6.375" style="68" customWidth="1"/>
    <col min="19" max="19" width="11.125" style="68" customWidth="1"/>
    <col min="20" max="22" width="8.125" style="68" customWidth="1"/>
    <col min="23" max="16384" width="9" style="68"/>
  </cols>
  <sheetData>
    <row r="1" spans="1:18" s="59" customFormat="1" ht="19.5" customHeight="1">
      <c r="A1" s="152" t="s">
        <v>170</v>
      </c>
      <c r="B1" s="158"/>
      <c r="C1" s="159"/>
      <c r="D1" s="159"/>
      <c r="E1" s="159"/>
      <c r="F1" s="159"/>
      <c r="G1" s="61" t="s">
        <v>29</v>
      </c>
      <c r="H1" s="159"/>
      <c r="I1" s="159"/>
      <c r="J1" s="159"/>
      <c r="K1" s="159"/>
      <c r="L1" s="58"/>
      <c r="M1" s="67" t="s">
        <v>171</v>
      </c>
      <c r="N1" s="67"/>
      <c r="O1" s="67"/>
      <c r="P1" s="67"/>
      <c r="Q1" s="67"/>
      <c r="R1" s="67"/>
    </row>
    <row r="2" spans="1:18" s="59" customFormat="1" ht="19.5" customHeight="1">
      <c r="A2" s="61"/>
      <c r="B2" s="61"/>
      <c r="C2" s="156" t="s">
        <v>25</v>
      </c>
      <c r="D2" s="61" t="s">
        <v>26</v>
      </c>
      <c r="E2" s="61"/>
      <c r="F2" s="61"/>
      <c r="G2" s="61"/>
      <c r="H2" s="61" t="s">
        <v>37</v>
      </c>
      <c r="I2" s="61" t="s">
        <v>30</v>
      </c>
      <c r="J2" s="61"/>
      <c r="K2" s="61" t="s">
        <v>32</v>
      </c>
      <c r="M2" s="61" t="s">
        <v>118</v>
      </c>
      <c r="O2" s="61" t="s">
        <v>133</v>
      </c>
    </row>
    <row r="3" spans="1:18" s="59" customFormat="1" ht="19.5" customHeight="1">
      <c r="A3" s="61"/>
      <c r="B3" s="61"/>
      <c r="C3" s="156"/>
      <c r="D3" s="156"/>
      <c r="E3" s="156" t="s">
        <v>27</v>
      </c>
      <c r="F3" s="156" t="s">
        <v>28</v>
      </c>
      <c r="G3" s="156"/>
      <c r="H3" s="156"/>
      <c r="I3" s="156" t="s">
        <v>0</v>
      </c>
      <c r="J3" s="156" t="s">
        <v>28</v>
      </c>
      <c r="K3" s="157" t="s">
        <v>31</v>
      </c>
      <c r="M3" s="59" t="s">
        <v>135</v>
      </c>
      <c r="O3" s="59" t="s">
        <v>134</v>
      </c>
      <c r="P3" s="59" t="s">
        <v>114</v>
      </c>
      <c r="Q3" s="59" t="s">
        <v>135</v>
      </c>
      <c r="R3" s="59" t="s">
        <v>136</v>
      </c>
    </row>
    <row r="4" spans="1:18" s="62" customFormat="1" ht="19.5" customHeight="1">
      <c r="C4" s="63" t="s">
        <v>12</v>
      </c>
      <c r="D4" s="63" t="s">
        <v>12</v>
      </c>
      <c r="E4" s="63" t="s">
        <v>12</v>
      </c>
      <c r="F4" s="63" t="s">
        <v>12</v>
      </c>
      <c r="G4" s="63" t="s">
        <v>12</v>
      </c>
      <c r="H4" s="63"/>
      <c r="I4" s="63" t="s">
        <v>12</v>
      </c>
      <c r="J4" s="63" t="s">
        <v>12</v>
      </c>
      <c r="K4" s="63" t="s">
        <v>12</v>
      </c>
      <c r="L4" s="63"/>
      <c r="O4" s="62" t="s">
        <v>12</v>
      </c>
    </row>
    <row r="5" spans="1:18" s="66" customFormat="1" ht="19.5" customHeight="1">
      <c r="A5" s="64">
        <v>30</v>
      </c>
      <c r="B5" s="65" t="s">
        <v>14</v>
      </c>
      <c r="C5" s="58">
        <v>364292.81280378974</v>
      </c>
      <c r="D5" s="58">
        <v>109140.51338751787</v>
      </c>
      <c r="E5" s="58">
        <v>105195.91883552499</v>
      </c>
      <c r="F5" s="58">
        <v>3944.5945519928787</v>
      </c>
      <c r="G5" s="58">
        <v>503422.91028560302</v>
      </c>
      <c r="H5" s="58">
        <v>502535.77962218528</v>
      </c>
      <c r="I5" s="58">
        <v>239906.52330863403</v>
      </c>
      <c r="J5" s="58">
        <v>52237.418642501274</v>
      </c>
      <c r="K5" s="58">
        <v>210391.83767104999</v>
      </c>
      <c r="L5" s="58"/>
      <c r="M5" s="67">
        <v>14080.2556</v>
      </c>
      <c r="N5" s="67"/>
      <c r="O5" s="67">
        <v>3849.2323144749857</v>
      </c>
      <c r="P5" s="67">
        <v>64.633809999999997</v>
      </c>
      <c r="Q5" s="67">
        <v>17.542487517893377</v>
      </c>
      <c r="R5" s="67">
        <v>13.18594</v>
      </c>
    </row>
    <row r="6" spans="1:18" s="66" customFormat="1" ht="19.5" customHeight="1">
      <c r="A6" s="64">
        <v>31</v>
      </c>
      <c r="B6" s="65" t="s">
        <v>15</v>
      </c>
      <c r="C6" s="58">
        <f>C35*($C$5/$C$34)*(経済前提!V58/経済前提!V17)*(1+人口等補正!B12)</f>
        <v>370545.66747927613</v>
      </c>
      <c r="D6" s="58">
        <f t="shared" ref="D6:D27" si="0">E6+F6</f>
        <v>110071.71782526311</v>
      </c>
      <c r="E6" s="58">
        <f t="shared" ref="E6:E27" si="1">K6/2</f>
        <v>106403.16037113871</v>
      </c>
      <c r="F6" s="58">
        <f t="shared" ref="F6:F27" si="2">SUM(O6:R6)</f>
        <v>3668.5574541244014</v>
      </c>
      <c r="G6" s="58">
        <f t="shared" ref="G6:G27" si="3">I6+J6+K6+G35-H35</f>
        <v>505024.93512830499</v>
      </c>
      <c r="H6" s="58">
        <f t="shared" ref="H6:H27" si="4">I6+J6+K6</f>
        <v>504142.76974141534</v>
      </c>
      <c r="I6" s="58">
        <f>I35*($I$5/$I$34)*厚年比例の計算!W17</f>
        <v>241262.23787378834</v>
      </c>
      <c r="J6" s="58">
        <f>J35*($I$5/$I$34)*厚年定額の計算!S17</f>
        <v>50074.211125349575</v>
      </c>
      <c r="K6" s="58">
        <f>K35*($K$5/$K$34)*基礎年金拠出金の計算!V17</f>
        <v>212806.32074227743</v>
      </c>
      <c r="L6" s="58"/>
      <c r="M6" s="67">
        <f>M35*(M$5/M$34)*基礎年金拠出金の計算!$V17</f>
        <v>14239.960987047798</v>
      </c>
      <c r="N6" s="67"/>
      <c r="O6" s="67">
        <f t="shared" ref="O6:R27" si="5">O35*(O$5/O$34)*SUM($I6:$J6)/SUM($I35*($I$5/$I$34),$J35*($I$5/$I$34))</f>
        <v>3579.9163327292408</v>
      </c>
      <c r="P6" s="67">
        <f t="shared" si="5"/>
        <v>60.817405984533082</v>
      </c>
      <c r="Q6" s="67">
        <f t="shared" si="5"/>
        <v>15.710916725319693</v>
      </c>
      <c r="R6" s="67">
        <f t="shared" si="5"/>
        <v>12.112798685307668</v>
      </c>
    </row>
    <row r="7" spans="1:18" s="66" customFormat="1" ht="19.5" customHeight="1">
      <c r="A7" s="64">
        <v>32</v>
      </c>
      <c r="B7" s="65" t="s">
        <v>16</v>
      </c>
      <c r="C7" s="58">
        <f>C36*($C$5/$C$34)*(経済前提!V59/経済前提!V18)*(1+人口等補正!B13)</f>
        <v>378554.72771108721</v>
      </c>
      <c r="D7" s="58">
        <f t="shared" si="0"/>
        <v>111739.25010546755</v>
      </c>
      <c r="E7" s="58">
        <f t="shared" si="1"/>
        <v>108320.02208483878</v>
      </c>
      <c r="F7" s="58">
        <f t="shared" si="2"/>
        <v>3419.2280206287669</v>
      </c>
      <c r="G7" s="58">
        <f t="shared" si="3"/>
        <v>510219.274670852</v>
      </c>
      <c r="H7" s="58">
        <f t="shared" si="4"/>
        <v>509341.93325396569</v>
      </c>
      <c r="I7" s="58">
        <f>I36*($I$5/$I$34)*厚年比例の計算!W18</f>
        <v>243373.03866270022</v>
      </c>
      <c r="J7" s="58">
        <f>J36*($I$5/$I$34)*厚年定額の計算!S18</f>
        <v>49328.8504215879</v>
      </c>
      <c r="K7" s="58">
        <f>K36*($K$5/$K$34)*基礎年金拠出金の計算!V18</f>
        <v>216640.04416967757</v>
      </c>
      <c r="L7" s="58"/>
      <c r="M7" s="67">
        <f>M36*(M$5/M$34)*基礎年金拠出金の計算!$V18</f>
        <v>14499.275048326033</v>
      </c>
      <c r="N7" s="67"/>
      <c r="O7" s="67">
        <f t="shared" si="5"/>
        <v>3336.5741847598733</v>
      </c>
      <c r="P7" s="67">
        <f t="shared" si="5"/>
        <v>57.343424550290301</v>
      </c>
      <c r="Q7" s="67">
        <f t="shared" si="5"/>
        <v>14.171001417518523</v>
      </c>
      <c r="R7" s="67">
        <f t="shared" si="5"/>
        <v>11.139409901084528</v>
      </c>
    </row>
    <row r="8" spans="1:18" s="66" customFormat="1" ht="19.5" customHeight="1">
      <c r="A8" s="64">
        <v>33</v>
      </c>
      <c r="B8" s="65" t="s">
        <v>17</v>
      </c>
      <c r="C8" s="58">
        <f>C37*($C$5/$C$34)*(経済前提!V60/経済前提!V19)*(1+人口等補正!B14)</f>
        <v>385734.60171468311</v>
      </c>
      <c r="D8" s="58">
        <f t="shared" si="0"/>
        <v>113248.83826770091</v>
      </c>
      <c r="E8" s="58">
        <f t="shared" si="1"/>
        <v>110074.1802356144</v>
      </c>
      <c r="F8" s="58">
        <f t="shared" si="2"/>
        <v>3174.658032086506</v>
      </c>
      <c r="G8" s="58">
        <f t="shared" si="3"/>
        <v>517761.70603888633</v>
      </c>
      <c r="H8" s="58">
        <f t="shared" si="4"/>
        <v>516889.26202850172</v>
      </c>
      <c r="I8" s="58">
        <f>I37*($I$5/$I$34)*厚年比例の計算!W19</f>
        <v>248188.09233273703</v>
      </c>
      <c r="J8" s="58">
        <f>J37*($I$5/$I$34)*厚年定額の計算!S19</f>
        <v>48552.8092245359</v>
      </c>
      <c r="K8" s="58">
        <f>K37*($K$5/$K$34)*基礎年金拠出金の計算!V19</f>
        <v>220148.36047122881</v>
      </c>
      <c r="L8" s="58"/>
      <c r="M8" s="67">
        <f>M37*(M$5/M$34)*基礎年金拠出金の計算!$V19</f>
        <v>14745.814850112763</v>
      </c>
      <c r="N8" s="67"/>
      <c r="O8" s="67">
        <f t="shared" si="5"/>
        <v>3097.8487792439209</v>
      </c>
      <c r="P8" s="67">
        <f t="shared" si="5"/>
        <v>53.84879410416</v>
      </c>
      <c r="Q8" s="67">
        <f t="shared" si="5"/>
        <v>12.76662203176534</v>
      </c>
      <c r="R8" s="67">
        <f t="shared" si="5"/>
        <v>10.193836706659479</v>
      </c>
    </row>
    <row r="9" spans="1:18" s="66" customFormat="1" ht="19.5" customHeight="1">
      <c r="A9" s="64">
        <v>34</v>
      </c>
      <c r="B9" s="65" t="s">
        <v>18</v>
      </c>
      <c r="C9" s="58">
        <f>C38*($C$5/$C$34)*(経済前提!V61/経済前提!V20)*(1+人口等補正!B15)</f>
        <v>392472.68174644216</v>
      </c>
      <c r="D9" s="58">
        <f t="shared" si="0"/>
        <v>114192.85299969347</v>
      </c>
      <c r="E9" s="58">
        <f t="shared" si="1"/>
        <v>111268.34500868055</v>
      </c>
      <c r="F9" s="58">
        <f t="shared" si="2"/>
        <v>2924.507991012913</v>
      </c>
      <c r="G9" s="58">
        <f t="shared" si="3"/>
        <v>521099.88575618679</v>
      </c>
      <c r="H9" s="58">
        <f t="shared" si="4"/>
        <v>520232.42500970105</v>
      </c>
      <c r="I9" s="58">
        <f>I38*($I$5/$I$34)*厚年比例の計算!W20</f>
        <v>250160.65050270251</v>
      </c>
      <c r="J9" s="58">
        <f>J38*($I$5/$I$34)*厚年定額の計算!S20</f>
        <v>47535.084489637411</v>
      </c>
      <c r="K9" s="58">
        <f>K38*($K$5/$K$34)*基礎年金拠出金の計算!V20</f>
        <v>222536.69001736111</v>
      </c>
      <c r="L9" s="58"/>
      <c r="M9" s="67">
        <f>M38*(M$5/M$34)*基礎年金拠出金の計算!$V20</f>
        <v>14932.350970005398</v>
      </c>
      <c r="N9" s="67"/>
      <c r="O9" s="67">
        <f t="shared" si="5"/>
        <v>2853.6796885702356</v>
      </c>
      <c r="P9" s="67">
        <f t="shared" si="5"/>
        <v>50.161032359483258</v>
      </c>
      <c r="Q9" s="67">
        <f t="shared" si="5"/>
        <v>11.421242450859481</v>
      </c>
      <c r="R9" s="67">
        <f t="shared" si="5"/>
        <v>9.2460276323346609</v>
      </c>
    </row>
    <row r="10" spans="1:18" s="66" customFormat="1" ht="19.5" customHeight="1">
      <c r="A10" s="64">
        <v>35</v>
      </c>
      <c r="B10" s="65" t="s">
        <v>19</v>
      </c>
      <c r="C10" s="58">
        <f>C39*($C$5/$C$34)*(経済前提!V62/経済前提!V21)*(1+人口等補正!B16)</f>
        <v>399246.2674537687</v>
      </c>
      <c r="D10" s="58">
        <f t="shared" si="0"/>
        <v>114882.25486861124</v>
      </c>
      <c r="E10" s="58">
        <f t="shared" si="1"/>
        <v>112207.11808511218</v>
      </c>
      <c r="F10" s="58">
        <f t="shared" si="2"/>
        <v>2675.1367834990697</v>
      </c>
      <c r="G10" s="58">
        <f t="shared" si="3"/>
        <v>522306.7925059236</v>
      </c>
      <c r="H10" s="58">
        <f t="shared" si="4"/>
        <v>521444.52092681418</v>
      </c>
      <c r="I10" s="58">
        <f>I39*($I$5/$I$34)*厚年比例の計算!W21</f>
        <v>250607.57804151537</v>
      </c>
      <c r="J10" s="58">
        <f>J39*($I$5/$I$34)*厚年定額の計算!S21</f>
        <v>46422.706715074404</v>
      </c>
      <c r="K10" s="58">
        <f>K39*($K$5/$K$34)*基礎年金拠出金の計算!V21</f>
        <v>224414.23617022435</v>
      </c>
      <c r="L10" s="58"/>
      <c r="M10" s="67">
        <f>M39*(M$5/M$34)*基礎年金拠出金の計算!$V21</f>
        <v>15100.11591804704</v>
      </c>
      <c r="N10" s="67"/>
      <c r="O10" s="67">
        <f t="shared" si="5"/>
        <v>2610.2192731544978</v>
      </c>
      <c r="P10" s="67">
        <f t="shared" si="5"/>
        <v>46.381313578394654</v>
      </c>
      <c r="Q10" s="67">
        <f t="shared" si="5"/>
        <v>10.218814255003313</v>
      </c>
      <c r="R10" s="67">
        <f t="shared" si="5"/>
        <v>8.317382511173296</v>
      </c>
    </row>
    <row r="11" spans="1:18" s="66" customFormat="1" ht="19.5" customHeight="1">
      <c r="A11" s="64">
        <v>36</v>
      </c>
      <c r="B11" s="65" t="s">
        <v>20</v>
      </c>
      <c r="C11" s="58">
        <f>C40*($C$5/$C$34)*(経済前提!V63/経済前提!V22)*(1+人口等補正!B17)</f>
        <v>405540.73472353787</v>
      </c>
      <c r="D11" s="58">
        <f t="shared" si="0"/>
        <v>115627.26093845349</v>
      </c>
      <c r="E11" s="58">
        <f t="shared" si="1"/>
        <v>113194.31545460642</v>
      </c>
      <c r="F11" s="58">
        <f t="shared" si="2"/>
        <v>2432.945483847072</v>
      </c>
      <c r="G11" s="58">
        <f t="shared" si="3"/>
        <v>526122.53413747903</v>
      </c>
      <c r="H11" s="58">
        <f t="shared" si="4"/>
        <v>525265.8523933118</v>
      </c>
      <c r="I11" s="58">
        <f>I40*($I$5/$I$34)*厚年比例の計算!W22</f>
        <v>253482.47222962146</v>
      </c>
      <c r="J11" s="58">
        <f>J40*($I$5/$I$34)*厚年定額の計算!S22</f>
        <v>45394.749254477494</v>
      </c>
      <c r="K11" s="58">
        <f>K40*($K$5/$K$34)*基礎年金拠出金の計算!V22</f>
        <v>226388.63090921284</v>
      </c>
      <c r="L11" s="58"/>
      <c r="M11" s="67">
        <f>M40*(M$5/M$34)*基礎年金拠出金の計算!$V22</f>
        <v>15284.523804497994</v>
      </c>
      <c r="N11" s="67"/>
      <c r="O11" s="67">
        <f t="shared" si="5"/>
        <v>2373.8041205304794</v>
      </c>
      <c r="P11" s="67">
        <f t="shared" si="5"/>
        <v>42.614959731050348</v>
      </c>
      <c r="Q11" s="67">
        <f t="shared" si="5"/>
        <v>9.0988888534868586</v>
      </c>
      <c r="R11" s="67">
        <f t="shared" si="5"/>
        <v>7.4275147320552621</v>
      </c>
    </row>
    <row r="12" spans="1:18" s="66" customFormat="1" ht="19.5" customHeight="1">
      <c r="A12" s="64">
        <v>37</v>
      </c>
      <c r="B12" s="65" t="s">
        <v>21</v>
      </c>
      <c r="C12" s="58">
        <f>C41*($C$5/$C$34)*(経済前提!V64/経済前提!V23)*(1+人口等補正!B18)</f>
        <v>411744.35591604962</v>
      </c>
      <c r="D12" s="58">
        <f t="shared" si="0"/>
        <v>116273.08164649227</v>
      </c>
      <c r="E12" s="58">
        <f t="shared" si="1"/>
        <v>114072.67902688996</v>
      </c>
      <c r="F12" s="58">
        <f t="shared" si="2"/>
        <v>2200.4026196023087</v>
      </c>
      <c r="G12" s="58">
        <f t="shared" si="3"/>
        <v>527298.99847294239</v>
      </c>
      <c r="H12" s="58">
        <f t="shared" si="4"/>
        <v>526448.3107296119</v>
      </c>
      <c r="I12" s="58">
        <f>I41*($I$5/$I$34)*厚年比例の計算!W23</f>
        <v>253982.30199474478</v>
      </c>
      <c r="J12" s="58">
        <f>J41*($I$5/$I$34)*厚年定額の計算!S23</f>
        <v>44320.650681087194</v>
      </c>
      <c r="K12" s="58">
        <f>K41*($K$5/$K$34)*基礎年金拠出金の計算!V23</f>
        <v>228145.35805377993</v>
      </c>
      <c r="L12" s="58"/>
      <c r="M12" s="67">
        <f>M41*(M$5/M$34)*基礎年金拠出金の計算!$V23</f>
        <v>15466.695983946205</v>
      </c>
      <c r="N12" s="67"/>
      <c r="O12" s="67">
        <f t="shared" si="5"/>
        <v>2146.8192727667865</v>
      </c>
      <c r="P12" s="67">
        <f t="shared" si="5"/>
        <v>38.909888805479071</v>
      </c>
      <c r="Q12" s="67">
        <f t="shared" si="5"/>
        <v>8.0878895574472054</v>
      </c>
      <c r="R12" s="67">
        <f t="shared" si="5"/>
        <v>6.5855684725957273</v>
      </c>
    </row>
    <row r="13" spans="1:18" s="66" customFormat="1" ht="19.5" customHeight="1">
      <c r="A13" s="64">
        <v>38</v>
      </c>
      <c r="B13" s="65" t="s">
        <v>22</v>
      </c>
      <c r="C13" s="58">
        <f>C42*($C$5/$C$34)*(経済前提!V65/経済前提!V24)*(1+人口等補正!B19)</f>
        <v>418104.7779960116</v>
      </c>
      <c r="D13" s="58">
        <f t="shared" si="0"/>
        <v>116820.37644680688</v>
      </c>
      <c r="E13" s="58">
        <f t="shared" si="1"/>
        <v>114842.11562048501</v>
      </c>
      <c r="F13" s="58">
        <f t="shared" si="2"/>
        <v>1978.2608263218685</v>
      </c>
      <c r="G13" s="58">
        <f t="shared" si="3"/>
        <v>527229.60795886081</v>
      </c>
      <c r="H13" s="58">
        <f t="shared" si="4"/>
        <v>526385.16015310981</v>
      </c>
      <c r="I13" s="58">
        <f>I42*($I$5/$I$34)*厚年比例の計算!W24</f>
        <v>253497.45124467791</v>
      </c>
      <c r="J13" s="58">
        <f>J42*($I$5/$I$34)*厚年定額の計算!S24</f>
        <v>43203.477667461928</v>
      </c>
      <c r="K13" s="58">
        <f>K42*($K$5/$K$34)*基礎年金拠出金の計算!V24</f>
        <v>229684.23124097002</v>
      </c>
      <c r="L13" s="58"/>
      <c r="M13" s="67">
        <f>M42*(M$5/M$34)*基礎年金拠出金の計算!$V24</f>
        <v>15648.214748918957</v>
      </c>
      <c r="N13" s="67"/>
      <c r="O13" s="67">
        <f t="shared" si="5"/>
        <v>1930.0022427066915</v>
      </c>
      <c r="P13" s="67">
        <f t="shared" si="5"/>
        <v>35.283853325693912</v>
      </c>
      <c r="Q13" s="67">
        <f t="shared" si="5"/>
        <v>7.1809050263784506</v>
      </c>
      <c r="R13" s="67">
        <f t="shared" si="5"/>
        <v>5.7938252631048011</v>
      </c>
    </row>
    <row r="14" spans="1:18" s="66" customFormat="1" ht="19.5" customHeight="1">
      <c r="A14" s="64">
        <v>39</v>
      </c>
      <c r="B14" s="65" t="s">
        <v>23</v>
      </c>
      <c r="C14" s="58">
        <f>C43*($C$5/$C$34)*(経済前提!V66/経済前提!V25)*(1+人口等補正!B20)</f>
        <v>424032.00838000263</v>
      </c>
      <c r="D14" s="58">
        <f t="shared" si="0"/>
        <v>117275.70542228653</v>
      </c>
      <c r="E14" s="58">
        <f t="shared" si="1"/>
        <v>115501.75858865693</v>
      </c>
      <c r="F14" s="58">
        <f t="shared" si="2"/>
        <v>1773.9468336296036</v>
      </c>
      <c r="G14" s="58">
        <f t="shared" si="3"/>
        <v>531452.18134162913</v>
      </c>
      <c r="H14" s="58">
        <f t="shared" si="4"/>
        <v>530614.40022574319</v>
      </c>
      <c r="I14" s="58">
        <f>I43*($I$5/$I$34)*厚年比例の計算!W25</f>
        <v>257422.75304324907</v>
      </c>
      <c r="J14" s="58">
        <f>J43*($I$5/$I$34)*厚年定額の計算!S25</f>
        <v>42188.130005180174</v>
      </c>
      <c r="K14" s="58">
        <f>K43*($K$5/$K$34)*基礎年金拠出金の計算!V25</f>
        <v>231003.51717731386</v>
      </c>
      <c r="L14" s="58"/>
      <c r="M14" s="67">
        <f>M43*(M$5/M$34)*基礎年金拠出金の計算!$V25</f>
        <v>15813.939636430972</v>
      </c>
      <c r="N14" s="67"/>
      <c r="O14" s="67">
        <f t="shared" si="5"/>
        <v>1730.6008912508146</v>
      </c>
      <c r="P14" s="67">
        <f t="shared" si="5"/>
        <v>31.881165796672452</v>
      </c>
      <c r="Q14" s="67">
        <f t="shared" si="5"/>
        <v>6.3904350740580815</v>
      </c>
      <c r="R14" s="67">
        <f t="shared" si="5"/>
        <v>5.0743415080584215</v>
      </c>
    </row>
    <row r="15" spans="1:18" s="66" customFormat="1" ht="19.5" customHeight="1">
      <c r="A15" s="64">
        <v>40</v>
      </c>
      <c r="B15" s="65" t="s">
        <v>24</v>
      </c>
      <c r="C15" s="58">
        <f>C44*($C$5/$C$34)*(経済前提!V67/経済前提!V26)*(1+人口等補正!B21)</f>
        <v>429367.56135076017</v>
      </c>
      <c r="D15" s="58">
        <f t="shared" si="0"/>
        <v>117697.22386576736</v>
      </c>
      <c r="E15" s="58">
        <f t="shared" si="1"/>
        <v>116115.09078800042</v>
      </c>
      <c r="F15" s="58">
        <f t="shared" si="2"/>
        <v>1582.1330777669364</v>
      </c>
      <c r="G15" s="58">
        <f t="shared" si="3"/>
        <v>535638.97144185589</v>
      </c>
      <c r="H15" s="58">
        <f t="shared" si="4"/>
        <v>534808.62584364822</v>
      </c>
      <c r="I15" s="58">
        <f>I44*($I$5/$I$34)*厚年比例の計算!W26</f>
        <v>261410.32129447549</v>
      </c>
      <c r="J15" s="58">
        <f>J44*($I$5/$I$34)*厚年定額の計算!S26</f>
        <v>41168.122973171929</v>
      </c>
      <c r="K15" s="58">
        <f>K44*($K$5/$K$34)*基礎年金拠出金の計算!V26</f>
        <v>232230.18157600085</v>
      </c>
      <c r="L15" s="58"/>
      <c r="M15" s="67">
        <f>M44*(M$5/M$34)*基礎年金拠出金の計算!$V26</f>
        <v>15996.160972018359</v>
      </c>
      <c r="N15" s="67"/>
      <c r="O15" s="67">
        <f t="shared" si="5"/>
        <v>1543.4110019893751</v>
      </c>
      <c r="P15" s="67">
        <f t="shared" si="5"/>
        <v>28.615810885765281</v>
      </c>
      <c r="Q15" s="67">
        <f t="shared" si="5"/>
        <v>5.6946704337935552</v>
      </c>
      <c r="R15" s="67">
        <f t="shared" si="5"/>
        <v>4.4115944580022912</v>
      </c>
    </row>
    <row r="16" spans="1:18" s="66" customFormat="1" ht="19.5" customHeight="1">
      <c r="A16" s="64">
        <v>41</v>
      </c>
      <c r="B16" s="65" t="s">
        <v>43</v>
      </c>
      <c r="C16" s="58">
        <f>C45*($C$5/$C$34)*(経済前提!V68/経済前提!V27)*(1+人口等補正!B22)</f>
        <v>436321.70823505271</v>
      </c>
      <c r="D16" s="58">
        <f t="shared" si="0"/>
        <v>118359.33156356731</v>
      </c>
      <c r="E16" s="58">
        <f t="shared" si="1"/>
        <v>116957.25275370911</v>
      </c>
      <c r="F16" s="58">
        <f t="shared" si="2"/>
        <v>1402.0788098581945</v>
      </c>
      <c r="G16" s="58">
        <f t="shared" si="3"/>
        <v>541841.80028679129</v>
      </c>
      <c r="H16" s="58">
        <f t="shared" si="4"/>
        <v>541019.35415271018</v>
      </c>
      <c r="I16" s="58">
        <f>I45*($I$5/$I$34)*厚年比例の計算!W27</f>
        <v>266850.95604812662</v>
      </c>
      <c r="J16" s="58">
        <f>J45*($I$5/$I$34)*厚年定額の計算!S27</f>
        <v>40253.892597165359</v>
      </c>
      <c r="K16" s="58">
        <f>K45*($K$5/$K$34)*基礎年金拠出金の計算!V27</f>
        <v>233914.50550741822</v>
      </c>
      <c r="L16" s="58"/>
      <c r="M16" s="67">
        <f>M45*(M$5/M$34)*基礎年金拠出金の計算!$V27</f>
        <v>16233.869163489948</v>
      </c>
      <c r="N16" s="67"/>
      <c r="O16" s="67">
        <f t="shared" si="5"/>
        <v>1367.7060633385072</v>
      </c>
      <c r="P16" s="67">
        <f t="shared" si="5"/>
        <v>25.486584943118519</v>
      </c>
      <c r="Q16" s="67">
        <f t="shared" si="5"/>
        <v>5.0822736003433029</v>
      </c>
      <c r="R16" s="67">
        <f t="shared" si="5"/>
        <v>3.8038879762255453</v>
      </c>
    </row>
    <row r="17" spans="1:20" s="66" customFormat="1" ht="19.5" customHeight="1">
      <c r="A17" s="64">
        <v>42</v>
      </c>
      <c r="B17" s="65" t="s">
        <v>44</v>
      </c>
      <c r="C17" s="58">
        <f>C46*($C$5/$C$34)*(経済前提!V69/経済前提!V28)*(1+人口等補正!B23)</f>
        <v>443211.89348796621</v>
      </c>
      <c r="D17" s="58">
        <f t="shared" si="0"/>
        <v>119157.193286483</v>
      </c>
      <c r="E17" s="58">
        <f t="shared" si="1"/>
        <v>117922.81832441577</v>
      </c>
      <c r="F17" s="58">
        <f t="shared" si="2"/>
        <v>1234.3749620672243</v>
      </c>
      <c r="G17" s="58">
        <f t="shared" si="3"/>
        <v>547912.21992537612</v>
      </c>
      <c r="H17" s="58">
        <f t="shared" si="4"/>
        <v>547097.88994497282</v>
      </c>
      <c r="I17" s="58">
        <f>I46*($I$5/$I$34)*厚年比例の計算!W28</f>
        <v>271859.92223994137</v>
      </c>
      <c r="J17" s="58">
        <f>J46*($I$5/$I$34)*厚年定額の計算!S28</f>
        <v>39392.331056199902</v>
      </c>
      <c r="K17" s="58">
        <f>K46*($K$5/$K$34)*基礎年金拠出金の計算!V28</f>
        <v>235845.63664883154</v>
      </c>
      <c r="L17" s="58"/>
      <c r="M17" s="67">
        <f>M46*(M$5/M$34)*基礎年金拠出金の計算!$V28</f>
        <v>16488.511797015493</v>
      </c>
      <c r="N17" s="67"/>
      <c r="O17" s="67">
        <f t="shared" si="5"/>
        <v>1204.0623350830506</v>
      </c>
      <c r="P17" s="67">
        <f t="shared" si="5"/>
        <v>22.520341958799126</v>
      </c>
      <c r="Q17" s="67">
        <f t="shared" si="5"/>
        <v>4.5418383452134474</v>
      </c>
      <c r="R17" s="67">
        <f t="shared" si="5"/>
        <v>3.2504466801611396</v>
      </c>
    </row>
    <row r="18" spans="1:20" s="66" customFormat="1" ht="19.5" customHeight="1">
      <c r="A18" s="64">
        <v>43</v>
      </c>
      <c r="B18" s="65" t="s">
        <v>45</v>
      </c>
      <c r="C18" s="58">
        <f>C47*($C$5/$C$34)*(経済前提!V70/経済前提!V29)*(1+人口等補正!B24)</f>
        <v>449790.09126508288</v>
      </c>
      <c r="D18" s="58">
        <f t="shared" si="0"/>
        <v>119758.58060428461</v>
      </c>
      <c r="E18" s="58">
        <f t="shared" si="1"/>
        <v>118679.07487978956</v>
      </c>
      <c r="F18" s="58">
        <f t="shared" si="2"/>
        <v>1079.5057244950442</v>
      </c>
      <c r="G18" s="58">
        <f t="shared" si="3"/>
        <v>552558.7660147032</v>
      </c>
      <c r="H18" s="58">
        <f t="shared" si="4"/>
        <v>551753.05315868009</v>
      </c>
      <c r="I18" s="58">
        <f>I47*($I$5/$I$34)*厚年比例の計算!W29</f>
        <v>275961.03455059335</v>
      </c>
      <c r="J18" s="58">
        <f>J47*($I$5/$I$34)*厚年定額の計算!S29</f>
        <v>38433.868848507605</v>
      </c>
      <c r="K18" s="58">
        <f>K47*($K$5/$K$34)*基礎年金拠出金の計算!V29</f>
        <v>237358.14975957913</v>
      </c>
      <c r="L18" s="58"/>
      <c r="M18" s="67">
        <f>M47*(M$5/M$34)*基礎年金拠出金の計算!$V29</f>
        <v>16716.314326481835</v>
      </c>
      <c r="N18" s="67"/>
      <c r="O18" s="67">
        <f t="shared" si="5"/>
        <v>1052.9314571606492</v>
      </c>
      <c r="P18" s="67">
        <f t="shared" si="5"/>
        <v>19.737579914035603</v>
      </c>
      <c r="Q18" s="67">
        <f t="shared" si="5"/>
        <v>4.0846100095517075</v>
      </c>
      <c r="R18" s="67">
        <f t="shared" si="5"/>
        <v>2.752077410807733</v>
      </c>
    </row>
    <row r="19" spans="1:20" s="66" customFormat="1" ht="19.5" customHeight="1">
      <c r="A19" s="64">
        <v>44</v>
      </c>
      <c r="B19" s="65" t="s">
        <v>46</v>
      </c>
      <c r="C19" s="58">
        <f>C48*($C$5/$C$34)*(経済前提!V71/経済前提!V30)*(1+人口等補正!B25)</f>
        <v>456133.27560060157</v>
      </c>
      <c r="D19" s="58">
        <f t="shared" si="0"/>
        <v>120490.9568707139</v>
      </c>
      <c r="E19" s="58">
        <f t="shared" si="1"/>
        <v>119553.57555274873</v>
      </c>
      <c r="F19" s="58">
        <f t="shared" si="2"/>
        <v>937.38131796516234</v>
      </c>
      <c r="G19" s="58">
        <f t="shared" si="3"/>
        <v>558914.24396284437</v>
      </c>
      <c r="H19" s="58">
        <f t="shared" si="4"/>
        <v>558117.75450338295</v>
      </c>
      <c r="I19" s="58">
        <f>I48*($I$5/$I$34)*厚年比例の計算!W30</f>
        <v>281475.3578183963</v>
      </c>
      <c r="J19" s="58">
        <f>J48*($I$5/$I$34)*厚年定額の計算!S30</f>
        <v>37535.245579489158</v>
      </c>
      <c r="K19" s="58">
        <f>K48*($K$5/$K$34)*基礎年金拠出金の計算!V30</f>
        <v>239107.15110549747</v>
      </c>
      <c r="L19" s="58"/>
      <c r="M19" s="67">
        <f>M48*(M$5/M$34)*基礎年金拠出金の計算!$V30</f>
        <v>16975.36302266912</v>
      </c>
      <c r="N19" s="67"/>
      <c r="O19" s="67">
        <f t="shared" si="5"/>
        <v>914.23401277952303</v>
      </c>
      <c r="P19" s="67">
        <f t="shared" si="5"/>
        <v>17.150011951534953</v>
      </c>
      <c r="Q19" s="67">
        <f t="shared" si="5"/>
        <v>3.6898905136211333</v>
      </c>
      <c r="R19" s="67">
        <f t="shared" si="5"/>
        <v>2.3074027204833141</v>
      </c>
    </row>
    <row r="20" spans="1:20" s="66" customFormat="1" ht="19.5" customHeight="1">
      <c r="A20" s="64">
        <v>45</v>
      </c>
      <c r="B20" s="65" t="s">
        <v>47</v>
      </c>
      <c r="C20" s="58">
        <f>C49*($C$5/$C$34)*(経済前提!V72/経済前提!V31)*(1+人口等補正!B26)</f>
        <v>462351.27676702006</v>
      </c>
      <c r="D20" s="58">
        <f t="shared" si="0"/>
        <v>121859.77986512362</v>
      </c>
      <c r="E20" s="58">
        <f t="shared" si="1"/>
        <v>121052.11724309497</v>
      </c>
      <c r="F20" s="58">
        <f t="shared" si="2"/>
        <v>807.66262202865175</v>
      </c>
      <c r="G20" s="58">
        <f t="shared" si="3"/>
        <v>567933.48386293964</v>
      </c>
      <c r="H20" s="58">
        <f t="shared" si="4"/>
        <v>567146.70639791607</v>
      </c>
      <c r="I20" s="58">
        <f>I49*($I$5/$I$34)*厚年比例の計算!W31</f>
        <v>288127.12667697028</v>
      </c>
      <c r="J20" s="58">
        <f>J49*($I$5/$I$34)*厚年定額の計算!S31</f>
        <v>36915.34523475587</v>
      </c>
      <c r="K20" s="58">
        <f>K49*($K$5/$K$34)*基礎年金拠出金の計算!V31</f>
        <v>242104.23448618993</v>
      </c>
      <c r="L20" s="58"/>
      <c r="M20" s="67">
        <f>M49*(M$5/M$34)*基礎年金拠出金の計算!$V31</f>
        <v>17345.358769629485</v>
      </c>
      <c r="N20" s="67"/>
      <c r="O20" s="67">
        <f t="shared" si="5"/>
        <v>787.65082938899229</v>
      </c>
      <c r="P20" s="67">
        <f t="shared" si="5"/>
        <v>14.763024061698157</v>
      </c>
      <c r="Q20" s="67">
        <f t="shared" si="5"/>
        <v>3.334823240225858</v>
      </c>
      <c r="R20" s="67">
        <f t="shared" si="5"/>
        <v>1.9139453377354492</v>
      </c>
    </row>
    <row r="21" spans="1:20" s="66" customFormat="1" ht="19.5" customHeight="1">
      <c r="A21" s="64">
        <v>46</v>
      </c>
      <c r="B21" s="65" t="s">
        <v>48</v>
      </c>
      <c r="C21" s="58">
        <f>C50*($C$5/$C$34)*(経済前提!V73/経済前提!V32)*(1+人口等補正!B27)</f>
        <v>468260.12797748443</v>
      </c>
      <c r="D21" s="58">
        <f t="shared" si="0"/>
        <v>123347.35233834741</v>
      </c>
      <c r="E21" s="58">
        <f t="shared" si="1"/>
        <v>122656.90936872628</v>
      </c>
      <c r="F21" s="58">
        <f t="shared" si="2"/>
        <v>690.4429696211256</v>
      </c>
      <c r="G21" s="58">
        <f t="shared" si="3"/>
        <v>577435.17106586322</v>
      </c>
      <c r="H21" s="58">
        <f t="shared" si="4"/>
        <v>576658.54263153649</v>
      </c>
      <c r="I21" s="58">
        <f>I50*($I$5/$I$34)*厚年比例の計算!W32</f>
        <v>295005.88945860241</v>
      </c>
      <c r="J21" s="58">
        <f>J50*($I$5/$I$34)*厚年定額の計算!S32</f>
        <v>36338.834435481564</v>
      </c>
      <c r="K21" s="58">
        <f>K50*($K$5/$K$34)*基礎年金拠出金の計算!V32</f>
        <v>245313.81873745256</v>
      </c>
      <c r="L21" s="58"/>
      <c r="M21" s="67">
        <f>M50*(M$5/M$34)*基礎年金拠出金の計算!$V32</f>
        <v>17739.620832173237</v>
      </c>
      <c r="N21" s="67"/>
      <c r="O21" s="67">
        <f t="shared" si="5"/>
        <v>673.26748653893105</v>
      </c>
      <c r="P21" s="67">
        <f t="shared" si="5"/>
        <v>12.589146581423817</v>
      </c>
      <c r="Q21" s="67">
        <f t="shared" si="5"/>
        <v>3.0160470884234201</v>
      </c>
      <c r="R21" s="67">
        <f t="shared" si="5"/>
        <v>1.5702894123472542</v>
      </c>
    </row>
    <row r="22" spans="1:20" s="66" customFormat="1" ht="19.5" customHeight="1">
      <c r="A22" s="64">
        <v>47</v>
      </c>
      <c r="B22" s="65" t="s">
        <v>49</v>
      </c>
      <c r="C22" s="58">
        <f>C51*($C$5/$C$34)*(経済前提!V74/経済前提!V33)*(1+人口等補正!B28)</f>
        <v>474135.4433770082</v>
      </c>
      <c r="D22" s="58">
        <f t="shared" si="0"/>
        <v>124924.89850134565</v>
      </c>
      <c r="E22" s="58">
        <f t="shared" si="1"/>
        <v>124339.47096137291</v>
      </c>
      <c r="F22" s="58">
        <f t="shared" si="2"/>
        <v>585.42753997275577</v>
      </c>
      <c r="G22" s="58">
        <f t="shared" si="3"/>
        <v>587335.66120633844</v>
      </c>
      <c r="H22" s="58">
        <f t="shared" si="4"/>
        <v>586569.48490882595</v>
      </c>
      <c r="I22" s="58">
        <f>I51*($I$5/$I$34)*厚年比例の計算!W33</f>
        <v>302105.9404677588</v>
      </c>
      <c r="J22" s="58">
        <f>J51*($I$5/$I$34)*厚年定額の計算!S33</f>
        <v>35784.602518321393</v>
      </c>
      <c r="K22" s="58">
        <f>K51*($K$5/$K$34)*基礎年金拠出金の計算!V33</f>
        <v>248678.94192274581</v>
      </c>
      <c r="L22" s="58"/>
      <c r="M22" s="67">
        <f>M51*(M$5/M$34)*基礎年金拠出金の計算!$V33</f>
        <v>18143.417277843819</v>
      </c>
      <c r="N22" s="67"/>
      <c r="O22" s="67">
        <f t="shared" si="5"/>
        <v>570.7947757269867</v>
      </c>
      <c r="P22" s="67">
        <f t="shared" si="5"/>
        <v>10.631178580305059</v>
      </c>
      <c r="Q22" s="67">
        <f t="shared" si="5"/>
        <v>2.7278953502062451</v>
      </c>
      <c r="R22" s="67">
        <f t="shared" si="5"/>
        <v>1.2736903152578269</v>
      </c>
    </row>
    <row r="23" spans="1:20" s="66" customFormat="1" ht="19.5" customHeight="1">
      <c r="A23" s="64">
        <v>48</v>
      </c>
      <c r="B23" s="65" t="s">
        <v>50</v>
      </c>
      <c r="C23" s="58">
        <f>C52*($C$5/$C$34)*(経済前提!V75/経済前提!V34)*(1+人口等補正!B29)</f>
        <v>480466.59631001967</v>
      </c>
      <c r="D23" s="58">
        <f t="shared" si="0"/>
        <v>126699.32275967317</v>
      </c>
      <c r="E23" s="58">
        <f t="shared" si="1"/>
        <v>126206.39578560927</v>
      </c>
      <c r="F23" s="58">
        <f t="shared" si="2"/>
        <v>492.9269740639059</v>
      </c>
      <c r="G23" s="58">
        <f t="shared" si="3"/>
        <v>598204.10292621644</v>
      </c>
      <c r="H23" s="58">
        <f t="shared" si="4"/>
        <v>597448.4421761221</v>
      </c>
      <c r="I23" s="58">
        <f>I52*($I$5/$I$34)*厚年比例の計算!W34</f>
        <v>309762.1543651871</v>
      </c>
      <c r="J23" s="58">
        <f>J52*($I$5/$I$34)*厚年定額の計算!S34</f>
        <v>35273.496239716413</v>
      </c>
      <c r="K23" s="58">
        <f>K52*($K$5/$K$34)*基礎年金拠出金の計算!V34</f>
        <v>252412.79157121855</v>
      </c>
      <c r="L23" s="58"/>
      <c r="M23" s="67">
        <f>M52*(M$5/M$34)*基礎年金拠出金の計算!$V34</f>
        <v>18559.684453298927</v>
      </c>
      <c r="N23" s="67"/>
      <c r="O23" s="67">
        <f t="shared" si="5"/>
        <v>480.49755653911222</v>
      </c>
      <c r="P23" s="67">
        <f t="shared" si="5"/>
        <v>8.9021397308040804</v>
      </c>
      <c r="Q23" s="67">
        <f t="shared" si="5"/>
        <v>2.503372952955417</v>
      </c>
      <c r="R23" s="67">
        <f t="shared" si="5"/>
        <v>1.023904841034158</v>
      </c>
    </row>
    <row r="24" spans="1:20" s="66" customFormat="1" ht="19.5" customHeight="1">
      <c r="A24" s="64">
        <v>49</v>
      </c>
      <c r="B24" s="65" t="s">
        <v>51</v>
      </c>
      <c r="C24" s="58">
        <f>C53*($C$5/$C$34)*(経済前提!V76/経済前提!V35)*(1+人口等補正!B30)</f>
        <v>486622.12031489634</v>
      </c>
      <c r="D24" s="58">
        <f t="shared" si="0"/>
        <v>128826.52857851486</v>
      </c>
      <c r="E24" s="58">
        <f t="shared" si="1"/>
        <v>128411.9450505764</v>
      </c>
      <c r="F24" s="58">
        <f t="shared" si="2"/>
        <v>414.58352793846228</v>
      </c>
      <c r="G24" s="58">
        <f t="shared" si="3"/>
        <v>611301.17951890826</v>
      </c>
      <c r="H24" s="58">
        <f t="shared" si="4"/>
        <v>610556.31839254394</v>
      </c>
      <c r="I24" s="58">
        <f>I53*($I$5/$I$34)*厚年比例の計算!W35</f>
        <v>318844.8541674164</v>
      </c>
      <c r="J24" s="58">
        <f>J53*($I$5/$I$34)*厚年定額の計算!S35</f>
        <v>34887.574123974737</v>
      </c>
      <c r="K24" s="58">
        <f>K53*($K$5/$K$34)*基礎年金拠出金の計算!V35</f>
        <v>256823.89010115279</v>
      </c>
      <c r="L24" s="58"/>
      <c r="M24" s="67">
        <f>M53*(M$5/M$34)*基礎年金拠出金の計算!$V35</f>
        <v>19010.740016506548</v>
      </c>
      <c r="N24" s="67"/>
      <c r="O24" s="67">
        <f t="shared" si="5"/>
        <v>404.00785561423322</v>
      </c>
      <c r="P24" s="67">
        <f t="shared" si="5"/>
        <v>7.4346203011185859</v>
      </c>
      <c r="Q24" s="67">
        <f t="shared" si="5"/>
        <v>2.3224260224136679</v>
      </c>
      <c r="R24" s="67">
        <f t="shared" si="5"/>
        <v>0.81862600069685632</v>
      </c>
    </row>
    <row r="25" spans="1:20" s="66" customFormat="1" ht="19.5" customHeight="1">
      <c r="A25" s="64">
        <v>50</v>
      </c>
      <c r="B25" s="65" t="s">
        <v>52</v>
      </c>
      <c r="C25" s="58">
        <f>C54*($C$5/$C$34)*(経済前提!V77/経済前提!V36)*(1+人口等補正!B31)</f>
        <v>492561.76663759537</v>
      </c>
      <c r="D25" s="58">
        <f t="shared" si="0"/>
        <v>131039.77063760684</v>
      </c>
      <c r="E25" s="58">
        <f t="shared" si="1"/>
        <v>130693.85155653967</v>
      </c>
      <c r="F25" s="58">
        <f t="shared" si="2"/>
        <v>345.91908106716443</v>
      </c>
      <c r="G25" s="58">
        <f t="shared" si="3"/>
        <v>625022.68315450056</v>
      </c>
      <c r="H25" s="58">
        <f t="shared" si="4"/>
        <v>624288.95470049174</v>
      </c>
      <c r="I25" s="58">
        <f>I54*($I$5/$I$34)*厚年比例の計算!W36</f>
        <v>328358.98293730762</v>
      </c>
      <c r="J25" s="58">
        <f>J54*($I$5/$I$34)*厚年定額の計算!S36</f>
        <v>34542.268650104801</v>
      </c>
      <c r="K25" s="58">
        <f>K54*($K$5/$K$34)*基礎年金拠出金の計算!V36</f>
        <v>261387.70311307933</v>
      </c>
      <c r="L25" s="58"/>
      <c r="M25" s="67">
        <f>M54*(M$5/M$34)*基礎年金拠出金の計算!$V36</f>
        <v>19467.929543776405</v>
      </c>
      <c r="N25" s="67"/>
      <c r="O25" s="67">
        <f t="shared" si="5"/>
        <v>336.99135285146855</v>
      </c>
      <c r="P25" s="67">
        <f t="shared" si="5"/>
        <v>6.148977527447328</v>
      </c>
      <c r="Q25" s="67">
        <f t="shared" si="5"/>
        <v>2.1305243761799995</v>
      </c>
      <c r="R25" s="67">
        <f t="shared" si="5"/>
        <v>0.64822631206857106</v>
      </c>
    </row>
    <row r="26" spans="1:20" s="66" customFormat="1" ht="19.5" customHeight="1">
      <c r="A26" s="64">
        <v>51</v>
      </c>
      <c r="B26" s="65" t="s">
        <v>53</v>
      </c>
      <c r="C26" s="58">
        <f>C55*($C$5/$C$34)*(経済前提!V78/経済前提!V37)*(1+人口等補正!B32)</f>
        <v>498462.45767320611</v>
      </c>
      <c r="D26" s="58">
        <f t="shared" si="0"/>
        <v>133172.3163898089</v>
      </c>
      <c r="E26" s="58">
        <f t="shared" si="1"/>
        <v>132886.44927526213</v>
      </c>
      <c r="F26" s="58">
        <f t="shared" si="2"/>
        <v>285.86711454675509</v>
      </c>
      <c r="G26" s="58">
        <f t="shared" si="3"/>
        <v>638509.22347976826</v>
      </c>
      <c r="H26" s="58">
        <f t="shared" si="4"/>
        <v>637786.57574387477</v>
      </c>
      <c r="I26" s="58">
        <f>I55*($I$5/$I$34)*厚年比例の計算!W37</f>
        <v>337859.80526504817</v>
      </c>
      <c r="J26" s="58">
        <f>J55*($I$5/$I$34)*厚年定額の計算!S37</f>
        <v>34153.871928302331</v>
      </c>
      <c r="K26" s="58">
        <f>K55*($K$5/$K$34)*基礎年金拠出金の計算!V37</f>
        <v>265772.89855052426</v>
      </c>
      <c r="L26" s="58"/>
      <c r="M26" s="67">
        <f>M55*(M$5/M$34)*基礎年金拠出金の計算!$V37</f>
        <v>19903.801287613882</v>
      </c>
      <c r="N26" s="67"/>
      <c r="O26" s="67">
        <f t="shared" si="5"/>
        <v>278.40099143128771</v>
      </c>
      <c r="P26" s="67">
        <f t="shared" si="5"/>
        <v>5.0292857861611324</v>
      </c>
      <c r="Q26" s="67">
        <f t="shared" si="5"/>
        <v>1.9289387922049106</v>
      </c>
      <c r="R26" s="67">
        <f t="shared" si="5"/>
        <v>0.50789853710129029</v>
      </c>
    </row>
    <row r="27" spans="1:20" s="66" customFormat="1" ht="19.5" customHeight="1">
      <c r="A27" s="64">
        <v>52</v>
      </c>
      <c r="B27" s="65" t="s">
        <v>54</v>
      </c>
      <c r="C27" s="58">
        <f>C56*($C$5/$C$34)*(経済前提!V79/経済前提!V38)*(1+人口等補正!B33)</f>
        <v>504466.81629209075</v>
      </c>
      <c r="D27" s="58">
        <f t="shared" si="0"/>
        <v>135002.01004274891</v>
      </c>
      <c r="E27" s="58">
        <f t="shared" si="1"/>
        <v>134768.07818167849</v>
      </c>
      <c r="F27" s="58">
        <f t="shared" si="2"/>
        <v>233.93186107041487</v>
      </c>
      <c r="G27" s="58">
        <f t="shared" si="3"/>
        <v>650741.25830636919</v>
      </c>
      <c r="H27" s="58">
        <f t="shared" si="4"/>
        <v>650029.53563911049</v>
      </c>
      <c r="I27" s="58">
        <f>I56*($I$5/$I$34)*厚年比例の計算!W38</f>
        <v>346862.39764717699</v>
      </c>
      <c r="J27" s="58">
        <f>J56*($I$5/$I$34)*厚年定額の計算!S38</f>
        <v>33630.981628576577</v>
      </c>
      <c r="K27" s="58">
        <f>K56*($K$5/$K$34)*基礎年金拠出金の計算!V38</f>
        <v>269536.15636335697</v>
      </c>
      <c r="L27" s="58"/>
      <c r="M27" s="67">
        <f>M56*(M$5/M$34)*基礎年金拠出金の計算!$V38</f>
        <v>20281.837816501484</v>
      </c>
      <c r="N27" s="67"/>
      <c r="O27" s="67">
        <f t="shared" si="5"/>
        <v>227.66851497595482</v>
      </c>
      <c r="P27" s="67">
        <f t="shared" si="5"/>
        <v>4.0661672629662329</v>
      </c>
      <c r="Q27" s="67">
        <f t="shared" si="5"/>
        <v>1.8035622948667365</v>
      </c>
      <c r="R27" s="67">
        <f t="shared" si="5"/>
        <v>0.39361653662707824</v>
      </c>
    </row>
    <row r="28" spans="1:20" s="66" customFormat="1" ht="19.5" customHeight="1">
      <c r="A28" s="64"/>
      <c r="B28" s="65"/>
      <c r="C28" s="58"/>
      <c r="D28" s="58"/>
      <c r="E28" s="58"/>
      <c r="F28" s="58"/>
      <c r="G28" s="58"/>
      <c r="H28" s="58"/>
      <c r="I28" s="58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5"/>
    </row>
    <row r="29" spans="1:20" s="60" customFormat="1" ht="19.5" customHeight="1">
      <c r="A29" s="152" t="s">
        <v>163</v>
      </c>
      <c r="B29" s="153"/>
      <c r="C29" s="153"/>
      <c r="D29" s="153"/>
      <c r="E29" s="153"/>
      <c r="F29" s="153"/>
      <c r="G29" s="153"/>
      <c r="H29" s="153"/>
      <c r="I29" s="153"/>
      <c r="J29" s="154"/>
      <c r="K29" s="155"/>
      <c r="L29" s="70"/>
      <c r="M29" s="71"/>
      <c r="N29" s="71"/>
      <c r="O29" s="71"/>
      <c r="P29" s="71"/>
      <c r="Q29" s="72"/>
      <c r="R29" s="72"/>
      <c r="S29" s="72"/>
      <c r="T29" s="72"/>
    </row>
    <row r="30" spans="1:20" s="59" customFormat="1" ht="19.5" customHeight="1">
      <c r="A30" s="61"/>
      <c r="B30" s="61"/>
      <c r="C30" s="61"/>
      <c r="D30" s="153"/>
      <c r="E30" s="61"/>
      <c r="F30" s="153"/>
      <c r="G30" s="61" t="s">
        <v>29</v>
      </c>
      <c r="H30" s="61"/>
      <c r="I30" s="61"/>
      <c r="J30" s="61"/>
      <c r="K30" s="61"/>
    </row>
    <row r="31" spans="1:20" s="59" customFormat="1" ht="19.5" customHeight="1">
      <c r="A31" s="61"/>
      <c r="B31" s="61"/>
      <c r="C31" s="156" t="s">
        <v>25</v>
      </c>
      <c r="D31" s="61" t="s">
        <v>26</v>
      </c>
      <c r="E31" s="61"/>
      <c r="F31" s="61"/>
      <c r="G31" s="61"/>
      <c r="H31" s="61" t="s">
        <v>37</v>
      </c>
      <c r="I31" s="61" t="s">
        <v>30</v>
      </c>
      <c r="J31" s="61"/>
      <c r="K31" s="61" t="s">
        <v>32</v>
      </c>
      <c r="O31" s="61" t="s">
        <v>133</v>
      </c>
    </row>
    <row r="32" spans="1:20" s="59" customFormat="1" ht="19.5" customHeight="1">
      <c r="A32" s="61"/>
      <c r="B32" s="61"/>
      <c r="C32" s="156"/>
      <c r="D32" s="156"/>
      <c r="E32" s="156" t="s">
        <v>27</v>
      </c>
      <c r="F32" s="156" t="s">
        <v>28</v>
      </c>
      <c r="G32" s="156"/>
      <c r="H32" s="156"/>
      <c r="I32" s="156" t="s">
        <v>0</v>
      </c>
      <c r="J32" s="156" t="s">
        <v>28</v>
      </c>
      <c r="K32" s="157" t="s">
        <v>31</v>
      </c>
      <c r="M32" s="59" t="s">
        <v>135</v>
      </c>
      <c r="O32" s="59" t="s">
        <v>134</v>
      </c>
      <c r="P32" s="59" t="s">
        <v>114</v>
      </c>
      <c r="Q32" s="59" t="s">
        <v>135</v>
      </c>
      <c r="R32" s="59" t="s">
        <v>136</v>
      </c>
    </row>
    <row r="33" spans="1:18" s="62" customFormat="1" ht="19.5" customHeight="1">
      <c r="C33" s="63" t="s">
        <v>12</v>
      </c>
      <c r="D33" s="63" t="s">
        <v>12</v>
      </c>
      <c r="E33" s="63" t="s">
        <v>12</v>
      </c>
      <c r="F33" s="63" t="s">
        <v>12</v>
      </c>
      <c r="G33" s="63" t="s">
        <v>12</v>
      </c>
      <c r="H33" s="63"/>
      <c r="I33" s="63" t="s">
        <v>12</v>
      </c>
      <c r="J33" s="63" t="s">
        <v>12</v>
      </c>
      <c r="K33" s="63" t="s">
        <v>12</v>
      </c>
      <c r="L33" s="63"/>
      <c r="O33" s="62" t="s">
        <v>12</v>
      </c>
    </row>
    <row r="34" spans="1:18" s="66" customFormat="1" ht="19.5" customHeight="1">
      <c r="A34" s="64">
        <v>30</v>
      </c>
      <c r="B34" s="65" t="s">
        <v>14</v>
      </c>
      <c r="C34" s="58">
        <v>343657.92803782399</v>
      </c>
      <c r="D34" s="58">
        <f t="shared" ref="D34:D56" si="6">E34+F34</f>
        <v>102925.58670976947</v>
      </c>
      <c r="E34" s="58">
        <f t="shared" ref="E34:E56" si="7">K34/2</f>
        <v>98902.729266520997</v>
      </c>
      <c r="F34" s="58">
        <v>4022.8574432484702</v>
      </c>
      <c r="G34" s="58">
        <v>498882.11872399622</v>
      </c>
      <c r="H34" s="58">
        <f t="shared" ref="H34:H56" si="8">I34+J34+K34</f>
        <v>497994.98806057847</v>
      </c>
      <c r="I34" s="58">
        <v>246513.50249340999</v>
      </c>
      <c r="J34" s="58">
        <v>53676.027034126499</v>
      </c>
      <c r="K34" s="58">
        <v>197805.45853304199</v>
      </c>
      <c r="L34" s="58"/>
      <c r="M34" s="67">
        <v>15231.1150463507</v>
      </c>
      <c r="N34" s="67"/>
      <c r="O34" s="67">
        <v>3926.0545671773898</v>
      </c>
      <c r="P34" s="67">
        <v>65.758124326764602</v>
      </c>
      <c r="Q34" s="67">
        <v>17.110338656440302</v>
      </c>
      <c r="R34" s="67">
        <v>13.934413087869199</v>
      </c>
    </row>
    <row r="35" spans="1:18" s="66" customFormat="1" ht="19.5" customHeight="1">
      <c r="A35" s="64">
        <v>31</v>
      </c>
      <c r="B35" s="65" t="s">
        <v>15</v>
      </c>
      <c r="C35" s="58">
        <v>351828.41281463095</v>
      </c>
      <c r="D35" s="58">
        <f t="shared" si="6"/>
        <v>103952.97419764475</v>
      </c>
      <c r="E35" s="58">
        <f t="shared" si="7"/>
        <v>100206.51158329401</v>
      </c>
      <c r="F35" s="58">
        <v>3746.4626143507498</v>
      </c>
      <c r="G35" s="58">
        <v>501063.00876650302</v>
      </c>
      <c r="H35" s="58">
        <f t="shared" si="8"/>
        <v>500180.84337961336</v>
      </c>
      <c r="I35" s="58">
        <v>248229.16742864999</v>
      </c>
      <c r="J35" s="58">
        <v>51538.652784375394</v>
      </c>
      <c r="K35" s="58">
        <v>200413.02316658801</v>
      </c>
      <c r="L35" s="58"/>
      <c r="M35" s="67">
        <v>15429.8601729561</v>
      </c>
      <c r="N35" s="67"/>
      <c r="O35" s="67">
        <v>3656.3403685595199</v>
      </c>
      <c r="P35" s="67">
        <v>61.959668348660401</v>
      </c>
      <c r="Q35" s="67">
        <v>15.344773706683</v>
      </c>
      <c r="R35" s="67">
        <v>12.8178037358854</v>
      </c>
    </row>
    <row r="36" spans="1:18" s="66" customFormat="1" ht="19.5" customHeight="1">
      <c r="A36" s="64">
        <v>32</v>
      </c>
      <c r="B36" s="65" t="s">
        <v>16</v>
      </c>
      <c r="C36" s="58">
        <v>359607.90591493907</v>
      </c>
      <c r="D36" s="58">
        <f t="shared" si="6"/>
        <v>104939.1563192653</v>
      </c>
      <c r="E36" s="58">
        <f t="shared" si="7"/>
        <v>101462.5912898645</v>
      </c>
      <c r="F36" s="58">
        <v>3476.5650294008001</v>
      </c>
      <c r="G36" s="58">
        <v>503656.77127361973</v>
      </c>
      <c r="H36" s="58">
        <f t="shared" si="8"/>
        <v>502779.42985673342</v>
      </c>
      <c r="I36" s="58">
        <v>249363.990211</v>
      </c>
      <c r="J36" s="58">
        <v>50490.2570660044</v>
      </c>
      <c r="K36" s="58">
        <v>202925.18257972901</v>
      </c>
      <c r="L36" s="58"/>
      <c r="M36" s="67">
        <v>15626.2681681742</v>
      </c>
      <c r="N36" s="67"/>
      <c r="O36" s="67">
        <v>3392.8840484505999</v>
      </c>
      <c r="P36" s="67">
        <v>58.164675484920998</v>
      </c>
      <c r="Q36" s="67">
        <v>13.7801515839022</v>
      </c>
      <c r="R36" s="67">
        <v>11.7361538813733</v>
      </c>
    </row>
    <row r="37" spans="1:18" s="66" customFormat="1" ht="19.5" customHeight="1">
      <c r="A37" s="64">
        <v>33</v>
      </c>
      <c r="B37" s="65" t="s">
        <v>17</v>
      </c>
      <c r="C37" s="58">
        <v>367012.59936316009</v>
      </c>
      <c r="D37" s="58">
        <f t="shared" si="6"/>
        <v>105823.22064158056</v>
      </c>
      <c r="E37" s="58">
        <f t="shared" si="7"/>
        <v>102611.039947243</v>
      </c>
      <c r="F37" s="58">
        <v>3212.18069433756</v>
      </c>
      <c r="G37" s="58">
        <v>508605.697573577</v>
      </c>
      <c r="H37" s="58">
        <f t="shared" si="8"/>
        <v>507733.25356319232</v>
      </c>
      <c r="I37" s="58">
        <v>253064.33906247001</v>
      </c>
      <c r="J37" s="58">
        <v>49446.834606236298</v>
      </c>
      <c r="K37" s="58">
        <v>205222.079894486</v>
      </c>
      <c r="L37" s="58"/>
      <c r="M37" s="67">
        <v>15815.727761062701</v>
      </c>
      <c r="N37" s="67"/>
      <c r="O37" s="67">
        <v>3134.78511464863</v>
      </c>
      <c r="P37" s="67">
        <v>54.353935585502398</v>
      </c>
      <c r="Q37" s="67">
        <v>12.3540337544592</v>
      </c>
      <c r="R37" s="67">
        <v>10.687610348968301</v>
      </c>
    </row>
    <row r="38" spans="1:18" s="66" customFormat="1" ht="19.5" customHeight="1">
      <c r="A38" s="64">
        <v>34</v>
      </c>
      <c r="B38" s="65" t="s">
        <v>18</v>
      </c>
      <c r="C38" s="58">
        <v>374451.95644172403</v>
      </c>
      <c r="D38" s="58">
        <f>E38+F38</f>
        <v>106575.06022018088</v>
      </c>
      <c r="E38" s="58">
        <f t="shared" si="7"/>
        <v>103621.03552583601</v>
      </c>
      <c r="F38" s="58">
        <v>2954.0246943448701</v>
      </c>
      <c r="G38" s="58">
        <v>511075.39143568248</v>
      </c>
      <c r="H38" s="58">
        <f t="shared" si="8"/>
        <v>510207.93068919668</v>
      </c>
      <c r="I38" s="58">
        <v>254615.84750407</v>
      </c>
      <c r="J38" s="58">
        <v>48350.0121334547</v>
      </c>
      <c r="K38" s="58">
        <v>207242.07105167201</v>
      </c>
      <c r="L38" s="58"/>
      <c r="M38" s="67">
        <v>15999.862981701501</v>
      </c>
      <c r="N38" s="67"/>
      <c r="O38" s="67">
        <v>2882.76908809821</v>
      </c>
      <c r="P38" s="67">
        <v>50.545040608416798</v>
      </c>
      <c r="Q38" s="67">
        <v>11.0332435264576</v>
      </c>
      <c r="R38" s="67">
        <v>9.6773221117851005</v>
      </c>
    </row>
    <row r="39" spans="1:18" s="66" customFormat="1" ht="19.5" customHeight="1">
      <c r="A39" s="64">
        <v>35</v>
      </c>
      <c r="B39" s="65" t="s">
        <v>19</v>
      </c>
      <c r="C39" s="58">
        <v>382311.58451339899</v>
      </c>
      <c r="D39" s="58">
        <f t="shared" si="6"/>
        <v>107335.64284941138</v>
      </c>
      <c r="E39" s="58">
        <f t="shared" si="7"/>
        <v>104631.92006532699</v>
      </c>
      <c r="F39" s="58">
        <v>2703.7227840843798</v>
      </c>
      <c r="G39" s="58">
        <v>512591.7695817101</v>
      </c>
      <c r="H39" s="58">
        <f t="shared" si="8"/>
        <v>511729.49800260068</v>
      </c>
      <c r="I39" s="58">
        <v>255199.6908439</v>
      </c>
      <c r="J39" s="58">
        <v>47265.967028046703</v>
      </c>
      <c r="K39" s="58">
        <v>209263.84013065399</v>
      </c>
      <c r="L39" s="58"/>
      <c r="M39" s="67">
        <v>16200.776956961001</v>
      </c>
      <c r="N39" s="67"/>
      <c r="O39" s="67">
        <v>2638.3711256746001</v>
      </c>
      <c r="P39" s="67">
        <v>46.7637563360854</v>
      </c>
      <c r="Q39" s="67">
        <v>9.8774449824330599</v>
      </c>
      <c r="R39" s="67">
        <v>8.7104570912636099</v>
      </c>
    </row>
    <row r="40" spans="1:18" s="66" customFormat="1" ht="19.5" customHeight="1">
      <c r="A40" s="64">
        <v>36</v>
      </c>
      <c r="B40" s="65" t="s">
        <v>20</v>
      </c>
      <c r="C40" s="58">
        <v>389771.587642528</v>
      </c>
      <c r="D40" s="58">
        <f t="shared" si="6"/>
        <v>108202.00373937297</v>
      </c>
      <c r="E40" s="58">
        <f t="shared" si="7"/>
        <v>105739.55643762249</v>
      </c>
      <c r="F40" s="58">
        <v>2462.4473017504802</v>
      </c>
      <c r="G40" s="58">
        <v>517115.54742752609</v>
      </c>
      <c r="H40" s="58">
        <f t="shared" si="8"/>
        <v>516258.8656833588</v>
      </c>
      <c r="I40" s="58">
        <v>258493.43271947</v>
      </c>
      <c r="J40" s="58">
        <v>46286.320088643799</v>
      </c>
      <c r="K40" s="58">
        <v>211479.11287524499</v>
      </c>
      <c r="L40" s="58"/>
      <c r="M40" s="67">
        <v>16427.692099747099</v>
      </c>
      <c r="N40" s="67"/>
      <c r="O40" s="67">
        <v>2402.8227095744201</v>
      </c>
      <c r="P40" s="67">
        <v>43.027526650015702</v>
      </c>
      <c r="Q40" s="67">
        <v>8.8074549275866794</v>
      </c>
      <c r="R40" s="67">
        <v>7.7896105984501904</v>
      </c>
    </row>
    <row r="41" spans="1:18" s="66" customFormat="1" ht="19.5" customHeight="1">
      <c r="A41" s="64">
        <v>37</v>
      </c>
      <c r="B41" s="65" t="s">
        <v>21</v>
      </c>
      <c r="C41" s="58">
        <v>396753.36055632099</v>
      </c>
      <c r="D41" s="58">
        <f t="shared" si="6"/>
        <v>109016.97703503583</v>
      </c>
      <c r="E41" s="58">
        <f t="shared" si="7"/>
        <v>106786.529619956</v>
      </c>
      <c r="F41" s="58">
        <v>2230.4474150798301</v>
      </c>
      <c r="G41" s="58">
        <v>519077.13964844513</v>
      </c>
      <c r="H41" s="58">
        <f t="shared" si="8"/>
        <v>518226.45190511469</v>
      </c>
      <c r="I41" s="58">
        <v>259383.07197757001</v>
      </c>
      <c r="J41" s="58">
        <v>45270.320687632702</v>
      </c>
      <c r="K41" s="58">
        <v>213573.05923991199</v>
      </c>
      <c r="L41" s="58"/>
      <c r="M41" s="67">
        <v>16658.816931789701</v>
      </c>
      <c r="N41" s="67"/>
      <c r="O41" s="67">
        <v>2176.3438141479301</v>
      </c>
      <c r="P41" s="67">
        <v>39.345897927102399</v>
      </c>
      <c r="Q41" s="67">
        <v>7.8406569541390496</v>
      </c>
      <c r="R41" s="67">
        <v>6.91704605065725</v>
      </c>
    </row>
    <row r="42" spans="1:18" s="66" customFormat="1" ht="19.5" customHeight="1">
      <c r="A42" s="64">
        <v>38</v>
      </c>
      <c r="B42" s="65" t="s">
        <v>22</v>
      </c>
      <c r="C42" s="58">
        <v>403739.312242402</v>
      </c>
      <c r="D42" s="58">
        <f t="shared" si="6"/>
        <v>109767.78778716669</v>
      </c>
      <c r="E42" s="58">
        <f t="shared" si="7"/>
        <v>107759.4464752745</v>
      </c>
      <c r="F42" s="58">
        <v>2008.3413118921901</v>
      </c>
      <c r="G42" s="58">
        <v>519844.55396575446</v>
      </c>
      <c r="H42" s="58">
        <f t="shared" si="8"/>
        <v>519000.10616000346</v>
      </c>
      <c r="I42" s="58">
        <v>259267.52638774001</v>
      </c>
      <c r="J42" s="58">
        <v>44213.686821714502</v>
      </c>
      <c r="K42" s="58">
        <v>215518.89295054899</v>
      </c>
      <c r="L42" s="58"/>
      <c r="M42" s="67">
        <v>16893.931925061901</v>
      </c>
      <c r="N42" s="67"/>
      <c r="O42" s="67">
        <v>1959.54062835682</v>
      </c>
      <c r="P42" s="67">
        <v>35.733858893731501</v>
      </c>
      <c r="Q42" s="67">
        <v>6.9720559305721199</v>
      </c>
      <c r="R42" s="67">
        <v>6.0947687110666404</v>
      </c>
    </row>
    <row r="43" spans="1:18" s="66" customFormat="1" ht="19.5" customHeight="1">
      <c r="A43" s="64">
        <v>39</v>
      </c>
      <c r="B43" s="65" t="s">
        <v>23</v>
      </c>
      <c r="C43" s="58">
        <v>410435.98621401098</v>
      </c>
      <c r="D43" s="58">
        <f t="shared" si="6"/>
        <v>110450.08987955285</v>
      </c>
      <c r="E43" s="58">
        <f t="shared" si="7"/>
        <v>108645.53592410449</v>
      </c>
      <c r="F43" s="58">
        <v>1804.5539554483501</v>
      </c>
      <c r="G43" s="58">
        <v>525205.28611797071</v>
      </c>
      <c r="H43" s="58">
        <f t="shared" si="8"/>
        <v>524367.50500208477</v>
      </c>
      <c r="I43" s="58">
        <v>263810.33425382001</v>
      </c>
      <c r="J43" s="58">
        <v>43266.098900055797</v>
      </c>
      <c r="K43" s="58">
        <v>217291.07184820899</v>
      </c>
      <c r="L43" s="58"/>
      <c r="M43" s="67">
        <v>17114.930560294699</v>
      </c>
      <c r="N43" s="67"/>
      <c r="O43" s="67">
        <v>1760.63519466259</v>
      </c>
      <c r="P43" s="67">
        <v>32.352965988276402</v>
      </c>
      <c r="Q43" s="67">
        <v>6.2171035897317397</v>
      </c>
      <c r="R43" s="67">
        <v>5.3486912077584901</v>
      </c>
    </row>
    <row r="44" spans="1:18" s="66" customFormat="1" ht="19.5" customHeight="1">
      <c r="A44" s="64">
        <v>40</v>
      </c>
      <c r="B44" s="65" t="s">
        <v>24</v>
      </c>
      <c r="C44" s="58">
        <v>416649.10112777998</v>
      </c>
      <c r="D44" s="58">
        <f t="shared" si="6"/>
        <v>111208.63339187369</v>
      </c>
      <c r="E44" s="58">
        <f t="shared" si="7"/>
        <v>109594.096870275</v>
      </c>
      <c r="F44" s="58">
        <v>1614.5365215986899</v>
      </c>
      <c r="G44" s="58">
        <v>531121.16552406037</v>
      </c>
      <c r="H44" s="58">
        <f t="shared" si="8"/>
        <v>530290.81992585282</v>
      </c>
      <c r="I44" s="58">
        <v>268752.38484966999</v>
      </c>
      <c r="J44" s="58">
        <v>42350.241335632796</v>
      </c>
      <c r="K44" s="58">
        <v>219188.19374054999</v>
      </c>
      <c r="L44" s="58"/>
      <c r="M44" s="67">
        <v>17371.048657492702</v>
      </c>
      <c r="N44" s="67"/>
      <c r="O44" s="67">
        <v>1575.18234895302</v>
      </c>
      <c r="P44" s="67">
        <v>29.131493687058299</v>
      </c>
      <c r="Q44" s="67">
        <v>5.5578018756334799</v>
      </c>
      <c r="R44" s="67">
        <v>4.6648770829779904</v>
      </c>
    </row>
    <row r="45" spans="1:18" s="66" customFormat="1" ht="19.5" customHeight="1">
      <c r="A45" s="64">
        <v>41</v>
      </c>
      <c r="B45" s="65" t="s">
        <v>43</v>
      </c>
      <c r="C45" s="58">
        <v>422615.15630256798</v>
      </c>
      <c r="D45" s="58">
        <f t="shared" si="6"/>
        <v>112123.32620990279</v>
      </c>
      <c r="E45" s="58">
        <f t="shared" si="7"/>
        <v>110688.30567759799</v>
      </c>
      <c r="F45" s="58">
        <v>1435.0205323048001</v>
      </c>
      <c r="G45" s="58">
        <v>538889.49837365781</v>
      </c>
      <c r="H45" s="58">
        <f t="shared" si="8"/>
        <v>538067.05223957682</v>
      </c>
      <c r="I45" s="58">
        <v>275177.50173995999</v>
      </c>
      <c r="J45" s="58">
        <v>41512.939144420903</v>
      </c>
      <c r="K45" s="58">
        <v>221376.61135519599</v>
      </c>
      <c r="L45" s="58"/>
      <c r="M45" s="67">
        <v>17676.9933101846</v>
      </c>
      <c r="N45" s="67"/>
      <c r="O45" s="67">
        <v>1399.9889467830001</v>
      </c>
      <c r="P45" s="67">
        <v>26.0226147518358</v>
      </c>
      <c r="Q45" s="67">
        <v>4.9747939406243598</v>
      </c>
      <c r="R45" s="67">
        <v>4.0341768293438296</v>
      </c>
    </row>
    <row r="46" spans="1:18" s="66" customFormat="1" ht="19.5" customHeight="1">
      <c r="A46" s="64">
        <v>42</v>
      </c>
      <c r="B46" s="65" t="s">
        <v>44</v>
      </c>
      <c r="C46" s="58">
        <v>428461.77001068997</v>
      </c>
      <c r="D46" s="58">
        <f t="shared" si="6"/>
        <v>113165.22694310782</v>
      </c>
      <c r="E46" s="58">
        <f t="shared" si="7"/>
        <v>111898.344223703</v>
      </c>
      <c r="F46" s="58">
        <v>1266.8827194048199</v>
      </c>
      <c r="G46" s="58">
        <v>546470.83926444559</v>
      </c>
      <c r="H46" s="58">
        <f t="shared" si="8"/>
        <v>545656.50928404229</v>
      </c>
      <c r="I46" s="58">
        <v>281135.81084896001</v>
      </c>
      <c r="J46" s="58">
        <v>40724.009987676196</v>
      </c>
      <c r="K46" s="58">
        <v>223796.68844740599</v>
      </c>
      <c r="L46" s="58"/>
      <c r="M46" s="67">
        <v>18001.928990674402</v>
      </c>
      <c r="N46" s="67"/>
      <c r="O46" s="67">
        <v>1235.90982701196</v>
      </c>
      <c r="P46" s="67">
        <v>23.057926278293301</v>
      </c>
      <c r="Q46" s="67">
        <v>4.45815031687476</v>
      </c>
      <c r="R46" s="67">
        <v>3.45681579769668</v>
      </c>
    </row>
    <row r="47" spans="1:18" s="66" customFormat="1" ht="19.5" customHeight="1">
      <c r="A47" s="64">
        <v>43</v>
      </c>
      <c r="B47" s="65" t="s">
        <v>45</v>
      </c>
      <c r="C47" s="58">
        <v>434038.98863816797</v>
      </c>
      <c r="D47" s="58">
        <f t="shared" si="6"/>
        <v>114046.53799581727</v>
      </c>
      <c r="E47" s="58">
        <f t="shared" si="7"/>
        <v>112935.79891098999</v>
      </c>
      <c r="F47" s="58">
        <v>1110.7390848272801</v>
      </c>
      <c r="G47" s="58">
        <v>552612.23124036717</v>
      </c>
      <c r="H47" s="58">
        <f t="shared" si="8"/>
        <v>551806.51838434406</v>
      </c>
      <c r="I47" s="58">
        <v>286100.75123296998</v>
      </c>
      <c r="J47" s="58">
        <v>39834.169329394099</v>
      </c>
      <c r="K47" s="58">
        <v>225871.59782197999</v>
      </c>
      <c r="L47" s="58"/>
      <c r="M47" s="67">
        <v>18302.4732109467</v>
      </c>
      <c r="N47" s="67"/>
      <c r="O47" s="67">
        <v>1083.52528382529</v>
      </c>
      <c r="P47" s="67">
        <v>20.260040160693499</v>
      </c>
      <c r="Q47" s="67">
        <v>4.0195253064176599</v>
      </c>
      <c r="R47" s="67">
        <v>2.9342355348750302</v>
      </c>
    </row>
    <row r="48" spans="1:18" s="66" customFormat="1" ht="19.5" customHeight="1">
      <c r="A48" s="64">
        <v>44</v>
      </c>
      <c r="B48" s="65" t="s">
        <v>46</v>
      </c>
      <c r="C48" s="58">
        <v>439284.90135002299</v>
      </c>
      <c r="D48" s="58">
        <f t="shared" si="6"/>
        <v>114996.32148754977</v>
      </c>
      <c r="E48" s="58">
        <f t="shared" si="7"/>
        <v>114029.52252174</v>
      </c>
      <c r="F48" s="58">
        <v>966.79896580975901</v>
      </c>
      <c r="G48" s="58">
        <v>560366.25782038621</v>
      </c>
      <c r="H48" s="58">
        <f t="shared" si="8"/>
        <v>559569.76836092491</v>
      </c>
      <c r="I48" s="58">
        <v>292532.30151641002</v>
      </c>
      <c r="J48" s="58">
        <v>38978.4218010349</v>
      </c>
      <c r="K48" s="58">
        <v>228059.04504348</v>
      </c>
      <c r="L48" s="58"/>
      <c r="M48" s="67">
        <v>18628.830102574499</v>
      </c>
      <c r="N48" s="67"/>
      <c r="O48" s="67">
        <v>943.04711375007196</v>
      </c>
      <c r="P48" s="67">
        <v>17.646065788039401</v>
      </c>
      <c r="Q48" s="67">
        <v>3.6397764982076199</v>
      </c>
      <c r="R48" s="67">
        <v>2.4660097734401698</v>
      </c>
    </row>
    <row r="49" spans="1:18" s="66" customFormat="1" ht="19.5" customHeight="1">
      <c r="A49" s="64">
        <v>45</v>
      </c>
      <c r="B49" s="65" t="s">
        <v>47</v>
      </c>
      <c r="C49" s="58">
        <v>444279.72226541903</v>
      </c>
      <c r="D49" s="58">
        <f t="shared" si="6"/>
        <v>116582.00064085388</v>
      </c>
      <c r="E49" s="58">
        <f t="shared" si="7"/>
        <v>115746.8388343705</v>
      </c>
      <c r="F49" s="58">
        <v>835.16180648336797</v>
      </c>
      <c r="G49" s="58">
        <v>570936.17053922068</v>
      </c>
      <c r="H49" s="58">
        <f t="shared" si="8"/>
        <v>570149.39307419711</v>
      </c>
      <c r="I49" s="58">
        <v>300233.53489148</v>
      </c>
      <c r="J49" s="58">
        <v>38422.180513976098</v>
      </c>
      <c r="K49" s="58">
        <v>231493.677668741</v>
      </c>
      <c r="L49" s="58"/>
      <c r="M49" s="67">
        <v>19082.347971753399</v>
      </c>
      <c r="N49" s="67"/>
      <c r="O49" s="67">
        <v>814.58345564812896</v>
      </c>
      <c r="P49" s="67">
        <v>15.229464381365799</v>
      </c>
      <c r="Q49" s="67">
        <v>3.29807016492044</v>
      </c>
      <c r="R49" s="67">
        <v>2.05081628895211</v>
      </c>
    </row>
    <row r="50" spans="1:18" s="66" customFormat="1" ht="19.5" customHeight="1">
      <c r="A50" s="64">
        <v>46</v>
      </c>
      <c r="B50" s="65" t="s">
        <v>48</v>
      </c>
      <c r="C50" s="58">
        <v>449111.83696168801</v>
      </c>
      <c r="D50" s="58">
        <f t="shared" si="6"/>
        <v>118277.48671460772</v>
      </c>
      <c r="E50" s="58">
        <f t="shared" si="7"/>
        <v>117561.72701353949</v>
      </c>
      <c r="F50" s="58">
        <v>715.75970106822899</v>
      </c>
      <c r="G50" s="58">
        <v>582001.30869178881</v>
      </c>
      <c r="H50" s="58">
        <f t="shared" si="8"/>
        <v>581224.68025746197</v>
      </c>
      <c r="I50" s="58">
        <v>308194.72423375002</v>
      </c>
      <c r="J50" s="58">
        <v>37906.501996632898</v>
      </c>
      <c r="K50" s="58">
        <v>235123.45402707899</v>
      </c>
      <c r="L50" s="58"/>
      <c r="M50" s="67">
        <v>19562.7564333829</v>
      </c>
      <c r="N50" s="67"/>
      <c r="O50" s="67">
        <v>698.06244428505397</v>
      </c>
      <c r="P50" s="67">
        <v>13.0199816821296</v>
      </c>
      <c r="Q50" s="67">
        <v>2.9904047244779401</v>
      </c>
      <c r="R50" s="67">
        <v>1.68687037656773</v>
      </c>
    </row>
    <row r="51" spans="1:18" s="66" customFormat="1" ht="19.5" customHeight="1">
      <c r="A51" s="64">
        <v>47</v>
      </c>
      <c r="B51" s="65" t="s">
        <v>49</v>
      </c>
      <c r="C51" s="58">
        <v>453930.15383443702</v>
      </c>
      <c r="D51" s="58">
        <f t="shared" si="6"/>
        <v>120049.12665098452</v>
      </c>
      <c r="E51" s="58">
        <f t="shared" si="7"/>
        <v>119440.7366568295</v>
      </c>
      <c r="F51" s="58">
        <v>608.38999415501803</v>
      </c>
      <c r="G51" s="58">
        <v>593462.1253932796</v>
      </c>
      <c r="H51" s="58">
        <f t="shared" si="8"/>
        <v>592695.94909576711</v>
      </c>
      <c r="I51" s="58">
        <v>316407.35569498001</v>
      </c>
      <c r="J51" s="58">
        <v>37407.120087128103</v>
      </c>
      <c r="K51" s="58">
        <v>238881.47331365899</v>
      </c>
      <c r="L51" s="58"/>
      <c r="M51" s="67">
        <v>20052.767658496799</v>
      </c>
      <c r="N51" s="67"/>
      <c r="O51" s="67">
        <v>593.28463824216396</v>
      </c>
      <c r="P51" s="67">
        <v>11.022293689192701</v>
      </c>
      <c r="Q51" s="67">
        <v>2.7114152868335002</v>
      </c>
      <c r="R51" s="67">
        <v>1.3716469368281701</v>
      </c>
    </row>
    <row r="52" spans="1:18" s="66" customFormat="1" ht="19.5" customHeight="1">
      <c r="A52" s="64">
        <v>48</v>
      </c>
      <c r="B52" s="65" t="s">
        <v>50</v>
      </c>
      <c r="C52" s="58">
        <v>458884.99348852399</v>
      </c>
      <c r="D52" s="58">
        <f t="shared" si="6"/>
        <v>121995.09306415028</v>
      </c>
      <c r="E52" s="58">
        <f t="shared" si="7"/>
        <v>121481.635594865</v>
      </c>
      <c r="F52" s="58">
        <v>513.45746928528001</v>
      </c>
      <c r="G52" s="58">
        <v>605866.77163707837</v>
      </c>
      <c r="H52" s="58">
        <f t="shared" si="8"/>
        <v>605111.11088698416</v>
      </c>
      <c r="I52" s="58">
        <v>325202.48817244999</v>
      </c>
      <c r="J52" s="58">
        <v>36945.351524804202</v>
      </c>
      <c r="K52" s="58">
        <v>242963.27118973</v>
      </c>
      <c r="L52" s="58"/>
      <c r="M52" s="67">
        <v>20554.7230363368</v>
      </c>
      <c r="N52" s="67"/>
      <c r="O52" s="67">
        <v>500.60670824079398</v>
      </c>
      <c r="P52" s="67">
        <v>9.2513974605498692</v>
      </c>
      <c r="Q52" s="67">
        <v>2.4941137577287198</v>
      </c>
      <c r="R52" s="67">
        <v>1.1052498262074599</v>
      </c>
    </row>
    <row r="53" spans="1:18" s="66" customFormat="1" ht="19.5" customHeight="1">
      <c r="A53" s="64">
        <v>49</v>
      </c>
      <c r="B53" s="65" t="s">
        <v>51</v>
      </c>
      <c r="C53" s="58">
        <v>463842.14701727603</v>
      </c>
      <c r="D53" s="58">
        <f t="shared" si="6"/>
        <v>124260.11353279509</v>
      </c>
      <c r="E53" s="58">
        <f t="shared" si="7"/>
        <v>123827.355101179</v>
      </c>
      <c r="F53" s="58">
        <v>432.75843161608998</v>
      </c>
      <c r="G53" s="58">
        <v>620465.42478715139</v>
      </c>
      <c r="H53" s="58">
        <f t="shared" si="8"/>
        <v>619720.56366078695</v>
      </c>
      <c r="I53" s="58">
        <v>335459.89209333999</v>
      </c>
      <c r="J53" s="58">
        <v>36605.961365089002</v>
      </c>
      <c r="K53" s="58">
        <v>247654.71020235799</v>
      </c>
      <c r="L53" s="58"/>
      <c r="M53" s="67">
        <v>21092.204331796202</v>
      </c>
      <c r="N53" s="67"/>
      <c r="O53" s="67">
        <v>421.81138910339303</v>
      </c>
      <c r="P53" s="67">
        <v>7.7427410810172796</v>
      </c>
      <c r="Q53" s="67">
        <v>2.3187589426524098</v>
      </c>
      <c r="R53" s="67">
        <v>0.88554248902728006</v>
      </c>
    </row>
    <row r="54" spans="1:18" s="66" customFormat="1" ht="19.5" customHeight="1">
      <c r="A54" s="64">
        <v>50</v>
      </c>
      <c r="B54" s="65" t="s">
        <v>52</v>
      </c>
      <c r="C54" s="58">
        <v>468731.75730385497</v>
      </c>
      <c r="D54" s="58">
        <f t="shared" si="6"/>
        <v>126595.47602107149</v>
      </c>
      <c r="E54" s="58">
        <f t="shared" si="7"/>
        <v>126233.65158278499</v>
      </c>
      <c r="F54" s="58">
        <v>361.82443828649798</v>
      </c>
      <c r="G54" s="58">
        <v>635704.41057347273</v>
      </c>
      <c r="H54" s="58">
        <f t="shared" si="8"/>
        <v>634970.68211946404</v>
      </c>
      <c r="I54" s="58">
        <v>346200.92230901</v>
      </c>
      <c r="J54" s="58">
        <v>36302.456644883998</v>
      </c>
      <c r="K54" s="58">
        <v>252467.30316556999</v>
      </c>
      <c r="L54" s="58"/>
      <c r="M54" s="67">
        <v>21634.732468890699</v>
      </c>
      <c r="N54" s="67"/>
      <c r="O54" s="67">
        <v>352.57305619278299</v>
      </c>
      <c r="P54" s="67">
        <v>6.4171282695863603</v>
      </c>
      <c r="Q54" s="67">
        <v>2.1315822319833702</v>
      </c>
      <c r="R54" s="67">
        <v>0.70267159214439201</v>
      </c>
    </row>
    <row r="55" spans="1:18" s="66" customFormat="1" ht="19.5" customHeight="1">
      <c r="A55" s="64">
        <v>51</v>
      </c>
      <c r="B55" s="65" t="s">
        <v>53</v>
      </c>
      <c r="C55" s="58">
        <v>473711.54300397902</v>
      </c>
      <c r="D55" s="58">
        <f t="shared" si="6"/>
        <v>128827.11671459839</v>
      </c>
      <c r="E55" s="58">
        <f t="shared" si="7"/>
        <v>128527.526092702</v>
      </c>
      <c r="F55" s="58">
        <v>299.59062189639099</v>
      </c>
      <c r="G55" s="58">
        <v>650656.74004302232</v>
      </c>
      <c r="H55" s="58">
        <f t="shared" si="8"/>
        <v>649934.09230712894</v>
      </c>
      <c r="I55" s="58">
        <v>356936.61203573999</v>
      </c>
      <c r="J55" s="58">
        <v>35942.428085985004</v>
      </c>
      <c r="K55" s="58">
        <v>257055.052185404</v>
      </c>
      <c r="L55" s="58"/>
      <c r="M55" s="67">
        <v>22149.465633367501</v>
      </c>
      <c r="N55" s="67"/>
      <c r="O55" s="67">
        <v>291.84636176408202</v>
      </c>
      <c r="P55" s="67">
        <v>5.25892857361357</v>
      </c>
      <c r="Q55" s="67">
        <v>1.93369143709359</v>
      </c>
      <c r="R55" s="67">
        <v>0.55164012160168996</v>
      </c>
    </row>
    <row r="56" spans="1:18" s="66" customFormat="1" ht="19.5" customHeight="1">
      <c r="A56" s="64">
        <v>52</v>
      </c>
      <c r="B56" s="65" t="s">
        <v>54</v>
      </c>
      <c r="C56" s="58">
        <v>478857.359403615</v>
      </c>
      <c r="D56" s="58">
        <f t="shared" si="6"/>
        <v>130744.21172089571</v>
      </c>
      <c r="E56" s="58">
        <f t="shared" si="7"/>
        <v>130498.5917893525</v>
      </c>
      <c r="F56" s="58">
        <v>245.619931543207</v>
      </c>
      <c r="G56" s="58">
        <v>664311.70363959589</v>
      </c>
      <c r="H56" s="58">
        <f t="shared" si="8"/>
        <v>663599.98097233707</v>
      </c>
      <c r="I56" s="58">
        <v>367173.02237621997</v>
      </c>
      <c r="J56" s="58">
        <v>35429.775017412001</v>
      </c>
      <c r="K56" s="58">
        <v>260997.18357870501</v>
      </c>
      <c r="L56" s="58"/>
      <c r="M56" s="67">
        <v>22596.328010421399</v>
      </c>
      <c r="N56" s="67"/>
      <c r="O56" s="67">
        <v>239.12017057079001</v>
      </c>
      <c r="P56" s="67">
        <v>4.2599639892743904</v>
      </c>
      <c r="Q56" s="67">
        <v>1.81146357353613</v>
      </c>
      <c r="R56" s="67">
        <v>0.42833340960604899</v>
      </c>
    </row>
    <row r="57" spans="1:18" s="66" customFormat="1" ht="19.5" customHeight="1"/>
    <row r="58" spans="1:18" s="66" customFormat="1" ht="19.5" customHeight="1"/>
  </sheetData>
  <phoneticPr fontId="1"/>
  <printOptions horizontalCentered="1"/>
  <pageMargins left="0.39370078740157483" right="0.17" top="0.38" bottom="0.39370078740157483" header="0.51181102362204722" footer="0.51181102362204722"/>
  <pageSetup paperSize="9" scale="33" orientation="landscape" r:id="rId1"/>
  <headerFooter alignWithMargins="0"/>
  <ignoredErrors>
    <ignoredError sqref="B5:B27 B34:B5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35"/>
  <sheetViews>
    <sheetView zoomScaleNormal="100" workbookViewId="0"/>
  </sheetViews>
  <sheetFormatPr defaultRowHeight="13.5"/>
  <cols>
    <col min="1" max="1" width="5.625" style="34" customWidth="1"/>
    <col min="2" max="2" width="8.375" style="34" customWidth="1"/>
    <col min="3" max="4" width="9" style="34"/>
    <col min="5" max="5" width="2" style="34" customWidth="1"/>
    <col min="6" max="6" width="8" style="34" customWidth="1"/>
    <col min="7" max="8" width="7.625" style="34" customWidth="1"/>
    <col min="9" max="11" width="10.25" style="34" bestFit="1" customWidth="1"/>
    <col min="12" max="12" width="10.375" style="34" bestFit="1" customWidth="1"/>
    <col min="13" max="13" width="3.5" style="34" customWidth="1"/>
    <col min="14" max="14" width="6.5" style="34" customWidth="1"/>
    <col min="15" max="15" width="10.25" style="34" bestFit="1" customWidth="1"/>
    <col min="16" max="17" width="9" style="34"/>
    <col min="18" max="18" width="3" style="34" customWidth="1"/>
    <col min="19" max="19" width="5.625" style="34" customWidth="1"/>
    <col min="20" max="22" width="9" style="34"/>
    <col min="23" max="23" width="2.875" style="34" customWidth="1"/>
    <col min="24" max="16384" width="9" style="34"/>
  </cols>
  <sheetData>
    <row r="1" spans="1:24">
      <c r="A1" s="47"/>
      <c r="B1" s="47"/>
      <c r="C1" s="47" t="s">
        <v>175</v>
      </c>
      <c r="D1" s="47"/>
      <c r="N1" s="19" t="s">
        <v>149</v>
      </c>
      <c r="O1" s="19"/>
      <c r="P1" s="19"/>
      <c r="Q1" s="19"/>
      <c r="R1" s="19"/>
      <c r="S1" s="19" t="s">
        <v>150</v>
      </c>
      <c r="T1" s="19"/>
      <c r="U1" s="19"/>
      <c r="V1" s="19"/>
      <c r="W1" s="19"/>
      <c r="X1" s="19"/>
    </row>
    <row r="2" spans="1:24" ht="12.75" customHeight="1">
      <c r="A2" s="47"/>
      <c r="B2" s="47" t="s">
        <v>172</v>
      </c>
      <c r="C2" s="47" t="s">
        <v>172</v>
      </c>
      <c r="D2" s="47" t="s">
        <v>31</v>
      </c>
      <c r="F2" s="55"/>
      <c r="G2" s="55"/>
      <c r="N2" s="19"/>
      <c r="O2" s="19">
        <v>2020</v>
      </c>
      <c r="P2" s="19">
        <v>2030</v>
      </c>
      <c r="Q2" s="19">
        <v>2027</v>
      </c>
      <c r="R2" s="19"/>
      <c r="S2" s="19"/>
      <c r="T2" s="19">
        <v>2020</v>
      </c>
      <c r="U2" s="19">
        <v>2030</v>
      </c>
      <c r="V2" s="19">
        <v>2027</v>
      </c>
      <c r="W2" s="19"/>
      <c r="X2" s="19"/>
    </row>
    <row r="3" spans="1:24">
      <c r="A3" s="47"/>
      <c r="B3" s="47" t="s">
        <v>173</v>
      </c>
      <c r="C3" s="47" t="s">
        <v>174</v>
      </c>
      <c r="D3" s="47" t="s">
        <v>37</v>
      </c>
      <c r="G3" s="34" t="s">
        <v>76</v>
      </c>
      <c r="I3" s="34" t="s">
        <v>187</v>
      </c>
      <c r="K3" s="34" t="s">
        <v>188</v>
      </c>
      <c r="N3" s="19" t="s">
        <v>146</v>
      </c>
      <c r="O3" s="19">
        <v>5947</v>
      </c>
      <c r="P3" s="19">
        <v>5449</v>
      </c>
      <c r="Q3" s="19">
        <f>(O3*3+P3*7)/10</f>
        <v>5598.4</v>
      </c>
      <c r="R3" s="19"/>
      <c r="S3" s="19" t="s">
        <v>147</v>
      </c>
      <c r="T3" s="19">
        <v>6381</v>
      </c>
      <c r="U3" s="19">
        <v>6169</v>
      </c>
      <c r="V3" s="19">
        <f>(T3*3+U3*7)/10</f>
        <v>6232.6</v>
      </c>
      <c r="W3" s="19"/>
      <c r="X3" s="19" t="s">
        <v>148</v>
      </c>
    </row>
    <row r="4" spans="1:24">
      <c r="A4" s="47"/>
      <c r="B4" s="47"/>
      <c r="C4" s="47" t="s">
        <v>155</v>
      </c>
      <c r="D4" s="47" t="s">
        <v>64</v>
      </c>
      <c r="G4" s="34" t="s">
        <v>75</v>
      </c>
      <c r="H4" s="34" t="s">
        <v>64</v>
      </c>
      <c r="I4" s="34" t="s">
        <v>75</v>
      </c>
      <c r="J4" s="34" t="s">
        <v>64</v>
      </c>
      <c r="K4" s="34" t="s">
        <v>75</v>
      </c>
      <c r="L4" s="34" t="s">
        <v>64</v>
      </c>
      <c r="N4" s="19"/>
      <c r="O4" s="57"/>
      <c r="P4" s="57"/>
      <c r="Q4" s="57"/>
      <c r="R4" s="19"/>
      <c r="S4" s="19"/>
      <c r="T4" s="57"/>
      <c r="U4" s="57"/>
      <c r="V4" s="57"/>
      <c r="W4" s="19"/>
      <c r="X4" s="56">
        <f>V5/Q5</f>
        <v>1.0375631143901729</v>
      </c>
    </row>
    <row r="5" spans="1:24">
      <c r="A5" s="34">
        <v>2012</v>
      </c>
      <c r="C5" s="38"/>
      <c r="D5" s="38"/>
      <c r="G5" s="38">
        <f>I5/K5-1</f>
        <v>0</v>
      </c>
      <c r="H5" s="38">
        <f>J5/L5-1</f>
        <v>0</v>
      </c>
      <c r="I5" s="35">
        <v>74125322</v>
      </c>
      <c r="J5" s="35">
        <v>30793233</v>
      </c>
      <c r="K5" s="35">
        <v>74125322</v>
      </c>
      <c r="L5" s="35">
        <v>30793233</v>
      </c>
      <c r="N5" s="19"/>
      <c r="O5" s="56">
        <f>O3/$O$3</f>
        <v>1</v>
      </c>
      <c r="P5" s="56">
        <f t="shared" ref="P5:Q5" si="0">P3/$O$3</f>
        <v>0.91626029931057673</v>
      </c>
      <c r="Q5" s="56">
        <f t="shared" si="0"/>
        <v>0.9413822095174037</v>
      </c>
      <c r="R5" s="19"/>
      <c r="S5" s="19"/>
      <c r="T5" s="56">
        <f>T3/$T$3</f>
        <v>1</v>
      </c>
      <c r="U5" s="56">
        <f t="shared" ref="U5:V5" si="1">U3/$T$3</f>
        <v>0.96677636734054229</v>
      </c>
      <c r="V5" s="56">
        <f t="shared" si="1"/>
        <v>0.97674345713837962</v>
      </c>
      <c r="W5" s="19"/>
      <c r="X5" s="19"/>
    </row>
    <row r="6" spans="1:24">
      <c r="A6" s="34">
        <v>2013</v>
      </c>
      <c r="C6" s="38"/>
      <c r="D6" s="38"/>
      <c r="G6" s="38">
        <f t="shared" ref="G6:G33" si="2">I6/K6-1</f>
        <v>-1.2946098049881893E-4</v>
      </c>
      <c r="H6" s="38">
        <f t="shared" ref="H6:H33" si="3">J6/L6-1</f>
        <v>-2.2723987040351723E-3</v>
      </c>
      <c r="I6" s="35">
        <v>72962347</v>
      </c>
      <c r="J6" s="35">
        <v>31897972</v>
      </c>
      <c r="K6" s="35">
        <v>72971794</v>
      </c>
      <c r="L6" s="35">
        <v>31970622</v>
      </c>
    </row>
    <row r="7" spans="1:24">
      <c r="A7" s="34">
        <v>2014</v>
      </c>
      <c r="C7" s="38"/>
      <c r="D7" s="38"/>
      <c r="G7" s="38">
        <f t="shared" si="2"/>
        <v>2.676499246467845E-4</v>
      </c>
      <c r="H7" s="38">
        <f t="shared" si="3"/>
        <v>-2.4152594481275935E-3</v>
      </c>
      <c r="I7" s="35">
        <v>71844389</v>
      </c>
      <c r="J7" s="35">
        <v>32999780</v>
      </c>
      <c r="K7" s="35">
        <v>71825165</v>
      </c>
      <c r="L7" s="35">
        <v>33079676</v>
      </c>
      <c r="M7" s="35"/>
      <c r="N7" s="35"/>
      <c r="O7" s="35"/>
    </row>
    <row r="8" spans="1:24">
      <c r="A8" s="34">
        <v>2015</v>
      </c>
      <c r="C8" s="38"/>
      <c r="D8" s="38"/>
      <c r="G8" s="38">
        <f t="shared" si="2"/>
        <v>4.8229201920229059E-3</v>
      </c>
      <c r="H8" s="38">
        <f t="shared" si="3"/>
        <v>-2.4711746363307308E-3</v>
      </c>
      <c r="I8" s="35">
        <v>71227144</v>
      </c>
      <c r="J8" s="35">
        <v>33867969</v>
      </c>
      <c r="K8" s="35">
        <v>70885270</v>
      </c>
      <c r="L8" s="35">
        <v>33951870</v>
      </c>
      <c r="M8" s="35"/>
      <c r="N8" s="35"/>
      <c r="O8" s="35"/>
    </row>
    <row r="9" spans="1:24">
      <c r="A9" s="34">
        <v>2016</v>
      </c>
      <c r="C9" s="38"/>
      <c r="D9" s="38"/>
      <c r="G9" s="38">
        <f t="shared" si="2"/>
        <v>6.4673074132965969E-3</v>
      </c>
      <c r="H9" s="38">
        <f t="shared" si="3"/>
        <v>-1.432092562694276E-3</v>
      </c>
      <c r="I9" s="35">
        <v>70522039</v>
      </c>
      <c r="J9" s="35">
        <v>34590611</v>
      </c>
      <c r="K9" s="35">
        <v>70068882</v>
      </c>
      <c r="L9" s="35">
        <v>34640219</v>
      </c>
      <c r="M9" s="35"/>
      <c r="N9" s="35"/>
      <c r="O9" s="35"/>
    </row>
    <row r="10" spans="1:24">
      <c r="A10" s="34">
        <v>2017</v>
      </c>
      <c r="C10" s="40"/>
      <c r="D10" s="40"/>
      <c r="G10" s="38">
        <f t="shared" si="2"/>
        <v>6.2281097460417101E-3</v>
      </c>
      <c r="H10" s="38">
        <f t="shared" si="3"/>
        <v>-5.4487328526930945E-4</v>
      </c>
      <c r="I10" s="35">
        <v>69812873</v>
      </c>
      <c r="J10" s="35">
        <v>35163322</v>
      </c>
      <c r="K10" s="35">
        <v>69380762</v>
      </c>
      <c r="L10" s="35">
        <v>35182492</v>
      </c>
      <c r="M10" s="35"/>
      <c r="N10" s="35"/>
      <c r="O10" s="35"/>
    </row>
    <row r="11" spans="1:24">
      <c r="A11" s="34">
        <v>2018</v>
      </c>
      <c r="B11" s="160">
        <f>G11-$G$11</f>
        <v>0</v>
      </c>
      <c r="C11" s="160">
        <f t="shared" ref="C11:C33" si="4">G11-$G$11</f>
        <v>0</v>
      </c>
      <c r="D11" s="160">
        <f>H11-$H$11</f>
        <v>0</v>
      </c>
      <c r="G11" s="38">
        <f t="shared" si="2"/>
        <v>6.9760022864446825E-3</v>
      </c>
      <c r="H11" s="38">
        <f t="shared" si="3"/>
        <v>3.0003596217564876E-4</v>
      </c>
      <c r="I11" s="35">
        <v>69281976</v>
      </c>
      <c r="J11" s="35">
        <v>35606413</v>
      </c>
      <c r="K11" s="35">
        <v>68802013</v>
      </c>
      <c r="L11" s="35">
        <v>35595733</v>
      </c>
      <c r="M11" s="35"/>
      <c r="N11" s="35"/>
      <c r="O11" s="35"/>
    </row>
    <row r="12" spans="1:24">
      <c r="A12" s="34">
        <v>2019</v>
      </c>
      <c r="B12" s="160">
        <f t="shared" ref="B12:B20" si="5">(1+G12-$G$11)*$X$4^((A12-$A$11)/9)-1</f>
        <v>4.9150126958588114E-3</v>
      </c>
      <c r="C12" s="160">
        <f t="shared" si="4"/>
        <v>8.0609768470663035E-4</v>
      </c>
      <c r="D12" s="160">
        <f t="shared" ref="D12:D33" si="6">H12-$H$11</f>
        <v>7.8252730481009891E-4</v>
      </c>
      <c r="G12" s="38">
        <f t="shared" si="2"/>
        <v>7.7820999711513128E-3</v>
      </c>
      <c r="H12" s="38">
        <f t="shared" si="3"/>
        <v>1.0825632669857477E-3</v>
      </c>
      <c r="I12" s="35">
        <v>68843376</v>
      </c>
      <c r="J12" s="35">
        <v>35915726</v>
      </c>
      <c r="K12" s="35">
        <v>68311767</v>
      </c>
      <c r="L12" s="35">
        <v>35876887</v>
      </c>
      <c r="M12" s="35"/>
      <c r="N12" s="35"/>
      <c r="O12" s="35"/>
    </row>
    <row r="13" spans="1:24">
      <c r="A13" s="34">
        <v>2020</v>
      </c>
      <c r="B13" s="160">
        <f t="shared" si="5"/>
        <v>9.8451975015962923E-3</v>
      </c>
      <c r="C13" s="160">
        <f t="shared" si="4"/>
        <v>1.6039332507784554E-3</v>
      </c>
      <c r="D13" s="160">
        <f t="shared" si="6"/>
        <v>1.587140703936285E-3</v>
      </c>
      <c r="G13" s="38">
        <f t="shared" si="2"/>
        <v>8.5799355372231378E-3</v>
      </c>
      <c r="H13" s="38">
        <f t="shared" si="3"/>
        <v>1.8871766661119338E-3</v>
      </c>
      <c r="I13" s="35">
        <v>68412444</v>
      </c>
      <c r="J13" s="35">
        <v>36191976</v>
      </c>
      <c r="K13" s="35">
        <v>67830463</v>
      </c>
      <c r="L13" s="35">
        <v>36123804</v>
      </c>
      <c r="M13" s="35"/>
      <c r="N13" s="35"/>
      <c r="O13" s="35"/>
    </row>
    <row r="14" spans="1:24">
      <c r="A14" s="34">
        <v>2021</v>
      </c>
      <c r="B14" s="160">
        <f t="shared" si="5"/>
        <v>1.457351087121439E-2</v>
      </c>
      <c r="C14" s="160">
        <f t="shared" si="4"/>
        <v>2.1791071942940388E-3</v>
      </c>
      <c r="D14" s="160">
        <f t="shared" si="6"/>
        <v>2.3631275470530344E-3</v>
      </c>
      <c r="G14" s="38">
        <f t="shared" si="2"/>
        <v>9.1551094807387212E-3</v>
      </c>
      <c r="H14" s="38">
        <f t="shared" si="3"/>
        <v>2.6631635092286832E-3</v>
      </c>
      <c r="I14" s="35">
        <v>68012383</v>
      </c>
      <c r="J14" s="35">
        <v>36386193</v>
      </c>
      <c r="K14" s="35">
        <v>67395371</v>
      </c>
      <c r="L14" s="35">
        <v>36289548</v>
      </c>
      <c r="M14" s="35"/>
      <c r="N14" s="35"/>
      <c r="O14" s="35"/>
    </row>
    <row r="15" spans="1:24">
      <c r="A15" s="34">
        <v>2022</v>
      </c>
      <c r="B15" s="160">
        <f t="shared" si="5"/>
        <v>1.9345767502791933E-2</v>
      </c>
      <c r="C15" s="160">
        <f t="shared" si="4"/>
        <v>2.7760612767400161E-3</v>
      </c>
      <c r="D15" s="160">
        <f t="shared" si="6"/>
        <v>3.0616354061037132E-3</v>
      </c>
      <c r="G15" s="38">
        <f t="shared" si="2"/>
        <v>9.7520635631846986E-3</v>
      </c>
      <c r="H15" s="38">
        <f t="shared" si="3"/>
        <v>3.361671368279362E-3</v>
      </c>
      <c r="I15" s="35">
        <v>67675416</v>
      </c>
      <c r="J15" s="35">
        <v>36478538</v>
      </c>
      <c r="K15" s="35">
        <v>67021815</v>
      </c>
      <c r="L15" s="35">
        <v>36356320</v>
      </c>
      <c r="M15" s="35"/>
      <c r="N15" s="35"/>
      <c r="O15" s="35"/>
    </row>
    <row r="16" spans="1:24">
      <c r="A16" s="34">
        <v>2023</v>
      </c>
      <c r="B16" s="160">
        <f t="shared" si="5"/>
        <v>2.4104173382727634E-2</v>
      </c>
      <c r="C16" s="160">
        <f t="shared" si="4"/>
        <v>3.3378089264042288E-3</v>
      </c>
      <c r="D16" s="160">
        <f t="shared" si="6"/>
        <v>3.7505556356893788E-3</v>
      </c>
      <c r="F16" s="47" t="s">
        <v>154</v>
      </c>
      <c r="G16" s="38">
        <f t="shared" si="2"/>
        <v>1.0313811212848911E-2</v>
      </c>
      <c r="H16" s="38">
        <f t="shared" si="3"/>
        <v>4.0505915978650275E-3</v>
      </c>
      <c r="I16" s="35">
        <v>67270362</v>
      </c>
      <c r="J16" s="35">
        <v>36583995</v>
      </c>
      <c r="K16" s="35">
        <v>66583631</v>
      </c>
      <c r="L16" s="35">
        <v>36436406</v>
      </c>
      <c r="M16" s="35"/>
      <c r="N16" s="35"/>
      <c r="O16" s="35"/>
    </row>
    <row r="17" spans="1:15">
      <c r="A17" s="34">
        <v>2024</v>
      </c>
      <c r="B17" s="160">
        <f t="shared" si="5"/>
        <v>2.8865780965768861E-2</v>
      </c>
      <c r="C17" s="160">
        <f t="shared" si="4"/>
        <v>3.8813219149071987E-3</v>
      </c>
      <c r="D17" s="160">
        <f t="shared" si="6"/>
        <v>4.4657103205956172E-3</v>
      </c>
      <c r="F17" s="47" t="s">
        <v>140</v>
      </c>
      <c r="G17" s="38">
        <f t="shared" si="2"/>
        <v>1.0857324201351881E-2</v>
      </c>
      <c r="H17" s="38">
        <f t="shared" si="3"/>
        <v>4.765746282771266E-3</v>
      </c>
      <c r="I17" s="35">
        <v>66811326</v>
      </c>
      <c r="J17" s="35">
        <v>36703521</v>
      </c>
      <c r="K17" s="35">
        <v>66093725</v>
      </c>
      <c r="L17" s="35">
        <v>36529431</v>
      </c>
      <c r="M17" s="35"/>
      <c r="N17" s="35"/>
      <c r="O17" s="35"/>
    </row>
    <row r="18" spans="1:15">
      <c r="A18" s="34">
        <v>2025</v>
      </c>
      <c r="B18" s="160">
        <f t="shared" si="5"/>
        <v>3.3746419752559209E-2</v>
      </c>
      <c r="C18" s="160">
        <f t="shared" si="4"/>
        <v>4.5192818441892602E-3</v>
      </c>
      <c r="D18" s="160">
        <f t="shared" si="6"/>
        <v>5.0963593720620981E-3</v>
      </c>
      <c r="F18" s="47" t="s">
        <v>77</v>
      </c>
      <c r="G18" s="38">
        <f t="shared" si="2"/>
        <v>1.1495284130633943E-2</v>
      </c>
      <c r="H18" s="38">
        <f t="shared" si="3"/>
        <v>5.3963953342377469E-3</v>
      </c>
      <c r="I18" s="35">
        <v>66347435</v>
      </c>
      <c r="J18" s="35">
        <v>36770853</v>
      </c>
      <c r="K18" s="35">
        <v>65593420</v>
      </c>
      <c r="L18" s="35">
        <v>36573488</v>
      </c>
      <c r="M18" s="35"/>
      <c r="N18" s="35"/>
      <c r="O18" s="35"/>
    </row>
    <row r="19" spans="1:15">
      <c r="A19" s="34">
        <v>2026</v>
      </c>
      <c r="B19" s="160">
        <f t="shared" si="5"/>
        <v>3.85673359316836E-2</v>
      </c>
      <c r="C19" s="160">
        <f t="shared" si="4"/>
        <v>5.0774446650347915E-3</v>
      </c>
      <c r="D19" s="160">
        <f t="shared" si="6"/>
        <v>5.7466620227923926E-3</v>
      </c>
      <c r="G19" s="38">
        <f t="shared" si="2"/>
        <v>1.2053446951479474E-2</v>
      </c>
      <c r="H19" s="38">
        <f t="shared" si="3"/>
        <v>6.0466979849680413E-3</v>
      </c>
      <c r="I19" s="35">
        <v>65896485</v>
      </c>
      <c r="J19" s="35">
        <v>36805146</v>
      </c>
      <c r="K19" s="35">
        <v>65111665</v>
      </c>
      <c r="L19" s="35">
        <v>36583934</v>
      </c>
      <c r="M19" s="35"/>
      <c r="N19" s="35"/>
      <c r="O19" s="35"/>
    </row>
    <row r="20" spans="1:15">
      <c r="A20" s="34">
        <v>2027</v>
      </c>
      <c r="B20" s="160">
        <f t="shared" si="5"/>
        <v>4.3443904859450377E-2</v>
      </c>
      <c r="C20" s="160">
        <f t="shared" si="4"/>
        <v>5.6678869822139877E-3</v>
      </c>
      <c r="D20" s="160">
        <f t="shared" si="6"/>
        <v>6.3503831476268147E-3</v>
      </c>
      <c r="G20" s="38">
        <f t="shared" si="2"/>
        <v>1.264388926865867E-2</v>
      </c>
      <c r="H20" s="38">
        <f t="shared" si="3"/>
        <v>6.6504191098024634E-3</v>
      </c>
      <c r="I20" s="35">
        <v>65435116</v>
      </c>
      <c r="J20" s="35">
        <v>36840478</v>
      </c>
      <c r="K20" s="35">
        <v>64618092</v>
      </c>
      <c r="L20" s="35">
        <v>36597092</v>
      </c>
      <c r="M20" s="35"/>
      <c r="N20" s="35"/>
      <c r="O20" s="35"/>
    </row>
    <row r="21" spans="1:15">
      <c r="A21" s="34">
        <v>2028</v>
      </c>
      <c r="B21" s="160">
        <f>(1+G21-$G$11)*$X$4^(($A$20-$A$11)/9)-1</f>
        <v>4.4133941064520954E-2</v>
      </c>
      <c r="C21" s="160">
        <f t="shared" si="4"/>
        <v>6.3329416622621704E-3</v>
      </c>
      <c r="D21" s="160">
        <f t="shared" si="6"/>
        <v>6.9425177108246583E-3</v>
      </c>
      <c r="G21" s="38">
        <f t="shared" si="2"/>
        <v>1.3308943948706853E-2</v>
      </c>
      <c r="H21" s="38">
        <f t="shared" si="3"/>
        <v>7.2425536730003071E-3</v>
      </c>
      <c r="I21" s="35">
        <v>64935949</v>
      </c>
      <c r="J21" s="35">
        <v>36905344</v>
      </c>
      <c r="K21" s="35">
        <v>64083071</v>
      </c>
      <c r="L21" s="35">
        <v>36639977</v>
      </c>
      <c r="M21" s="35"/>
      <c r="N21" s="35"/>
      <c r="O21" s="35"/>
    </row>
    <row r="22" spans="1:15">
      <c r="A22" s="34">
        <v>2029</v>
      </c>
      <c r="B22" s="160">
        <f t="shared" ref="B22:B33" si="7">(1+G22-$G$11)*$X$4^(($A$20-$A$11)/9)-1</f>
        <v>4.4965854988560094E-2</v>
      </c>
      <c r="C22" s="160">
        <f t="shared" si="4"/>
        <v>7.1347376325516798E-3</v>
      </c>
      <c r="D22" s="160">
        <f t="shared" si="6"/>
        <v>7.5726667656756952E-3</v>
      </c>
      <c r="G22" s="38">
        <f t="shared" si="2"/>
        <v>1.4110739918996362E-2</v>
      </c>
      <c r="H22" s="38">
        <f t="shared" si="3"/>
        <v>7.872702727851344E-3</v>
      </c>
      <c r="I22" s="35">
        <v>64381372</v>
      </c>
      <c r="J22" s="35">
        <v>36989800</v>
      </c>
      <c r="K22" s="35">
        <v>63485544</v>
      </c>
      <c r="L22" s="35">
        <v>36700865</v>
      </c>
      <c r="M22" s="35"/>
      <c r="N22" s="35"/>
      <c r="O22" s="35"/>
    </row>
    <row r="23" spans="1:15">
      <c r="A23" s="34">
        <v>2030</v>
      </c>
      <c r="B23" s="160">
        <f t="shared" si="7"/>
        <v>4.5721393904183394E-2</v>
      </c>
      <c r="C23" s="160">
        <f t="shared" si="4"/>
        <v>7.8629236148255455E-3</v>
      </c>
      <c r="D23" s="160">
        <f t="shared" si="6"/>
        <v>8.1215176007209955E-3</v>
      </c>
      <c r="G23" s="38">
        <f t="shared" si="2"/>
        <v>1.4838925901270228E-2</v>
      </c>
      <c r="H23" s="38">
        <f t="shared" si="3"/>
        <v>8.4215535628966443E-3</v>
      </c>
      <c r="I23" s="35">
        <v>63716049</v>
      </c>
      <c r="J23" s="35">
        <v>37159586</v>
      </c>
      <c r="K23" s="35">
        <v>62784396</v>
      </c>
      <c r="L23" s="35">
        <v>36849258</v>
      </c>
      <c r="M23" s="35"/>
      <c r="N23" s="35"/>
      <c r="O23" s="35"/>
    </row>
    <row r="24" spans="1:15">
      <c r="A24" s="34">
        <v>2031</v>
      </c>
      <c r="B24" s="160">
        <f t="shared" si="7"/>
        <v>4.621782705762234E-2</v>
      </c>
      <c r="C24" s="160">
        <f t="shared" si="4"/>
        <v>8.3413842950037509E-3</v>
      </c>
      <c r="D24" s="160">
        <f t="shared" si="6"/>
        <v>8.626315773309523E-3</v>
      </c>
      <c r="G24" s="38">
        <f t="shared" si="2"/>
        <v>1.5317386581448433E-2</v>
      </c>
      <c r="H24" s="38">
        <f t="shared" si="3"/>
        <v>8.9263517354851718E-3</v>
      </c>
      <c r="I24" s="35">
        <v>63363234</v>
      </c>
      <c r="J24" s="35">
        <v>36999893</v>
      </c>
      <c r="K24" s="35">
        <v>62407317</v>
      </c>
      <c r="L24" s="35">
        <v>36672541</v>
      </c>
      <c r="M24" s="35"/>
      <c r="N24" s="35"/>
      <c r="O24" s="35"/>
    </row>
    <row r="25" spans="1:15">
      <c r="A25" s="34">
        <v>2032</v>
      </c>
      <c r="B25" s="160">
        <f t="shared" si="7"/>
        <v>4.6823581352294585E-2</v>
      </c>
      <c r="C25" s="160">
        <f t="shared" si="4"/>
        <v>8.9252083402795446E-3</v>
      </c>
      <c r="D25" s="160">
        <f t="shared" si="6"/>
        <v>9.1925995243125058E-3</v>
      </c>
      <c r="G25" s="38">
        <f t="shared" si="2"/>
        <v>1.5901210626724227E-2</v>
      </c>
      <c r="H25" s="38">
        <f t="shared" si="3"/>
        <v>9.4926354864881546E-3</v>
      </c>
      <c r="I25" s="35">
        <v>62612572</v>
      </c>
      <c r="J25" s="35">
        <v>37197292</v>
      </c>
      <c r="K25" s="35">
        <v>61632540</v>
      </c>
      <c r="L25" s="35">
        <v>36847512</v>
      </c>
      <c r="M25" s="35"/>
      <c r="N25" s="35"/>
      <c r="O25" s="35"/>
    </row>
    <row r="26" spans="1:15">
      <c r="A26" s="34">
        <v>2033</v>
      </c>
      <c r="B26" s="160">
        <f t="shared" si="7"/>
        <v>4.7662597271357798E-2</v>
      </c>
      <c r="C26" s="160">
        <f t="shared" si="4"/>
        <v>9.7338491905822888E-3</v>
      </c>
      <c r="D26" s="160">
        <f t="shared" si="6"/>
        <v>9.6727306574810878E-3</v>
      </c>
      <c r="G26" s="38">
        <f t="shared" si="2"/>
        <v>1.6709851477026971E-2</v>
      </c>
      <c r="H26" s="38">
        <f t="shared" si="3"/>
        <v>9.9727666196567366E-3</v>
      </c>
      <c r="I26" s="35">
        <v>61856301</v>
      </c>
      <c r="J26" s="35">
        <v>37382526</v>
      </c>
      <c r="K26" s="35">
        <v>60839679</v>
      </c>
      <c r="L26" s="35">
        <v>37013400</v>
      </c>
      <c r="M26" s="35"/>
      <c r="N26" s="35"/>
      <c r="O26" s="35"/>
    </row>
    <row r="27" spans="1:15">
      <c r="A27" s="34">
        <v>2034</v>
      </c>
      <c r="B27" s="160">
        <f t="shared" si="7"/>
        <v>4.8250659686466912E-2</v>
      </c>
      <c r="C27" s="160">
        <f t="shared" si="4"/>
        <v>1.0300621859110404E-2</v>
      </c>
      <c r="D27" s="160">
        <f t="shared" si="6"/>
        <v>1.0157522365749294E-2</v>
      </c>
      <c r="G27" s="38">
        <f t="shared" si="2"/>
        <v>1.7276624145555086E-2</v>
      </c>
      <c r="H27" s="38">
        <f t="shared" si="3"/>
        <v>1.0457558327924943E-2</v>
      </c>
      <c r="I27" s="35">
        <v>61028622</v>
      </c>
      <c r="J27" s="35">
        <v>37592290</v>
      </c>
      <c r="K27" s="35">
        <v>59992160</v>
      </c>
      <c r="L27" s="35">
        <v>37203235</v>
      </c>
      <c r="M27" s="35"/>
      <c r="N27" s="35"/>
      <c r="O27" s="35"/>
    </row>
    <row r="28" spans="1:15">
      <c r="A28" s="34">
        <v>2035</v>
      </c>
      <c r="B28" s="160">
        <f t="shared" si="7"/>
        <v>4.906889312981555E-2</v>
      </c>
      <c r="C28" s="160">
        <f t="shared" si="4"/>
        <v>1.108923262601258E-2</v>
      </c>
      <c r="D28" s="160">
        <f t="shared" si="6"/>
        <v>1.0645028302356918E-2</v>
      </c>
      <c r="G28" s="38">
        <f t="shared" si="2"/>
        <v>1.8065234912457262E-2</v>
      </c>
      <c r="H28" s="38">
        <f t="shared" si="3"/>
        <v>1.0945064264532567E-2</v>
      </c>
      <c r="I28" s="35">
        <v>60163858</v>
      </c>
      <c r="J28" s="35">
        <v>37816605</v>
      </c>
      <c r="K28" s="35">
        <v>59096270</v>
      </c>
      <c r="L28" s="35">
        <v>37407181</v>
      </c>
      <c r="M28" s="35"/>
      <c r="N28" s="35"/>
      <c r="O28" s="35"/>
    </row>
    <row r="29" spans="1:15">
      <c r="A29" s="34">
        <v>2036</v>
      </c>
      <c r="B29" s="160">
        <f t="shared" si="7"/>
        <v>5.0973100924333714E-2</v>
      </c>
      <c r="C29" s="160">
        <f t="shared" si="4"/>
        <v>1.2924501987565895E-2</v>
      </c>
      <c r="D29" s="160">
        <f t="shared" si="6"/>
        <v>1.1212049271859703E-2</v>
      </c>
      <c r="G29" s="38">
        <f t="shared" si="2"/>
        <v>1.9900504274010578E-2</v>
      </c>
      <c r="H29" s="38">
        <f t="shared" si="3"/>
        <v>1.1512085234035352E-2</v>
      </c>
      <c r="I29" s="35">
        <v>59284494</v>
      </c>
      <c r="J29" s="35">
        <v>38084220</v>
      </c>
      <c r="K29" s="35">
        <v>58127723</v>
      </c>
      <c r="L29" s="35">
        <v>37650781</v>
      </c>
      <c r="M29" s="35"/>
      <c r="N29" s="35"/>
      <c r="O29" s="35"/>
    </row>
    <row r="30" spans="1:15">
      <c r="A30" s="34">
        <v>2037</v>
      </c>
      <c r="B30" s="160">
        <f t="shared" si="7"/>
        <v>5.2902999364051295E-2</v>
      </c>
      <c r="C30" s="160">
        <f t="shared" si="4"/>
        <v>1.4784531910518428E-2</v>
      </c>
      <c r="D30" s="160">
        <f t="shared" si="6"/>
        <v>1.1823893508405625E-2</v>
      </c>
      <c r="G30" s="38">
        <f t="shared" si="2"/>
        <v>2.1760534196963111E-2</v>
      </c>
      <c r="H30" s="38">
        <f t="shared" si="3"/>
        <v>1.2123929470581274E-2</v>
      </c>
      <c r="I30" s="35">
        <v>58334098</v>
      </c>
      <c r="J30" s="35">
        <v>38391226</v>
      </c>
      <c r="K30" s="35">
        <v>57091751</v>
      </c>
      <c r="L30" s="35">
        <v>37931349</v>
      </c>
      <c r="M30" s="35"/>
      <c r="N30" s="35"/>
      <c r="O30" s="35"/>
    </row>
    <row r="31" spans="1:15">
      <c r="A31" s="34">
        <v>2038</v>
      </c>
      <c r="B31" s="160">
        <f t="shared" si="7"/>
        <v>5.4918251206359292E-2</v>
      </c>
      <c r="C31" s="160">
        <f t="shared" si="4"/>
        <v>1.6726825168979609E-2</v>
      </c>
      <c r="D31" s="160">
        <f t="shared" si="6"/>
        <v>1.2372409494085135E-2</v>
      </c>
      <c r="G31" s="38">
        <f t="shared" si="2"/>
        <v>2.3702827455424291E-2</v>
      </c>
      <c r="H31" s="38">
        <f t="shared" si="3"/>
        <v>1.2672445456260784E-2</v>
      </c>
      <c r="I31" s="35">
        <v>57328769</v>
      </c>
      <c r="J31" s="35">
        <v>38723850</v>
      </c>
      <c r="K31" s="35">
        <v>56001378</v>
      </c>
      <c r="L31" s="35">
        <v>38239265</v>
      </c>
      <c r="M31" s="35"/>
      <c r="N31" s="35"/>
      <c r="O31" s="35"/>
    </row>
    <row r="32" spans="1:15">
      <c r="A32" s="34">
        <v>2039</v>
      </c>
      <c r="B32" s="160">
        <f t="shared" si="7"/>
        <v>5.6945697472311485E-2</v>
      </c>
      <c r="C32" s="160">
        <f t="shared" si="4"/>
        <v>1.8680871373815799E-2</v>
      </c>
      <c r="D32" s="160">
        <f t="shared" si="6"/>
        <v>1.2905851317943862E-2</v>
      </c>
      <c r="G32" s="38">
        <f t="shared" si="2"/>
        <v>2.5656873660260482E-2</v>
      </c>
      <c r="H32" s="38">
        <f t="shared" si="3"/>
        <v>1.320588728011951E-2</v>
      </c>
      <c r="I32" s="35">
        <v>56336451</v>
      </c>
      <c r="J32" s="35">
        <v>39016432</v>
      </c>
      <c r="K32" s="35">
        <v>54927191</v>
      </c>
      <c r="L32" s="35">
        <v>38507901</v>
      </c>
      <c r="M32" s="35"/>
      <c r="N32" s="35"/>
      <c r="O32" s="35"/>
    </row>
    <row r="33" spans="1:15">
      <c r="A33" s="34">
        <v>2040</v>
      </c>
      <c r="B33" s="160">
        <f t="shared" si="7"/>
        <v>5.9055625153997537E-2</v>
      </c>
      <c r="C33" s="160">
        <f t="shared" si="4"/>
        <v>2.0714412902444801E-2</v>
      </c>
      <c r="D33" s="160">
        <f t="shared" si="6"/>
        <v>1.3341042228297129E-2</v>
      </c>
      <c r="G33" s="38">
        <f t="shared" si="2"/>
        <v>2.7690415188889483E-2</v>
      </c>
      <c r="H33" s="38">
        <f t="shared" si="3"/>
        <v>1.3641078190472777E-2</v>
      </c>
      <c r="I33" s="35">
        <v>55426050</v>
      </c>
      <c r="J33" s="35">
        <v>39205712</v>
      </c>
      <c r="K33" s="35">
        <v>53932633</v>
      </c>
      <c r="L33" s="35">
        <v>38678101</v>
      </c>
      <c r="M33" s="35"/>
      <c r="N33" s="35"/>
      <c r="O33" s="35"/>
    </row>
    <row r="34" spans="1:15">
      <c r="G34" s="38"/>
      <c r="H34" s="40"/>
      <c r="I34" s="40"/>
      <c r="J34" s="38"/>
      <c r="K34" s="38"/>
      <c r="L34" s="35"/>
      <c r="M34" s="35"/>
      <c r="N34" s="35"/>
      <c r="O34" s="35"/>
    </row>
    <row r="35" spans="1:15">
      <c r="G35" s="38"/>
      <c r="H35" s="40"/>
      <c r="I35" s="40"/>
      <c r="J35" s="38"/>
      <c r="K35" s="38"/>
      <c r="L35" s="35"/>
      <c r="M35" s="35"/>
      <c r="N35" s="35"/>
      <c r="O35" s="35"/>
    </row>
  </sheetData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W3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5" width="9" style="34"/>
    <col min="6" max="6" width="1.75" style="34" customWidth="1"/>
    <col min="7" max="10" width="9" style="34"/>
    <col min="11" max="11" width="0.875" style="34" customWidth="1"/>
    <col min="12" max="15" width="9" style="34"/>
    <col min="16" max="16" width="3.25" style="34" customWidth="1"/>
    <col min="17" max="20" width="7.75" style="34" customWidth="1"/>
    <col min="21" max="21" width="9" style="34"/>
    <col min="22" max="22" width="2.125" style="34" customWidth="1"/>
    <col min="23" max="23" width="7.75" style="34" customWidth="1"/>
    <col min="24" max="16384" width="9" style="34"/>
  </cols>
  <sheetData>
    <row r="1" spans="1:23">
      <c r="A1" s="34" t="s">
        <v>9</v>
      </c>
      <c r="Q1" s="209"/>
      <c r="R1" s="209"/>
    </row>
    <row r="2" spans="1:23">
      <c r="B2" s="34" t="s">
        <v>67</v>
      </c>
      <c r="G2" s="34" t="s">
        <v>78</v>
      </c>
      <c r="L2" s="34" t="s">
        <v>2</v>
      </c>
      <c r="Q2" s="209" t="s">
        <v>70</v>
      </c>
      <c r="R2" s="209"/>
      <c r="S2" s="209"/>
      <c r="T2" s="209"/>
    </row>
    <row r="3" spans="1:23">
      <c r="B3" s="34" t="s">
        <v>89</v>
      </c>
      <c r="D3" s="34" t="s">
        <v>170</v>
      </c>
      <c r="F3" s="49"/>
      <c r="G3" s="34" t="s">
        <v>89</v>
      </c>
      <c r="I3" s="34" t="s">
        <v>170</v>
      </c>
      <c r="L3" s="34" t="s">
        <v>89</v>
      </c>
      <c r="N3" s="34" t="s">
        <v>170</v>
      </c>
      <c r="Q3" s="209" t="s">
        <v>71</v>
      </c>
      <c r="R3" s="209"/>
      <c r="S3" s="209" t="s">
        <v>72</v>
      </c>
      <c r="T3" s="209"/>
      <c r="U3" s="49" t="s">
        <v>95</v>
      </c>
      <c r="W3" s="34" t="s">
        <v>95</v>
      </c>
    </row>
    <row r="4" spans="1:23">
      <c r="B4" s="49" t="s">
        <v>81</v>
      </c>
      <c r="C4" s="49" t="s">
        <v>1</v>
      </c>
      <c r="D4" s="49" t="s">
        <v>81</v>
      </c>
      <c r="E4" s="49" t="s">
        <v>1</v>
      </c>
      <c r="F4" s="49"/>
      <c r="G4" s="49" t="s">
        <v>81</v>
      </c>
      <c r="H4" s="49" t="s">
        <v>1</v>
      </c>
      <c r="I4" s="49" t="s">
        <v>81</v>
      </c>
      <c r="J4" s="49" t="s">
        <v>1</v>
      </c>
      <c r="K4" s="49"/>
      <c r="L4" s="49" t="s">
        <v>81</v>
      </c>
      <c r="M4" s="49" t="s">
        <v>1</v>
      </c>
      <c r="N4" s="49" t="s">
        <v>81</v>
      </c>
      <c r="O4" s="49" t="s">
        <v>1</v>
      </c>
      <c r="Q4" s="49" t="s">
        <v>73</v>
      </c>
      <c r="R4" s="49" t="s">
        <v>1</v>
      </c>
      <c r="S4" s="49" t="s">
        <v>73</v>
      </c>
      <c r="T4" s="49" t="s">
        <v>1</v>
      </c>
      <c r="W4" s="34" t="s">
        <v>79</v>
      </c>
    </row>
    <row r="5" spans="1:23">
      <c r="A5" s="34">
        <v>2007</v>
      </c>
      <c r="B5" s="163">
        <f>経済前提!G5</f>
        <v>0</v>
      </c>
      <c r="C5" s="163">
        <f>経済前提!H5</f>
        <v>0</v>
      </c>
      <c r="D5" s="163">
        <f>経済前提!G46</f>
        <v>0</v>
      </c>
      <c r="E5" s="163">
        <f>経済前提!H46</f>
        <v>0</v>
      </c>
      <c r="F5" s="163"/>
      <c r="G5" s="163">
        <f>基礎年金拠出金の計算!K5</f>
        <v>1</v>
      </c>
      <c r="H5" s="163">
        <f>基礎年金拠出金の計算!L5</f>
        <v>1</v>
      </c>
      <c r="I5" s="163">
        <f>基礎年金拠出金の計算!M5</f>
        <v>1</v>
      </c>
      <c r="J5" s="163">
        <f>基礎年金拠出金の計算!N5</f>
        <v>1</v>
      </c>
      <c r="K5" s="163"/>
      <c r="L5" s="163">
        <v>1</v>
      </c>
      <c r="M5" s="163">
        <v>1</v>
      </c>
      <c r="N5" s="163">
        <v>1</v>
      </c>
      <c r="O5" s="163">
        <v>1</v>
      </c>
      <c r="P5" s="163"/>
      <c r="Q5" s="163"/>
      <c r="R5" s="163"/>
      <c r="S5" s="163"/>
      <c r="T5" s="163"/>
      <c r="U5" s="163"/>
      <c r="V5" s="163"/>
      <c r="W5" s="163"/>
    </row>
    <row r="6" spans="1:23">
      <c r="A6" s="34">
        <f>A5+1</f>
        <v>2008</v>
      </c>
      <c r="B6" s="163">
        <f>経済前提!G6</f>
        <v>0</v>
      </c>
      <c r="C6" s="163">
        <f>経済前提!H6</f>
        <v>0</v>
      </c>
      <c r="D6" s="163">
        <f>経済前提!G47</f>
        <v>0</v>
      </c>
      <c r="E6" s="163">
        <f>経済前提!H47</f>
        <v>0</v>
      </c>
      <c r="F6" s="163"/>
      <c r="G6" s="163">
        <f>基礎年金拠出金の計算!K6</f>
        <v>1</v>
      </c>
      <c r="H6" s="163">
        <f>基礎年金拠出金の計算!L6</f>
        <v>1</v>
      </c>
      <c r="I6" s="163">
        <f>基礎年金拠出金の計算!M6</f>
        <v>1</v>
      </c>
      <c r="J6" s="163">
        <f>基礎年金拠出金の計算!N6</f>
        <v>1</v>
      </c>
      <c r="K6" s="163"/>
      <c r="L6" s="163">
        <f>(G5*2+G6*10)/12</f>
        <v>1</v>
      </c>
      <c r="M6" s="163">
        <f>(H5*2+H6*10)/12</f>
        <v>1</v>
      </c>
      <c r="N6" s="163">
        <f>(I5*2+I6*10)/12</f>
        <v>1</v>
      </c>
      <c r="O6" s="163">
        <f t="shared" ref="O6:O38" si="0">(J5*2+J6*10)/12</f>
        <v>1</v>
      </c>
      <c r="P6" s="163"/>
      <c r="Q6" s="163"/>
      <c r="R6" s="163"/>
      <c r="S6" s="163"/>
      <c r="T6" s="163"/>
      <c r="U6" s="163"/>
      <c r="V6" s="163"/>
      <c r="W6" s="163"/>
    </row>
    <row r="7" spans="1:23">
      <c r="A7" s="34">
        <f t="shared" ref="A7:A38" si="1">A6+1</f>
        <v>2009</v>
      </c>
      <c r="B7" s="163">
        <f>経済前提!G7</f>
        <v>0</v>
      </c>
      <c r="C7" s="163">
        <f>経済前提!H7</f>
        <v>0</v>
      </c>
      <c r="D7" s="163">
        <f>経済前提!G48</f>
        <v>0</v>
      </c>
      <c r="E7" s="163">
        <f>経済前提!H48</f>
        <v>0</v>
      </c>
      <c r="F7" s="163"/>
      <c r="G7" s="163">
        <f>基礎年金拠出金の計算!K7</f>
        <v>1</v>
      </c>
      <c r="H7" s="163">
        <f>基礎年金拠出金の計算!L7</f>
        <v>1</v>
      </c>
      <c r="I7" s="163">
        <f>基礎年金拠出金の計算!M7</f>
        <v>1</v>
      </c>
      <c r="J7" s="163">
        <f>基礎年金拠出金の計算!N7</f>
        <v>1</v>
      </c>
      <c r="K7" s="163"/>
      <c r="L7" s="163">
        <f t="shared" ref="L7:N24" si="2">(G6*2+G7*10)/12</f>
        <v>1</v>
      </c>
      <c r="M7" s="163">
        <f t="shared" si="2"/>
        <v>1</v>
      </c>
      <c r="N7" s="163">
        <f t="shared" si="2"/>
        <v>1</v>
      </c>
      <c r="O7" s="163">
        <f t="shared" si="0"/>
        <v>1</v>
      </c>
      <c r="P7" s="163"/>
      <c r="Q7" s="163"/>
      <c r="R7" s="163"/>
      <c r="S7" s="163"/>
      <c r="T7" s="163"/>
      <c r="U7" s="163"/>
      <c r="V7" s="163"/>
      <c r="W7" s="163"/>
    </row>
    <row r="8" spans="1:23">
      <c r="A8" s="34">
        <f t="shared" si="1"/>
        <v>2010</v>
      </c>
      <c r="B8" s="163">
        <f>経済前提!G8</f>
        <v>0</v>
      </c>
      <c r="C8" s="163">
        <f>経済前提!H8</f>
        <v>0</v>
      </c>
      <c r="D8" s="163">
        <f>経済前提!G49</f>
        <v>0</v>
      </c>
      <c r="E8" s="163">
        <f>経済前提!H49</f>
        <v>0</v>
      </c>
      <c r="F8" s="163"/>
      <c r="G8" s="163">
        <f>基礎年金拠出金の計算!K8</f>
        <v>1</v>
      </c>
      <c r="H8" s="163">
        <f>基礎年金拠出金の計算!L8</f>
        <v>1</v>
      </c>
      <c r="I8" s="163">
        <f>基礎年金拠出金の計算!M8</f>
        <v>1</v>
      </c>
      <c r="J8" s="163">
        <f>基礎年金拠出金の計算!N8</f>
        <v>1</v>
      </c>
      <c r="K8" s="163"/>
      <c r="L8" s="163">
        <f t="shared" si="2"/>
        <v>1</v>
      </c>
      <c r="M8" s="163">
        <f t="shared" si="2"/>
        <v>1</v>
      </c>
      <c r="N8" s="163">
        <f t="shared" si="2"/>
        <v>1</v>
      </c>
      <c r="O8" s="163">
        <f t="shared" si="0"/>
        <v>1</v>
      </c>
      <c r="P8" s="163"/>
      <c r="Q8" s="163"/>
      <c r="R8" s="163"/>
      <c r="S8" s="163"/>
      <c r="T8" s="163"/>
      <c r="U8" s="163"/>
      <c r="V8" s="163"/>
      <c r="W8" s="163"/>
    </row>
    <row r="9" spans="1:23">
      <c r="A9" s="34">
        <f t="shared" si="1"/>
        <v>2011</v>
      </c>
      <c r="B9" s="163">
        <f>経済前提!G9</f>
        <v>0</v>
      </c>
      <c r="C9" s="163">
        <f>経済前提!H9</f>
        <v>0</v>
      </c>
      <c r="D9" s="163">
        <f>経済前提!G50</f>
        <v>0</v>
      </c>
      <c r="E9" s="163">
        <f>経済前提!H50</f>
        <v>0</v>
      </c>
      <c r="F9" s="163"/>
      <c r="G9" s="163">
        <f>基礎年金拠出金の計算!K9</f>
        <v>1</v>
      </c>
      <c r="H9" s="163">
        <f>基礎年金拠出金の計算!L9</f>
        <v>1</v>
      </c>
      <c r="I9" s="163">
        <f>基礎年金拠出金の計算!M9</f>
        <v>1</v>
      </c>
      <c r="J9" s="163">
        <f>基礎年金拠出金の計算!N9</f>
        <v>1</v>
      </c>
      <c r="K9" s="163"/>
      <c r="L9" s="163">
        <f t="shared" si="2"/>
        <v>1</v>
      </c>
      <c r="M9" s="163">
        <f t="shared" si="2"/>
        <v>1</v>
      </c>
      <c r="N9" s="163">
        <f t="shared" si="2"/>
        <v>1</v>
      </c>
      <c r="O9" s="163">
        <f t="shared" si="0"/>
        <v>1</v>
      </c>
      <c r="P9" s="163"/>
      <c r="Q9" s="163"/>
      <c r="R9" s="163"/>
      <c r="S9" s="163"/>
      <c r="T9" s="163"/>
      <c r="U9" s="163"/>
      <c r="V9" s="163"/>
      <c r="W9" s="163"/>
    </row>
    <row r="10" spans="1:23">
      <c r="A10" s="34">
        <f t="shared" si="1"/>
        <v>2012</v>
      </c>
      <c r="B10" s="163">
        <f>経済前提!G10</f>
        <v>0</v>
      </c>
      <c r="C10" s="163">
        <f>経済前提!H10</f>
        <v>0</v>
      </c>
      <c r="D10" s="163">
        <f>経済前提!G51</f>
        <v>0</v>
      </c>
      <c r="E10" s="163">
        <f>経済前提!H51</f>
        <v>0</v>
      </c>
      <c r="F10" s="163"/>
      <c r="G10" s="163">
        <f>基礎年金拠出金の計算!K10</f>
        <v>1</v>
      </c>
      <c r="H10" s="163">
        <f>基礎年金拠出金の計算!L10</f>
        <v>1</v>
      </c>
      <c r="I10" s="163">
        <f>基礎年金拠出金の計算!M10</f>
        <v>1</v>
      </c>
      <c r="J10" s="163">
        <f>基礎年金拠出金の計算!N10</f>
        <v>1</v>
      </c>
      <c r="K10" s="163"/>
      <c r="L10" s="163">
        <f t="shared" si="2"/>
        <v>1</v>
      </c>
      <c r="M10" s="163">
        <f t="shared" si="2"/>
        <v>1</v>
      </c>
      <c r="N10" s="163">
        <f t="shared" si="2"/>
        <v>1</v>
      </c>
      <c r="O10" s="163">
        <f t="shared" si="0"/>
        <v>1</v>
      </c>
      <c r="P10" s="163"/>
      <c r="Q10" s="206">
        <f t="shared" ref="Q10:Q38" si="3">L10/L9</f>
        <v>1</v>
      </c>
      <c r="R10" s="206">
        <f t="shared" ref="R10:R38" si="4">M10/M9</f>
        <v>1</v>
      </c>
      <c r="S10" s="206">
        <f t="shared" ref="S10:S38" si="5">N10/N9</f>
        <v>1</v>
      </c>
      <c r="T10" s="206">
        <f t="shared" ref="T10:T38" si="6">O10/O9</f>
        <v>1</v>
      </c>
      <c r="U10" s="46">
        <v>1.0029187129033932</v>
      </c>
      <c r="V10" s="46"/>
      <c r="W10" s="205"/>
    </row>
    <row r="11" spans="1:23">
      <c r="A11" s="34">
        <f t="shared" si="1"/>
        <v>2013</v>
      </c>
      <c r="B11" s="163">
        <f>経済前提!G11</f>
        <v>0</v>
      </c>
      <c r="C11" s="163">
        <f>経済前提!H11</f>
        <v>0</v>
      </c>
      <c r="D11" s="163">
        <f>経済前提!G52</f>
        <v>0</v>
      </c>
      <c r="E11" s="163">
        <f>経済前提!H52</f>
        <v>0</v>
      </c>
      <c r="F11" s="163"/>
      <c r="G11" s="163">
        <f>基礎年金拠出金の計算!K11</f>
        <v>1</v>
      </c>
      <c r="H11" s="163">
        <f>基礎年金拠出金の計算!L11</f>
        <v>1</v>
      </c>
      <c r="I11" s="163">
        <f>基礎年金拠出金の計算!M11</f>
        <v>1</v>
      </c>
      <c r="J11" s="163">
        <f>基礎年金拠出金の計算!N11</f>
        <v>1</v>
      </c>
      <c r="K11" s="163"/>
      <c r="L11" s="163">
        <f t="shared" si="2"/>
        <v>1</v>
      </c>
      <c r="M11" s="163">
        <f t="shared" si="2"/>
        <v>1</v>
      </c>
      <c r="N11" s="163">
        <f t="shared" si="2"/>
        <v>1</v>
      </c>
      <c r="O11" s="163">
        <f t="shared" si="0"/>
        <v>1</v>
      </c>
      <c r="P11" s="163"/>
      <c r="Q11" s="206">
        <f t="shared" si="3"/>
        <v>1</v>
      </c>
      <c r="R11" s="206">
        <f t="shared" si="4"/>
        <v>1</v>
      </c>
      <c r="S11" s="206">
        <f t="shared" si="5"/>
        <v>1</v>
      </c>
      <c r="T11" s="206">
        <f t="shared" si="6"/>
        <v>1</v>
      </c>
      <c r="U11" s="46">
        <v>1.0029187129033932</v>
      </c>
      <c r="V11" s="46"/>
      <c r="W11" s="205"/>
    </row>
    <row r="12" spans="1:23">
      <c r="A12" s="34">
        <f t="shared" si="1"/>
        <v>2014</v>
      </c>
      <c r="B12" s="163">
        <f>経済前提!G12</f>
        <v>0</v>
      </c>
      <c r="C12" s="163">
        <f>経済前提!H12</f>
        <v>0</v>
      </c>
      <c r="D12" s="163">
        <f>経済前提!G53</f>
        <v>0</v>
      </c>
      <c r="E12" s="163">
        <f>経済前提!H53</f>
        <v>0</v>
      </c>
      <c r="F12" s="163"/>
      <c r="G12" s="163">
        <f>基礎年金拠出金の計算!K12</f>
        <v>1</v>
      </c>
      <c r="H12" s="163">
        <f>基礎年金拠出金の計算!L12</f>
        <v>1</v>
      </c>
      <c r="I12" s="163">
        <f>基礎年金拠出金の計算!M12</f>
        <v>1</v>
      </c>
      <c r="J12" s="163">
        <f>基礎年金拠出金の計算!N12</f>
        <v>1</v>
      </c>
      <c r="K12" s="163"/>
      <c r="L12" s="163">
        <f t="shared" si="2"/>
        <v>1</v>
      </c>
      <c r="M12" s="163">
        <f t="shared" si="2"/>
        <v>1</v>
      </c>
      <c r="N12" s="163">
        <f t="shared" si="2"/>
        <v>1</v>
      </c>
      <c r="O12" s="163">
        <f t="shared" si="0"/>
        <v>1</v>
      </c>
      <c r="P12" s="163"/>
      <c r="Q12" s="206">
        <f t="shared" si="3"/>
        <v>1</v>
      </c>
      <c r="R12" s="206">
        <f t="shared" si="4"/>
        <v>1</v>
      </c>
      <c r="S12" s="206">
        <f t="shared" si="5"/>
        <v>1</v>
      </c>
      <c r="T12" s="206">
        <f t="shared" si="6"/>
        <v>1</v>
      </c>
      <c r="U12" s="46">
        <v>1.0029187129033932</v>
      </c>
      <c r="V12" s="46"/>
      <c r="W12" s="205"/>
    </row>
    <row r="13" spans="1:23">
      <c r="A13" s="34">
        <f t="shared" si="1"/>
        <v>2015</v>
      </c>
      <c r="B13" s="163">
        <f>経済前提!G13</f>
        <v>0</v>
      </c>
      <c r="C13" s="163">
        <f>経済前提!H13</f>
        <v>0</v>
      </c>
      <c r="D13" s="163">
        <f>経済前提!G54</f>
        <v>0</v>
      </c>
      <c r="E13" s="163">
        <f>経済前提!H54</f>
        <v>0</v>
      </c>
      <c r="F13" s="163"/>
      <c r="G13" s="163">
        <f>基礎年金拠出金の計算!K13</f>
        <v>1</v>
      </c>
      <c r="H13" s="163">
        <f>基礎年金拠出金の計算!L13</f>
        <v>1</v>
      </c>
      <c r="I13" s="163">
        <f>基礎年金拠出金の計算!M13</f>
        <v>1</v>
      </c>
      <c r="J13" s="163">
        <f>基礎年金拠出金の計算!N13</f>
        <v>1</v>
      </c>
      <c r="K13" s="163"/>
      <c r="L13" s="163">
        <f t="shared" si="2"/>
        <v>1</v>
      </c>
      <c r="M13" s="163">
        <f t="shared" si="2"/>
        <v>1</v>
      </c>
      <c r="N13" s="163">
        <f t="shared" si="2"/>
        <v>1</v>
      </c>
      <c r="O13" s="163">
        <f t="shared" si="0"/>
        <v>1</v>
      </c>
      <c r="P13" s="163"/>
      <c r="Q13" s="206">
        <f t="shared" si="3"/>
        <v>1</v>
      </c>
      <c r="R13" s="206">
        <f t="shared" si="4"/>
        <v>1</v>
      </c>
      <c r="S13" s="206">
        <f t="shared" si="5"/>
        <v>1</v>
      </c>
      <c r="T13" s="206">
        <f t="shared" si="6"/>
        <v>1</v>
      </c>
      <c r="U13" s="46">
        <v>1.0029187129033932</v>
      </c>
      <c r="V13" s="46"/>
      <c r="W13" s="205"/>
    </row>
    <row r="14" spans="1:23">
      <c r="A14" s="34">
        <f t="shared" si="1"/>
        <v>2016</v>
      </c>
      <c r="B14" s="163">
        <f>経済前提!G14</f>
        <v>1.3715794190489961</v>
      </c>
      <c r="C14" s="163">
        <f>経済前提!H14</f>
        <v>1.3715794190489961</v>
      </c>
      <c r="D14" s="163">
        <f>経済前提!G55</f>
        <v>0</v>
      </c>
      <c r="E14" s="163">
        <f>経済前提!H55</f>
        <v>0</v>
      </c>
      <c r="F14" s="163"/>
      <c r="G14" s="163">
        <f>基礎年金拠出金の計算!K14</f>
        <v>1.0019157941904899</v>
      </c>
      <c r="H14" s="163">
        <f>基礎年金拠出金の計算!L14</f>
        <v>1.0019157941904899</v>
      </c>
      <c r="I14" s="163">
        <f>基礎年金拠出金の計算!M14</f>
        <v>1</v>
      </c>
      <c r="J14" s="163">
        <f>基礎年金拠出金の計算!N14</f>
        <v>1</v>
      </c>
      <c r="K14" s="163"/>
      <c r="L14" s="163">
        <f t="shared" si="2"/>
        <v>1.0015964951587415</v>
      </c>
      <c r="M14" s="163">
        <f t="shared" si="2"/>
        <v>1.0015964951587415</v>
      </c>
      <c r="N14" s="163">
        <f t="shared" si="2"/>
        <v>1</v>
      </c>
      <c r="O14" s="163">
        <f t="shared" si="0"/>
        <v>1</v>
      </c>
      <c r="P14" s="163"/>
      <c r="Q14" s="206">
        <f t="shared" si="3"/>
        <v>1.0015964951587415</v>
      </c>
      <c r="R14" s="206">
        <f t="shared" si="4"/>
        <v>1.0015964951587415</v>
      </c>
      <c r="S14" s="206">
        <f t="shared" si="5"/>
        <v>1</v>
      </c>
      <c r="T14" s="206">
        <f t="shared" si="6"/>
        <v>1</v>
      </c>
      <c r="U14" s="46">
        <v>1.001320110195117</v>
      </c>
      <c r="V14" s="46"/>
      <c r="W14" s="205"/>
    </row>
    <row r="15" spans="1:23">
      <c r="A15" s="34">
        <f t="shared" si="1"/>
        <v>2017</v>
      </c>
      <c r="B15" s="163">
        <f>経済前提!G15</f>
        <v>0.96050246905223791</v>
      </c>
      <c r="C15" s="163">
        <f>経済前提!H15</f>
        <v>0.96050246905223791</v>
      </c>
      <c r="D15" s="163">
        <f>経済前提!G56</f>
        <v>-0.1</v>
      </c>
      <c r="E15" s="163">
        <f>経済前提!H56</f>
        <v>-0.1</v>
      </c>
      <c r="F15" s="163"/>
      <c r="G15" s="163">
        <f>基礎年金拠出金の計算!K15</f>
        <v>1.0019157941904899</v>
      </c>
      <c r="H15" s="163">
        <f>基礎年金拠出金の計算!L15</f>
        <v>1.0019157941904899</v>
      </c>
      <c r="I15" s="163">
        <f>基礎年金拠出金の計算!M15</f>
        <v>0.999</v>
      </c>
      <c r="J15" s="163">
        <f>基礎年金拠出金の計算!N15</f>
        <v>0.999</v>
      </c>
      <c r="K15" s="163"/>
      <c r="L15" s="163">
        <f t="shared" si="2"/>
        <v>1.0019157941904899</v>
      </c>
      <c r="M15" s="163">
        <f t="shared" si="2"/>
        <v>1.0019157941904899</v>
      </c>
      <c r="N15" s="163">
        <f t="shared" si="2"/>
        <v>0.99916666666666665</v>
      </c>
      <c r="O15" s="163">
        <f t="shared" si="0"/>
        <v>0.99916666666666665</v>
      </c>
      <c r="P15" s="163"/>
      <c r="Q15" s="206">
        <f t="shared" si="3"/>
        <v>1.0003187900849213</v>
      </c>
      <c r="R15" s="206">
        <f t="shared" si="4"/>
        <v>1.0003187900849213</v>
      </c>
      <c r="S15" s="206">
        <f t="shared" si="5"/>
        <v>0.99916666666666665</v>
      </c>
      <c r="T15" s="206">
        <f t="shared" si="6"/>
        <v>0.99916666666666665</v>
      </c>
      <c r="U15" s="46">
        <v>1.0001668335001666</v>
      </c>
      <c r="V15" s="46"/>
      <c r="W15" s="205"/>
    </row>
    <row r="16" spans="1:23">
      <c r="A16" s="34">
        <f t="shared" si="1"/>
        <v>2018</v>
      </c>
      <c r="B16" s="163">
        <f>経済前提!G16</f>
        <v>0.52142451826047154</v>
      </c>
      <c r="C16" s="163">
        <f>経済前提!H16</f>
        <v>0.52142451826047154</v>
      </c>
      <c r="D16" s="163">
        <f>経済前提!G57</f>
        <v>0</v>
      </c>
      <c r="E16" s="163">
        <f>経済前提!H57</f>
        <v>0</v>
      </c>
      <c r="F16" s="163"/>
      <c r="G16" s="163">
        <f>基礎年金拠出金の計算!K16</f>
        <v>1.0019157941904899</v>
      </c>
      <c r="H16" s="163">
        <f>基礎年金拠出金の計算!L16</f>
        <v>1.0019157941904899</v>
      </c>
      <c r="I16" s="163">
        <f>基礎年金拠出金の計算!M16</f>
        <v>0.999</v>
      </c>
      <c r="J16" s="163">
        <f>基礎年金拠出金の計算!N16</f>
        <v>0.999</v>
      </c>
      <c r="K16" s="163"/>
      <c r="L16" s="163">
        <f t="shared" si="2"/>
        <v>1.0019157941904899</v>
      </c>
      <c r="M16" s="163">
        <f t="shared" si="2"/>
        <v>1.0019157941904899</v>
      </c>
      <c r="N16" s="163">
        <f t="shared" si="2"/>
        <v>0.999</v>
      </c>
      <c r="O16" s="163">
        <f t="shared" si="0"/>
        <v>0.999</v>
      </c>
      <c r="P16" s="163"/>
      <c r="Q16" s="206">
        <f t="shared" si="3"/>
        <v>1</v>
      </c>
      <c r="R16" s="206">
        <f t="shared" si="4"/>
        <v>1</v>
      </c>
      <c r="S16" s="206">
        <f t="shared" si="5"/>
        <v>0.99983319432860718</v>
      </c>
      <c r="T16" s="206">
        <f t="shared" si="6"/>
        <v>0.99983319432860718</v>
      </c>
      <c r="U16" s="46">
        <v>0.99999999999999989</v>
      </c>
      <c r="V16" s="46"/>
      <c r="W16" s="205">
        <f>U16</f>
        <v>0.99999999999999989</v>
      </c>
    </row>
    <row r="17" spans="1:23">
      <c r="A17" s="34">
        <f t="shared" si="1"/>
        <v>2019</v>
      </c>
      <c r="B17" s="163">
        <f>経済前提!G17</f>
        <v>1.3313954382472959</v>
      </c>
      <c r="C17" s="163">
        <f>経済前提!H17</f>
        <v>1.2</v>
      </c>
      <c r="D17" s="163">
        <f>経済前提!G58</f>
        <v>0.64211797618338728</v>
      </c>
      <c r="E17" s="163">
        <f>経済前提!H58</f>
        <v>0.64211797618338728</v>
      </c>
      <c r="F17" s="163"/>
      <c r="G17" s="163">
        <f>基礎年金拠出金の計算!K17</f>
        <v>1.0054364805863545</v>
      </c>
      <c r="H17" s="163">
        <f>基礎年金拠出金の計算!L17</f>
        <v>1.0041200089377089</v>
      </c>
      <c r="I17" s="163">
        <f>基礎年金拠出金の計算!M17</f>
        <v>0.999</v>
      </c>
      <c r="J17" s="163">
        <f>基礎年金拠出金の計算!N17</f>
        <v>0.999</v>
      </c>
      <c r="K17" s="163"/>
      <c r="L17" s="163">
        <f t="shared" si="2"/>
        <v>1.0048496995203771</v>
      </c>
      <c r="M17" s="163">
        <f t="shared" si="2"/>
        <v>1.0037526398131724</v>
      </c>
      <c r="N17" s="163">
        <f t="shared" si="2"/>
        <v>0.999</v>
      </c>
      <c r="O17" s="163">
        <f t="shared" si="0"/>
        <v>0.999</v>
      </c>
      <c r="P17" s="163"/>
      <c r="Q17" s="206">
        <f t="shared" si="3"/>
        <v>1.0029282953187275</v>
      </c>
      <c r="R17" s="206">
        <f t="shared" si="4"/>
        <v>1.0018333333333334</v>
      </c>
      <c r="S17" s="206">
        <f t="shared" si="5"/>
        <v>1</v>
      </c>
      <c r="T17" s="206">
        <f t="shared" si="6"/>
        <v>1</v>
      </c>
      <c r="U17" s="46">
        <v>0.99791943783572379</v>
      </c>
      <c r="V17" s="46"/>
      <c r="W17" s="205">
        <f>U17*(1+人口等補正!D12)</f>
        <v>0.99870033704383099</v>
      </c>
    </row>
    <row r="18" spans="1:23">
      <c r="A18" s="34">
        <f t="shared" si="1"/>
        <v>2020</v>
      </c>
      <c r="B18" s="163">
        <f>経済前提!G18</f>
        <v>2.2196328028567303</v>
      </c>
      <c r="C18" s="163">
        <f>経済前提!H18</f>
        <v>1.2</v>
      </c>
      <c r="D18" s="163">
        <f>経済前提!G59</f>
        <v>1.7778012403295129</v>
      </c>
      <c r="E18" s="163">
        <f>経済前提!H59</f>
        <v>1.6</v>
      </c>
      <c r="F18" s="163"/>
      <c r="G18" s="163">
        <f>基礎年金拠出金の計算!K18</f>
        <v>1.0181012883077083</v>
      </c>
      <c r="H18" s="163">
        <f>基礎年金拠出金の計算!L18</f>
        <v>1.0065298969591594</v>
      </c>
      <c r="I18" s="163">
        <f>基礎年金拠出金の計算!M18</f>
        <v>1.0095260695620494</v>
      </c>
      <c r="J18" s="163">
        <f>基礎年金拠出金の計算!N18</f>
        <v>1.0077498351711576</v>
      </c>
      <c r="K18" s="163"/>
      <c r="L18" s="163">
        <f t="shared" si="2"/>
        <v>1.0159904870208158</v>
      </c>
      <c r="M18" s="163">
        <f t="shared" si="2"/>
        <v>1.0061282489555843</v>
      </c>
      <c r="N18" s="163">
        <f t="shared" si="2"/>
        <v>1.0077717246350411</v>
      </c>
      <c r="O18" s="163">
        <f t="shared" si="0"/>
        <v>1.006291529309298</v>
      </c>
      <c r="P18" s="163"/>
      <c r="Q18" s="206">
        <f t="shared" si="3"/>
        <v>1.011087018790727</v>
      </c>
      <c r="R18" s="206">
        <f t="shared" si="4"/>
        <v>1.0023667276659456</v>
      </c>
      <c r="S18" s="206">
        <f t="shared" si="5"/>
        <v>1.0087805051401812</v>
      </c>
      <c r="T18" s="206">
        <f t="shared" si="6"/>
        <v>1.0072988281374353</v>
      </c>
      <c r="U18" s="46">
        <v>1.0012640909465229</v>
      </c>
      <c r="V18" s="46"/>
      <c r="W18" s="205">
        <f>U18*(1+人口等補正!D13)</f>
        <v>1.0028532379406538</v>
      </c>
    </row>
    <row r="19" spans="1:23">
      <c r="A19" s="34">
        <f t="shared" si="1"/>
        <v>2021</v>
      </c>
      <c r="B19" s="163">
        <f>経済前提!G19</f>
        <v>2.6956965764806329</v>
      </c>
      <c r="C19" s="163">
        <f>経済前提!H19</f>
        <v>1.2</v>
      </c>
      <c r="D19" s="163">
        <f>経済前提!G60</f>
        <v>2.2012550076606185</v>
      </c>
      <c r="E19" s="163">
        <f>経済前提!H60</f>
        <v>1.7</v>
      </c>
      <c r="F19" s="163"/>
      <c r="G19" s="163">
        <f>基礎年金拠出金の計算!K19</f>
        <v>1.0356706273851395</v>
      </c>
      <c r="H19" s="163">
        <f>基礎年金拠出金の計算!L19</f>
        <v>1.0088449157221655</v>
      </c>
      <c r="I19" s="163">
        <f>基礎年金拠出金の計算!M19</f>
        <v>1.0233435523864618</v>
      </c>
      <c r="J19" s="163">
        <f>基礎年金拠出金の計算!N19</f>
        <v>1.0164916099868888</v>
      </c>
      <c r="K19" s="163"/>
      <c r="L19" s="163">
        <f t="shared" si="2"/>
        <v>1.0327424042055675</v>
      </c>
      <c r="M19" s="163">
        <f t="shared" si="2"/>
        <v>1.0084590792616643</v>
      </c>
      <c r="N19" s="163">
        <f t="shared" si="2"/>
        <v>1.0210406385823931</v>
      </c>
      <c r="O19" s="163">
        <f t="shared" si="0"/>
        <v>1.0150346475176002</v>
      </c>
      <c r="P19" s="163"/>
      <c r="Q19" s="206">
        <f t="shared" si="3"/>
        <v>1.0164882618476805</v>
      </c>
      <c r="R19" s="206">
        <f t="shared" si="4"/>
        <v>1.0023166333998668</v>
      </c>
      <c r="S19" s="206">
        <f t="shared" si="5"/>
        <v>1.0131665868598936</v>
      </c>
      <c r="T19" s="206">
        <f t="shared" si="6"/>
        <v>1.0086884545418993</v>
      </c>
      <c r="U19" s="46">
        <v>1.0053645402430811</v>
      </c>
      <c r="V19" s="46"/>
      <c r="W19" s="205">
        <f>U19*(1+人口等補正!D14)</f>
        <v>1.0077403448829598</v>
      </c>
    </row>
    <row r="20" spans="1:23">
      <c r="A20" s="34">
        <f t="shared" si="1"/>
        <v>2022</v>
      </c>
      <c r="B20" s="163">
        <f>経済前提!G20</f>
        <v>2.6899873427506105</v>
      </c>
      <c r="C20" s="163">
        <f>経済前提!H20</f>
        <v>1.2</v>
      </c>
      <c r="D20" s="163">
        <f>経済前提!G61</f>
        <v>1.9658402195453561</v>
      </c>
      <c r="E20" s="163">
        <f>経済前提!H61</f>
        <v>1.3</v>
      </c>
      <c r="F20" s="163"/>
      <c r="G20" s="163">
        <f>基礎年金拠出金の計算!K20</f>
        <v>1.0534840310887497</v>
      </c>
      <c r="H20" s="163">
        <f>基礎年金拠出金の計算!L20</f>
        <v>1.0111652590283264</v>
      </c>
      <c r="I20" s="163">
        <f>基礎年金拠出金の計算!M20</f>
        <v>1.0351934739085684</v>
      </c>
      <c r="J20" s="163">
        <f>基礎年金拠出金の計算!N20</f>
        <v>1.0214939787053394</v>
      </c>
      <c r="K20" s="163"/>
      <c r="L20" s="163">
        <f t="shared" si="2"/>
        <v>1.0505151304714813</v>
      </c>
      <c r="M20" s="163">
        <f t="shared" si="2"/>
        <v>1.0107785351439662</v>
      </c>
      <c r="N20" s="163">
        <f t="shared" si="2"/>
        <v>1.0332184869882173</v>
      </c>
      <c r="O20" s="163">
        <f t="shared" si="0"/>
        <v>1.0206602505855977</v>
      </c>
      <c r="P20" s="163"/>
      <c r="Q20" s="206">
        <f t="shared" si="3"/>
        <v>1.0172092539180526</v>
      </c>
      <c r="R20" s="206">
        <f t="shared" si="4"/>
        <v>1.0023</v>
      </c>
      <c r="S20" s="206">
        <f t="shared" si="5"/>
        <v>1.0119268988379657</v>
      </c>
      <c r="T20" s="206">
        <f t="shared" si="6"/>
        <v>1.0055422768885336</v>
      </c>
      <c r="U20" s="46">
        <v>1.006478730790455</v>
      </c>
      <c r="V20" s="46"/>
      <c r="W20" s="205">
        <f>U20*(1+人口等補正!D15)</f>
        <v>1.0095602017081333</v>
      </c>
    </row>
    <row r="21" spans="1:23">
      <c r="A21" s="34">
        <f t="shared" si="1"/>
        <v>2023</v>
      </c>
      <c r="B21" s="163">
        <f>経済前提!G21</f>
        <v>2.5899580690970758</v>
      </c>
      <c r="C21" s="163">
        <f>経済前提!H21</f>
        <v>1.2</v>
      </c>
      <c r="D21" s="163">
        <f>経済前提!G62</f>
        <v>1.7305671399715061</v>
      </c>
      <c r="E21" s="163">
        <f>経済前提!H62</f>
        <v>1.1000000000000001</v>
      </c>
      <c r="F21" s="163"/>
      <c r="G21" s="163">
        <f>基礎年金拠出金の計算!K21</f>
        <v>1.0707607274632387</v>
      </c>
      <c r="H21" s="163">
        <f>基礎年金拠出金の計算!L21</f>
        <v>1.0136931721758973</v>
      </c>
      <c r="I21" s="163">
        <f>基礎年金拠出金の計算!M21</f>
        <v>1.0448185277662545</v>
      </c>
      <c r="J21" s="163">
        <f>基礎年金拠出金の計算!N21</f>
        <v>1.0245504516068591</v>
      </c>
      <c r="K21" s="163"/>
      <c r="L21" s="163">
        <f t="shared" si="2"/>
        <v>1.0678812780674904</v>
      </c>
      <c r="M21" s="163">
        <f t="shared" si="2"/>
        <v>1.0132718533179688</v>
      </c>
      <c r="N21" s="163">
        <f t="shared" si="2"/>
        <v>1.043214352123307</v>
      </c>
      <c r="O21" s="163">
        <f t="shared" si="0"/>
        <v>1.0240410394566057</v>
      </c>
      <c r="P21" s="163"/>
      <c r="Q21" s="206">
        <f t="shared" si="3"/>
        <v>1.0165310780323698</v>
      </c>
      <c r="R21" s="206">
        <f t="shared" si="4"/>
        <v>1.0024667304333361</v>
      </c>
      <c r="S21" s="206">
        <f t="shared" si="5"/>
        <v>1.0096744931115462</v>
      </c>
      <c r="T21" s="206">
        <f t="shared" si="6"/>
        <v>1.0033123547909977</v>
      </c>
      <c r="U21" s="46">
        <v>1.0052796980291905</v>
      </c>
      <c r="V21" s="46"/>
      <c r="W21" s="205">
        <f>U21*(1+人口等補正!D16)</f>
        <v>1.009050055466078</v>
      </c>
    </row>
    <row r="22" spans="1:23">
      <c r="A22" s="34">
        <f t="shared" si="1"/>
        <v>2024</v>
      </c>
      <c r="B22" s="163">
        <f>経済前提!G22</f>
        <v>2.583296167193927</v>
      </c>
      <c r="C22" s="163">
        <f>経済前提!H22</f>
        <v>1.2</v>
      </c>
      <c r="D22" s="163">
        <f>経済前提!G63</f>
        <v>1.698588098356657</v>
      </c>
      <c r="E22" s="163">
        <f>経済前提!H63</f>
        <v>1.1000000000000001</v>
      </c>
      <c r="F22" s="163"/>
      <c r="G22" s="163">
        <f>基礎年金拠出金の計算!K22</f>
        <v>1.0883564974574598</v>
      </c>
      <c r="H22" s="163">
        <f>基礎年金拠出金の計算!L22</f>
        <v>1.0163287744235545</v>
      </c>
      <c r="I22" s="163">
        <f>基礎年金拠出金の計算!M22</f>
        <v>1.0541549448168066</v>
      </c>
      <c r="J22" s="163">
        <f>基礎年金拠出金の計算!N22</f>
        <v>1.0275729176412467</v>
      </c>
      <c r="K22" s="163"/>
      <c r="L22" s="163">
        <f t="shared" si="2"/>
        <v>1.0854238691250895</v>
      </c>
      <c r="M22" s="163">
        <f t="shared" si="2"/>
        <v>1.0158895073822782</v>
      </c>
      <c r="N22" s="163">
        <f t="shared" si="2"/>
        <v>1.0525988753083813</v>
      </c>
      <c r="O22" s="163">
        <f t="shared" si="0"/>
        <v>1.0270691733021822</v>
      </c>
      <c r="P22" s="163"/>
      <c r="Q22" s="206">
        <f t="shared" si="3"/>
        <v>1.0164274731825482</v>
      </c>
      <c r="R22" s="206">
        <f t="shared" si="4"/>
        <v>1.0025833679833678</v>
      </c>
      <c r="S22" s="206">
        <f t="shared" si="5"/>
        <v>1.0089957765304642</v>
      </c>
      <c r="T22" s="206">
        <f t="shared" si="6"/>
        <v>1.0029570434473829</v>
      </c>
      <c r="U22" s="46">
        <v>1.0031409507084346</v>
      </c>
      <c r="V22" s="46"/>
      <c r="W22" s="205">
        <f>U22*(1+人口等補正!D17)</f>
        <v>1.0076206876050253</v>
      </c>
    </row>
    <row r="23" spans="1:23">
      <c r="A23" s="34">
        <f t="shared" si="1"/>
        <v>2025</v>
      </c>
      <c r="B23" s="163">
        <f>経済前提!G23</f>
        <v>2.5999509221976025</v>
      </c>
      <c r="C23" s="163">
        <f>経済前提!H23</f>
        <v>1.2</v>
      </c>
      <c r="D23" s="163">
        <f>経済前提!G64</f>
        <v>1.7662606189904784</v>
      </c>
      <c r="E23" s="163">
        <f>経済前提!H64</f>
        <v>1.1000000000000001</v>
      </c>
      <c r="F23" s="163"/>
      <c r="G23" s="163">
        <f>基礎年金拠出金の計算!K23</f>
        <v>1.1062050098743108</v>
      </c>
      <c r="H23" s="163">
        <f>基礎年金拠出金の計算!L23</f>
        <v>1.0187679634821709</v>
      </c>
      <c r="I23" s="163">
        <f>基礎年金拠出金の計算!M23</f>
        <v>1.0639945481826252</v>
      </c>
      <c r="J23" s="163">
        <f>基礎年金拠出金の計算!N23</f>
        <v>1.0303180876297686</v>
      </c>
      <c r="K23" s="163"/>
      <c r="L23" s="163">
        <f t="shared" si="2"/>
        <v>1.1032302578048354</v>
      </c>
      <c r="M23" s="163">
        <f t="shared" si="2"/>
        <v>1.0183614319724015</v>
      </c>
      <c r="N23" s="163">
        <f t="shared" si="2"/>
        <v>1.0623546142883222</v>
      </c>
      <c r="O23" s="163">
        <f t="shared" si="0"/>
        <v>1.0298605592983483</v>
      </c>
      <c r="P23" s="163"/>
      <c r="Q23" s="206">
        <f t="shared" si="3"/>
        <v>1.0164050093113384</v>
      </c>
      <c r="R23" s="206">
        <f t="shared" si="4"/>
        <v>1.0024332612672542</v>
      </c>
      <c r="S23" s="206">
        <f t="shared" si="5"/>
        <v>1.0092682399808597</v>
      </c>
      <c r="T23" s="206">
        <f t="shared" si="6"/>
        <v>1.0027178169384554</v>
      </c>
      <c r="U23" s="46">
        <v>1.0010431103749435</v>
      </c>
      <c r="V23" s="46"/>
      <c r="W23" s="205">
        <f>U23*(1+人口等補正!D18)</f>
        <v>1.0061447858123411</v>
      </c>
    </row>
    <row r="24" spans="1:23">
      <c r="A24" s="34">
        <f t="shared" si="1"/>
        <v>2026</v>
      </c>
      <c r="B24" s="163">
        <f>経済前提!G24</f>
        <v>2.6133007305483957</v>
      </c>
      <c r="C24" s="163">
        <f>経済前提!H24</f>
        <v>1.2</v>
      </c>
      <c r="D24" s="163">
        <f>経済前提!G65</f>
        <v>1.8000000000000016</v>
      </c>
      <c r="E24" s="163">
        <f>経済前提!H65</f>
        <v>1.1000000000000001</v>
      </c>
      <c r="F24" s="163"/>
      <c r="G24" s="163">
        <f>基礎年金拠出金の計算!K24</f>
        <v>1.1239408028789886</v>
      </c>
      <c r="H24" s="163">
        <f>基礎年金拠出金の計算!L24</f>
        <v>1.020703622612787</v>
      </c>
      <c r="I24" s="163">
        <f>基礎年金拠出金の計算!M24</f>
        <v>1.0737553919861607</v>
      </c>
      <c r="J24" s="163">
        <f>基礎年金拠出金の計算!N24</f>
        <v>1.0325577646360631</v>
      </c>
      <c r="K24" s="163"/>
      <c r="L24" s="163">
        <f t="shared" si="2"/>
        <v>1.1209848373782088</v>
      </c>
      <c r="M24" s="163">
        <f t="shared" si="2"/>
        <v>1.0203810127576844</v>
      </c>
      <c r="N24" s="163">
        <f t="shared" si="2"/>
        <v>1.0721285846855715</v>
      </c>
      <c r="O24" s="163">
        <f t="shared" si="0"/>
        <v>1.0321844851350142</v>
      </c>
      <c r="P24" s="163"/>
      <c r="Q24" s="206">
        <f t="shared" si="3"/>
        <v>1.016093267427872</v>
      </c>
      <c r="R24" s="206">
        <f t="shared" si="4"/>
        <v>1.0019831669993349</v>
      </c>
      <c r="S24" s="206">
        <f t="shared" si="5"/>
        <v>1.0092002898710022</v>
      </c>
      <c r="T24" s="206">
        <f t="shared" si="6"/>
        <v>1.0022565441657938</v>
      </c>
      <c r="U24" s="46">
        <v>0.99893108601964187</v>
      </c>
      <c r="V24" s="46"/>
      <c r="W24" s="205">
        <f>U24*(1+人口等補正!D19)</f>
        <v>1.0046716053550577</v>
      </c>
    </row>
    <row r="25" spans="1:23">
      <c r="A25" s="34">
        <f t="shared" si="1"/>
        <v>2027</v>
      </c>
      <c r="B25" s="163">
        <f>経済前提!G25</f>
        <v>2.5632942407916026</v>
      </c>
      <c r="C25" s="163">
        <f>経済前提!H25</f>
        <v>1.2</v>
      </c>
      <c r="D25" s="163">
        <f>経済前提!G66</f>
        <v>1.8000000000000016</v>
      </c>
      <c r="E25" s="163">
        <f>経済前提!H66</f>
        <v>1.1000000000000001</v>
      </c>
      <c r="F25" s="163"/>
      <c r="G25" s="163">
        <f>基礎年金拠出金の計算!K25</f>
        <v>1.1406121520779995</v>
      </c>
      <c r="H25" s="163">
        <f>基礎年金拠出金の計算!L25</f>
        <v>1.0219284669599225</v>
      </c>
      <c r="I25" s="163">
        <f>基礎年金拠出金の計算!M25</f>
        <v>1.0829691514871496</v>
      </c>
      <c r="J25" s="163">
        <f>基礎年金拠出金の計算!N25</f>
        <v>1.0341901081438216</v>
      </c>
      <c r="K25" s="163"/>
      <c r="L25" s="163">
        <f t="shared" ref="L25:N38" si="7">(G24*2+G25*10)/12</f>
        <v>1.1378335938781643</v>
      </c>
      <c r="M25" s="163">
        <f t="shared" si="7"/>
        <v>1.0217243262353999</v>
      </c>
      <c r="N25" s="163">
        <f t="shared" si="7"/>
        <v>1.0814335249036515</v>
      </c>
      <c r="O25" s="163">
        <f t="shared" si="0"/>
        <v>1.0339180508925285</v>
      </c>
      <c r="P25" s="163"/>
      <c r="Q25" s="206">
        <f t="shared" si="3"/>
        <v>1.0150303161453655</v>
      </c>
      <c r="R25" s="206">
        <f t="shared" si="4"/>
        <v>1.0013164822364589</v>
      </c>
      <c r="S25" s="206">
        <f t="shared" si="5"/>
        <v>1.0086789405216809</v>
      </c>
      <c r="T25" s="206">
        <f t="shared" si="6"/>
        <v>1.0016795115432175</v>
      </c>
      <c r="U25" s="46">
        <v>0.996333115472535</v>
      </c>
      <c r="V25" s="46"/>
      <c r="W25" s="205">
        <f>U25*(1+人口等補正!D20)</f>
        <v>1.0026602124984543</v>
      </c>
    </row>
    <row r="26" spans="1:23">
      <c r="A26" s="34">
        <f t="shared" si="1"/>
        <v>2028</v>
      </c>
      <c r="B26" s="163">
        <f>経済前提!G26</f>
        <v>2.4999999999999911</v>
      </c>
      <c r="C26" s="163">
        <f>経済前提!H26</f>
        <v>1.2</v>
      </c>
      <c r="D26" s="163">
        <f>経済前提!G67</f>
        <v>1.8000000000000016</v>
      </c>
      <c r="E26" s="163">
        <f>経済前提!H67</f>
        <v>1.1000000000000001</v>
      </c>
      <c r="F26" s="163"/>
      <c r="G26" s="163">
        <f t="shared" ref="G26:G38" si="8">G25*(1+B26/100)</f>
        <v>1.1691274558799494</v>
      </c>
      <c r="H26" s="163">
        <f t="shared" ref="H26:H38" si="9">H25*(1+C26/100)</f>
        <v>1.0341916085634415</v>
      </c>
      <c r="I26" s="163">
        <f t="shared" ref="I26:I38" si="10">I25*(1+D26/100)</f>
        <v>1.1024625962139183</v>
      </c>
      <c r="J26" s="163">
        <f t="shared" ref="J26:J38" si="11">J25*(1+E26/100)</f>
        <v>1.0455661993334036</v>
      </c>
      <c r="K26" s="163"/>
      <c r="L26" s="163">
        <f t="shared" si="7"/>
        <v>1.1643749052462911</v>
      </c>
      <c r="M26" s="163">
        <f t="shared" si="7"/>
        <v>1.0321477516295217</v>
      </c>
      <c r="N26" s="163">
        <f t="shared" si="7"/>
        <v>1.0992136887594568</v>
      </c>
      <c r="O26" s="163">
        <f t="shared" si="0"/>
        <v>1.0436701841351399</v>
      </c>
      <c r="P26" s="163"/>
      <c r="Q26" s="206">
        <f t="shared" si="3"/>
        <v>1.0233261801294371</v>
      </c>
      <c r="R26" s="206">
        <f t="shared" si="4"/>
        <v>1.0102017982017981</v>
      </c>
      <c r="S26" s="206">
        <f t="shared" si="5"/>
        <v>1.0164412915323568</v>
      </c>
      <c r="T26" s="206">
        <f t="shared" si="6"/>
        <v>1.009432211028904</v>
      </c>
      <c r="U26" s="46">
        <v>0.99257739461721961</v>
      </c>
      <c r="V26" s="46"/>
      <c r="W26" s="205">
        <f>U26*(1+人口等補正!D21)</f>
        <v>0.9994683807587138</v>
      </c>
    </row>
    <row r="27" spans="1:23">
      <c r="A27" s="34">
        <f t="shared" si="1"/>
        <v>2029</v>
      </c>
      <c r="B27" s="163">
        <f>経済前提!G27</f>
        <v>2.4999999999999911</v>
      </c>
      <c r="C27" s="163">
        <f>経済前提!H27</f>
        <v>1.2</v>
      </c>
      <c r="D27" s="163">
        <f>経済前提!G68</f>
        <v>1.8673151483793893</v>
      </c>
      <c r="E27" s="163">
        <f>経済前提!H68</f>
        <v>1.2</v>
      </c>
      <c r="F27" s="163"/>
      <c r="G27" s="163">
        <f t="shared" si="8"/>
        <v>1.1983556422769479</v>
      </c>
      <c r="H27" s="163">
        <f t="shared" si="9"/>
        <v>1.0466019078662028</v>
      </c>
      <c r="I27" s="163">
        <f t="shared" si="10"/>
        <v>1.1230490472782375</v>
      </c>
      <c r="J27" s="163">
        <f t="shared" si="11"/>
        <v>1.0581129937254043</v>
      </c>
      <c r="K27" s="163"/>
      <c r="L27" s="163">
        <f t="shared" si="7"/>
        <v>1.1934842778774482</v>
      </c>
      <c r="M27" s="163">
        <f t="shared" si="7"/>
        <v>1.0445335246490759</v>
      </c>
      <c r="N27" s="163">
        <f t="shared" si="7"/>
        <v>1.119617972100851</v>
      </c>
      <c r="O27" s="163">
        <f t="shared" si="0"/>
        <v>1.0560218613267376</v>
      </c>
      <c r="P27" s="163"/>
      <c r="Q27" s="206">
        <f t="shared" si="3"/>
        <v>1.0249999999999999</v>
      </c>
      <c r="R27" s="206">
        <f t="shared" si="4"/>
        <v>1.012</v>
      </c>
      <c r="S27" s="206">
        <f t="shared" si="5"/>
        <v>1.018562617578409</v>
      </c>
      <c r="T27" s="206">
        <f t="shared" si="6"/>
        <v>1.0118348472336911</v>
      </c>
      <c r="U27" s="46">
        <v>0.98895861323872514</v>
      </c>
      <c r="V27" s="46"/>
      <c r="W27" s="205">
        <f>U27*(1+人口等補正!D22)</f>
        <v>0.99644766726182676</v>
      </c>
    </row>
    <row r="28" spans="1:23">
      <c r="A28" s="34">
        <f t="shared" si="1"/>
        <v>2030</v>
      </c>
      <c r="B28" s="163">
        <f>経済前提!G28</f>
        <v>2.4999999999999911</v>
      </c>
      <c r="C28" s="163">
        <f>経済前提!H28</f>
        <v>1.2</v>
      </c>
      <c r="D28" s="163">
        <f>経済前提!G69</f>
        <v>2.0666286889210461</v>
      </c>
      <c r="E28" s="163">
        <f>経済前提!H69</f>
        <v>1.2</v>
      </c>
      <c r="F28" s="163"/>
      <c r="G28" s="163">
        <f t="shared" si="8"/>
        <v>1.2283145333338714</v>
      </c>
      <c r="H28" s="163">
        <f t="shared" si="9"/>
        <v>1.0591611307605973</v>
      </c>
      <c r="I28" s="163">
        <f t="shared" si="10"/>
        <v>1.1462583010799441</v>
      </c>
      <c r="J28" s="163">
        <f t="shared" si="11"/>
        <v>1.0708103496501091</v>
      </c>
      <c r="K28" s="163"/>
      <c r="L28" s="163">
        <f t="shared" si="7"/>
        <v>1.2233213848243842</v>
      </c>
      <c r="M28" s="163">
        <f t="shared" si="7"/>
        <v>1.0570679269448648</v>
      </c>
      <c r="N28" s="163">
        <f t="shared" si="7"/>
        <v>1.142390092112993</v>
      </c>
      <c r="O28" s="163">
        <f t="shared" si="0"/>
        <v>1.0686941236626584</v>
      </c>
      <c r="P28" s="163"/>
      <c r="Q28" s="206">
        <f t="shared" si="3"/>
        <v>1.0249999999999999</v>
      </c>
      <c r="R28" s="206">
        <f t="shared" si="4"/>
        <v>1.012</v>
      </c>
      <c r="S28" s="206">
        <f t="shared" si="5"/>
        <v>1.0203391876332715</v>
      </c>
      <c r="T28" s="206">
        <f t="shared" si="6"/>
        <v>1.012</v>
      </c>
      <c r="U28" s="46">
        <v>0.98563198805828367</v>
      </c>
      <c r="V28" s="46"/>
      <c r="W28" s="205">
        <f>U28*(1+人口等補正!D23)</f>
        <v>0.99363681559713268</v>
      </c>
    </row>
    <row r="29" spans="1:23">
      <c r="A29" s="34">
        <f t="shared" si="1"/>
        <v>2031</v>
      </c>
      <c r="B29" s="163">
        <f>経済前提!G29</f>
        <v>2.4999999999999911</v>
      </c>
      <c r="C29" s="163">
        <f>経済前提!H29</f>
        <v>1.2</v>
      </c>
      <c r="D29" s="163">
        <f>経済前提!G70</f>
        <v>2.2663322062416613</v>
      </c>
      <c r="E29" s="163">
        <f>経済前提!H70</f>
        <v>1.2</v>
      </c>
      <c r="F29" s="163"/>
      <c r="G29" s="163">
        <f t="shared" si="8"/>
        <v>1.259022396667218</v>
      </c>
      <c r="H29" s="163">
        <f t="shared" si="9"/>
        <v>1.0718710643297245</v>
      </c>
      <c r="I29" s="163">
        <f t="shared" si="10"/>
        <v>1.1722363221240373</v>
      </c>
      <c r="J29" s="163">
        <f t="shared" si="11"/>
        <v>1.0836600738459103</v>
      </c>
      <c r="K29" s="163"/>
      <c r="L29" s="163">
        <f t="shared" si="7"/>
        <v>1.2539044194449935</v>
      </c>
      <c r="M29" s="163">
        <f t="shared" si="7"/>
        <v>1.0697527420682034</v>
      </c>
      <c r="N29" s="163">
        <f t="shared" si="7"/>
        <v>1.1679066519500216</v>
      </c>
      <c r="O29" s="163">
        <f t="shared" si="0"/>
        <v>1.0815184531466102</v>
      </c>
      <c r="P29" s="163"/>
      <c r="Q29" s="206">
        <f t="shared" si="3"/>
        <v>1.0249999999999997</v>
      </c>
      <c r="R29" s="206">
        <f t="shared" si="4"/>
        <v>1.0120000000000002</v>
      </c>
      <c r="S29" s="206">
        <f t="shared" si="5"/>
        <v>1.0223361179453443</v>
      </c>
      <c r="T29" s="206">
        <f t="shared" si="6"/>
        <v>1.012</v>
      </c>
      <c r="U29" s="46">
        <v>0.98264608096861039</v>
      </c>
      <c r="V29" s="46"/>
      <c r="W29" s="205">
        <f>U29*(1+人口等補正!D24)</f>
        <v>0.99112269635645067</v>
      </c>
    </row>
    <row r="30" spans="1:23">
      <c r="A30" s="34">
        <f t="shared" si="1"/>
        <v>2032</v>
      </c>
      <c r="B30" s="163">
        <f>経済前提!G30</f>
        <v>2.4999999999999911</v>
      </c>
      <c r="C30" s="163">
        <f>経済前提!H30</f>
        <v>1.2</v>
      </c>
      <c r="D30" s="163">
        <f>経済前提!G71</f>
        <v>2.4999999999999911</v>
      </c>
      <c r="E30" s="163">
        <f>経済前提!H71</f>
        <v>1.2</v>
      </c>
      <c r="F30" s="163"/>
      <c r="G30" s="163">
        <f t="shared" si="8"/>
        <v>1.2904979565838983</v>
      </c>
      <c r="H30" s="163">
        <f t="shared" si="9"/>
        <v>1.0847335171016812</v>
      </c>
      <c r="I30" s="163">
        <f t="shared" si="10"/>
        <v>1.2015422301771381</v>
      </c>
      <c r="J30" s="163">
        <f t="shared" si="11"/>
        <v>1.0966639947320613</v>
      </c>
      <c r="K30" s="163"/>
      <c r="L30" s="163">
        <f t="shared" si="7"/>
        <v>1.2852520299311183</v>
      </c>
      <c r="M30" s="163">
        <f t="shared" si="7"/>
        <v>1.0825897749730218</v>
      </c>
      <c r="N30" s="163">
        <f t="shared" si="7"/>
        <v>1.1966579121682879</v>
      </c>
      <c r="O30" s="163">
        <f t="shared" si="0"/>
        <v>1.0944966745843694</v>
      </c>
      <c r="P30" s="163"/>
      <c r="Q30" s="206">
        <f t="shared" si="3"/>
        <v>1.0249999999999999</v>
      </c>
      <c r="R30" s="206">
        <f t="shared" si="4"/>
        <v>1.012</v>
      </c>
      <c r="S30" s="206">
        <f t="shared" si="5"/>
        <v>1.0246177724651717</v>
      </c>
      <c r="T30" s="206">
        <f t="shared" si="6"/>
        <v>1.0119999999999998</v>
      </c>
      <c r="U30" s="46">
        <v>0.97969558280167035</v>
      </c>
      <c r="V30" s="46"/>
      <c r="W30" s="205">
        <f>U30*(1+人口等補正!D25)</f>
        <v>0.98870153195010402</v>
      </c>
    </row>
    <row r="31" spans="1:23">
      <c r="A31" s="34">
        <f t="shared" si="1"/>
        <v>2033</v>
      </c>
      <c r="B31" s="163">
        <f>経済前提!G31</f>
        <v>2.4999999999999911</v>
      </c>
      <c r="C31" s="163">
        <f>経済前提!H31</f>
        <v>1.2</v>
      </c>
      <c r="D31" s="163">
        <f>経済前提!G72</f>
        <v>2.4999999999999911</v>
      </c>
      <c r="E31" s="163">
        <f>経済前提!H72</f>
        <v>1.2</v>
      </c>
      <c r="F31" s="163"/>
      <c r="G31" s="163">
        <f t="shared" si="8"/>
        <v>1.3227604054984956</v>
      </c>
      <c r="H31" s="163">
        <f t="shared" si="9"/>
        <v>1.0977503193069014</v>
      </c>
      <c r="I31" s="163">
        <f t="shared" si="10"/>
        <v>1.2315807859315664</v>
      </c>
      <c r="J31" s="163">
        <f t="shared" si="11"/>
        <v>1.109823962668846</v>
      </c>
      <c r="K31" s="163"/>
      <c r="L31" s="163">
        <f>(G30*2+G31*10)/12</f>
        <v>1.3173833306793961</v>
      </c>
      <c r="M31" s="163">
        <f>(H30*2+H31*10)/12</f>
        <v>1.095580852272698</v>
      </c>
      <c r="N31" s="163">
        <f>(I30*2+I31*10)/12</f>
        <v>1.226574359972495</v>
      </c>
      <c r="O31" s="163">
        <f>(J30*2+J31*10)/12</f>
        <v>1.1076306346793821</v>
      </c>
      <c r="P31" s="163"/>
      <c r="Q31" s="206">
        <f t="shared" si="3"/>
        <v>1.0249999999999999</v>
      </c>
      <c r="R31" s="206">
        <f t="shared" si="4"/>
        <v>1.012</v>
      </c>
      <c r="S31" s="206">
        <f t="shared" si="5"/>
        <v>1.0249999999999999</v>
      </c>
      <c r="T31" s="206">
        <f t="shared" si="6"/>
        <v>1.0120000000000002</v>
      </c>
      <c r="U31" s="46">
        <v>0.97665904603566756</v>
      </c>
      <c r="V31" s="46"/>
      <c r="W31" s="205">
        <f>U31*(1+人口等補正!D26)</f>
        <v>0.98610600593216302</v>
      </c>
    </row>
    <row r="32" spans="1:23">
      <c r="A32" s="34">
        <f t="shared" si="1"/>
        <v>2034</v>
      </c>
      <c r="B32" s="163">
        <f>経済前提!G32</f>
        <v>2.4999999999999911</v>
      </c>
      <c r="C32" s="163">
        <f>経済前提!H32</f>
        <v>1.2</v>
      </c>
      <c r="D32" s="163">
        <f>経済前提!G73</f>
        <v>2.4999999999999911</v>
      </c>
      <c r="E32" s="163">
        <f>経済前提!H73</f>
        <v>1.2</v>
      </c>
      <c r="F32" s="163"/>
      <c r="G32" s="163">
        <f t="shared" si="8"/>
        <v>1.3558294156359578</v>
      </c>
      <c r="H32" s="163">
        <f t="shared" si="9"/>
        <v>1.1109233231385842</v>
      </c>
      <c r="I32" s="163">
        <f t="shared" si="10"/>
        <v>1.2623703055798554</v>
      </c>
      <c r="J32" s="163">
        <f t="shared" si="11"/>
        <v>1.1231418502208721</v>
      </c>
      <c r="K32" s="163"/>
      <c r="L32" s="163">
        <f t="shared" si="7"/>
        <v>1.3503179139463806</v>
      </c>
      <c r="M32" s="163">
        <f t="shared" si="7"/>
        <v>1.1087278224999704</v>
      </c>
      <c r="N32" s="163">
        <f t="shared" si="7"/>
        <v>1.2572387189718073</v>
      </c>
      <c r="O32" s="163">
        <f t="shared" si="0"/>
        <v>1.1209222022955343</v>
      </c>
      <c r="P32" s="163"/>
      <c r="Q32" s="206">
        <f t="shared" si="3"/>
        <v>1.0249999999999997</v>
      </c>
      <c r="R32" s="206">
        <f t="shared" si="4"/>
        <v>1.012</v>
      </c>
      <c r="S32" s="206">
        <f t="shared" si="5"/>
        <v>1.0249999999999999</v>
      </c>
      <c r="T32" s="206">
        <f t="shared" si="6"/>
        <v>1.0119999999999998</v>
      </c>
      <c r="U32" s="46">
        <v>0.97367728657368091</v>
      </c>
      <c r="V32" s="46"/>
      <c r="W32" s="205">
        <f>U32*(1+人口等補正!D27)</f>
        <v>0.98356743538907521</v>
      </c>
    </row>
    <row r="33" spans="1:23">
      <c r="A33" s="34">
        <f t="shared" si="1"/>
        <v>2035</v>
      </c>
      <c r="B33" s="163">
        <f>経済前提!G33</f>
        <v>2.4999999999999911</v>
      </c>
      <c r="C33" s="163">
        <f>経済前提!H33</f>
        <v>1.2</v>
      </c>
      <c r="D33" s="163">
        <f>経済前提!G74</f>
        <v>2.4999999999999911</v>
      </c>
      <c r="E33" s="163">
        <f>経済前提!H74</f>
        <v>1.2</v>
      </c>
      <c r="F33" s="163"/>
      <c r="G33" s="163">
        <f t="shared" si="8"/>
        <v>1.3897251510268567</v>
      </c>
      <c r="H33" s="163">
        <f t="shared" si="9"/>
        <v>1.1242544030162474</v>
      </c>
      <c r="I33" s="163">
        <f t="shared" si="10"/>
        <v>1.2939295632193517</v>
      </c>
      <c r="J33" s="163">
        <f t="shared" si="11"/>
        <v>1.1366195524235225</v>
      </c>
      <c r="K33" s="163"/>
      <c r="L33" s="163">
        <f t="shared" si="7"/>
        <v>1.3840758617950402</v>
      </c>
      <c r="M33" s="163">
        <f t="shared" si="7"/>
        <v>1.1220325563699702</v>
      </c>
      <c r="N33" s="163">
        <f t="shared" si="7"/>
        <v>1.2886696869461023</v>
      </c>
      <c r="O33" s="163">
        <f t="shared" si="0"/>
        <v>1.1343732687230808</v>
      </c>
      <c r="P33" s="163"/>
      <c r="Q33" s="206">
        <f t="shared" si="3"/>
        <v>1.0250000000000001</v>
      </c>
      <c r="R33" s="206">
        <f t="shared" si="4"/>
        <v>1.0120000000000002</v>
      </c>
      <c r="S33" s="206">
        <f t="shared" si="5"/>
        <v>1.0249999999999999</v>
      </c>
      <c r="T33" s="206">
        <f t="shared" si="6"/>
        <v>1.012</v>
      </c>
      <c r="U33" s="46">
        <v>0.97076186016419852</v>
      </c>
      <c r="V33" s="46"/>
      <c r="W33" s="205">
        <f>U33*(1+人口等補正!D28)</f>
        <v>0.98109564764049506</v>
      </c>
    </row>
    <row r="34" spans="1:23">
      <c r="A34" s="34">
        <f t="shared" si="1"/>
        <v>2036</v>
      </c>
      <c r="B34" s="163">
        <f>経済前提!G34</f>
        <v>2.4999999999999911</v>
      </c>
      <c r="C34" s="163">
        <f>経済前提!H34</f>
        <v>1.2</v>
      </c>
      <c r="D34" s="163">
        <f>経済前提!G75</f>
        <v>2.4999999999999911</v>
      </c>
      <c r="E34" s="163">
        <f>経済前提!H75</f>
        <v>1.2</v>
      </c>
      <c r="F34" s="163"/>
      <c r="G34" s="163">
        <f t="shared" si="8"/>
        <v>1.4244682798025279</v>
      </c>
      <c r="H34" s="163">
        <f t="shared" si="9"/>
        <v>1.1377454558524422</v>
      </c>
      <c r="I34" s="163">
        <f t="shared" si="10"/>
        <v>1.3262778022998354</v>
      </c>
      <c r="J34" s="163">
        <f t="shared" si="11"/>
        <v>1.1502589870526048</v>
      </c>
      <c r="K34" s="163"/>
      <c r="L34" s="163">
        <f t="shared" si="7"/>
        <v>1.4186777583399159</v>
      </c>
      <c r="M34" s="163">
        <f t="shared" si="7"/>
        <v>1.1354969470464098</v>
      </c>
      <c r="N34" s="163">
        <f t="shared" si="7"/>
        <v>1.3208864291197548</v>
      </c>
      <c r="O34" s="163">
        <f t="shared" si="0"/>
        <v>1.1479857479477578</v>
      </c>
      <c r="P34" s="163"/>
      <c r="Q34" s="206">
        <f t="shared" si="3"/>
        <v>1.0249999999999999</v>
      </c>
      <c r="R34" s="206">
        <f t="shared" si="4"/>
        <v>1.012</v>
      </c>
      <c r="S34" s="206">
        <f t="shared" si="5"/>
        <v>1.0249999999999999</v>
      </c>
      <c r="T34" s="206">
        <f t="shared" si="6"/>
        <v>1.012</v>
      </c>
      <c r="U34" s="46">
        <v>0.96790094893824907</v>
      </c>
      <c r="V34" s="46"/>
      <c r="W34" s="205">
        <f>U34*(1+人口等補正!D29)</f>
        <v>0.97875310206802446</v>
      </c>
    </row>
    <row r="35" spans="1:23">
      <c r="A35" s="34">
        <f t="shared" si="1"/>
        <v>2037</v>
      </c>
      <c r="B35" s="163">
        <f>経済前提!G35</f>
        <v>2.4999999999999911</v>
      </c>
      <c r="C35" s="163">
        <f>経済前提!H35</f>
        <v>1.2</v>
      </c>
      <c r="D35" s="163">
        <f>経済前提!G76</f>
        <v>2.4999999999999911</v>
      </c>
      <c r="E35" s="163">
        <f>経済前提!H76</f>
        <v>1.2</v>
      </c>
      <c r="F35" s="163"/>
      <c r="G35" s="163">
        <f t="shared" si="8"/>
        <v>1.4600799867975909</v>
      </c>
      <c r="H35" s="163">
        <f t="shared" si="9"/>
        <v>1.1513984013226715</v>
      </c>
      <c r="I35" s="163">
        <f t="shared" si="10"/>
        <v>1.3594347473573312</v>
      </c>
      <c r="J35" s="163">
        <f t="shared" si="11"/>
        <v>1.164062094897236</v>
      </c>
      <c r="K35" s="163"/>
      <c r="L35" s="163">
        <f t="shared" si="7"/>
        <v>1.4541447022984137</v>
      </c>
      <c r="M35" s="163">
        <f t="shared" si="7"/>
        <v>1.1491229104109666</v>
      </c>
      <c r="N35" s="163">
        <f t="shared" si="7"/>
        <v>1.3539085898477483</v>
      </c>
      <c r="O35" s="163">
        <f t="shared" si="0"/>
        <v>1.1617615769231309</v>
      </c>
      <c r="P35" s="163"/>
      <c r="Q35" s="206">
        <f t="shared" si="3"/>
        <v>1.0249999999999999</v>
      </c>
      <c r="R35" s="206">
        <f t="shared" si="4"/>
        <v>1.0119999999999998</v>
      </c>
      <c r="S35" s="206">
        <f t="shared" si="5"/>
        <v>1.0249999999999997</v>
      </c>
      <c r="T35" s="206">
        <f t="shared" si="6"/>
        <v>1.012</v>
      </c>
      <c r="U35" s="46">
        <v>0.96523382763062793</v>
      </c>
      <c r="V35" s="46"/>
      <c r="W35" s="205">
        <f>U35*(1+人口等補正!D30)</f>
        <v>0.97664664961924319</v>
      </c>
    </row>
    <row r="36" spans="1:23">
      <c r="A36" s="34">
        <f t="shared" si="1"/>
        <v>2038</v>
      </c>
      <c r="B36" s="163">
        <f>経済前提!G36</f>
        <v>2.4999999999999911</v>
      </c>
      <c r="C36" s="163">
        <f>経済前提!H36</f>
        <v>1.2</v>
      </c>
      <c r="D36" s="163">
        <f>経済前提!G77</f>
        <v>2.4999999999999911</v>
      </c>
      <c r="E36" s="163">
        <f>経済前提!H77</f>
        <v>1.2</v>
      </c>
      <c r="F36" s="163"/>
      <c r="G36" s="163">
        <f t="shared" si="8"/>
        <v>1.4965819864675305</v>
      </c>
      <c r="H36" s="163">
        <f t="shared" si="9"/>
        <v>1.1652151821385435</v>
      </c>
      <c r="I36" s="163">
        <f t="shared" si="10"/>
        <v>1.3934206160412643</v>
      </c>
      <c r="J36" s="163">
        <f t="shared" si="11"/>
        <v>1.1780308400360029</v>
      </c>
      <c r="K36" s="163"/>
      <c r="L36" s="163">
        <f t="shared" si="7"/>
        <v>1.4904983198558739</v>
      </c>
      <c r="M36" s="163">
        <f t="shared" si="7"/>
        <v>1.162912385335898</v>
      </c>
      <c r="N36" s="163">
        <f t="shared" si="7"/>
        <v>1.3877563045939423</v>
      </c>
      <c r="O36" s="163">
        <f t="shared" si="0"/>
        <v>1.1757027158462086</v>
      </c>
      <c r="P36" s="163"/>
      <c r="Q36" s="206">
        <f t="shared" si="3"/>
        <v>1.0249999999999999</v>
      </c>
      <c r="R36" s="206">
        <f t="shared" si="4"/>
        <v>1.0119999999999998</v>
      </c>
      <c r="S36" s="206">
        <f t="shared" si="5"/>
        <v>1.0250000000000001</v>
      </c>
      <c r="T36" s="206">
        <f t="shared" si="6"/>
        <v>1.012</v>
      </c>
      <c r="U36" s="46">
        <v>0.96267354177736653</v>
      </c>
      <c r="V36" s="46"/>
      <c r="W36" s="205">
        <f>U36*(1+人口等補正!D31)</f>
        <v>0.9745841330453574</v>
      </c>
    </row>
    <row r="37" spans="1:23">
      <c r="A37" s="34">
        <f t="shared" si="1"/>
        <v>2039</v>
      </c>
      <c r="B37" s="163">
        <f>経済前提!G37</f>
        <v>2.4999999999999911</v>
      </c>
      <c r="C37" s="163">
        <f>経済前提!H37</f>
        <v>1.2</v>
      </c>
      <c r="D37" s="163">
        <f>経済前提!G78</f>
        <v>2.4999999999999911</v>
      </c>
      <c r="E37" s="163">
        <f>経済前提!H78</f>
        <v>1.2</v>
      </c>
      <c r="F37" s="163"/>
      <c r="G37" s="163">
        <f t="shared" si="8"/>
        <v>1.5339965361292187</v>
      </c>
      <c r="H37" s="163">
        <f t="shared" si="9"/>
        <v>1.179197764324206</v>
      </c>
      <c r="I37" s="163">
        <f t="shared" si="10"/>
        <v>1.4282561314422959</v>
      </c>
      <c r="J37" s="163">
        <f t="shared" si="11"/>
        <v>1.1921672101164349</v>
      </c>
      <c r="K37" s="163"/>
      <c r="L37" s="163">
        <f t="shared" si="7"/>
        <v>1.5277607778522706</v>
      </c>
      <c r="M37" s="163">
        <f t="shared" si="7"/>
        <v>1.1768673339599289</v>
      </c>
      <c r="N37" s="163">
        <f t="shared" si="7"/>
        <v>1.4224502122087908</v>
      </c>
      <c r="O37" s="163">
        <f t="shared" si="0"/>
        <v>1.1898111484363629</v>
      </c>
      <c r="P37" s="163"/>
      <c r="Q37" s="206">
        <f t="shared" si="3"/>
        <v>1.0249999999999999</v>
      </c>
      <c r="R37" s="206">
        <f t="shared" si="4"/>
        <v>1.012</v>
      </c>
      <c r="S37" s="206">
        <f t="shared" si="5"/>
        <v>1.0249999999999999</v>
      </c>
      <c r="T37" s="206">
        <f t="shared" si="6"/>
        <v>1.0119999999999998</v>
      </c>
      <c r="U37" s="46">
        <v>0.96022941463433287</v>
      </c>
      <c r="V37" s="46"/>
      <c r="W37" s="205">
        <f>U37*(1+人口等補正!D32)</f>
        <v>0.97262199269071981</v>
      </c>
    </row>
    <row r="38" spans="1:23">
      <c r="A38" s="34">
        <f t="shared" si="1"/>
        <v>2040</v>
      </c>
      <c r="B38" s="163">
        <f>経済前提!G38</f>
        <v>2.4999999999999911</v>
      </c>
      <c r="C38" s="163">
        <f>経済前提!H38</f>
        <v>1.2</v>
      </c>
      <c r="D38" s="163">
        <f>経済前提!G79</f>
        <v>2.4999999999999911</v>
      </c>
      <c r="E38" s="163">
        <f>経済前提!H79</f>
        <v>1.2</v>
      </c>
      <c r="F38" s="163"/>
      <c r="G38" s="163">
        <f t="shared" si="8"/>
        <v>1.5723464495324491</v>
      </c>
      <c r="H38" s="163">
        <f t="shared" si="9"/>
        <v>1.1933481374960964</v>
      </c>
      <c r="I38" s="163">
        <f t="shared" si="10"/>
        <v>1.4639625347283531</v>
      </c>
      <c r="J38" s="163">
        <f t="shared" si="11"/>
        <v>1.206473216637832</v>
      </c>
      <c r="K38" s="163"/>
      <c r="L38" s="163">
        <f t="shared" si="7"/>
        <v>1.5659547972985772</v>
      </c>
      <c r="M38" s="163">
        <f t="shared" si="7"/>
        <v>1.190989741967448</v>
      </c>
      <c r="N38" s="163">
        <f t="shared" si="7"/>
        <v>1.4580114675140103</v>
      </c>
      <c r="O38" s="163">
        <f t="shared" si="0"/>
        <v>1.2040888822175992</v>
      </c>
      <c r="P38" s="163"/>
      <c r="Q38" s="206">
        <f t="shared" si="3"/>
        <v>1.0249999999999999</v>
      </c>
      <c r="R38" s="206">
        <f t="shared" si="4"/>
        <v>1.012</v>
      </c>
      <c r="S38" s="206">
        <f t="shared" si="5"/>
        <v>1.0249999999999999</v>
      </c>
      <c r="T38" s="206">
        <f t="shared" si="6"/>
        <v>1.012</v>
      </c>
      <c r="U38" s="46">
        <v>0.95792052719703935</v>
      </c>
      <c r="V38" s="46"/>
      <c r="W38" s="205">
        <f>U38*(1+人口等補正!D33)</f>
        <v>0.97070018540172776</v>
      </c>
    </row>
  </sheetData>
  <mergeCells count="4">
    <mergeCell ref="Q1:R1"/>
    <mergeCell ref="Q2:T2"/>
    <mergeCell ref="Q3:R3"/>
    <mergeCell ref="S3:T3"/>
  </mergeCells>
  <phoneticPr fontId="1"/>
  <pageMargins left="0.7" right="0.7" top="0.75" bottom="0.75" header="0.3" footer="0.3"/>
  <pageSetup paperSize="9" scale="99" orientation="landscape" horizontalDpi="300" verticalDpi="300" r:id="rId1"/>
  <rowBreaks count="1" manualBreakCount="1">
    <brk id="3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S3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9" style="34"/>
    <col min="2" max="2" width="1.875" style="34" customWidth="1"/>
    <col min="3" max="6" width="9" style="34"/>
    <col min="7" max="7" width="0.875" style="34" customWidth="1"/>
    <col min="8" max="11" width="9" style="34"/>
    <col min="12" max="12" width="2.5" style="34" customWidth="1"/>
    <col min="13" max="16" width="6.5" style="34" customWidth="1"/>
    <col min="17" max="17" width="7.5" style="34" customWidth="1"/>
    <col min="18" max="18" width="2.875" style="34" customWidth="1"/>
    <col min="19" max="19" width="7.125" style="34" customWidth="1"/>
    <col min="20" max="16384" width="9" style="34"/>
  </cols>
  <sheetData>
    <row r="1" spans="1:19">
      <c r="A1" s="34" t="s">
        <v>80</v>
      </c>
      <c r="M1" s="209"/>
      <c r="N1" s="209"/>
    </row>
    <row r="2" spans="1:19">
      <c r="C2" s="34" t="s">
        <v>78</v>
      </c>
      <c r="H2" s="34" t="s">
        <v>2</v>
      </c>
      <c r="M2" s="209" t="s">
        <v>70</v>
      </c>
      <c r="N2" s="209"/>
      <c r="O2" s="209"/>
      <c r="P2" s="209"/>
    </row>
    <row r="3" spans="1:19">
      <c r="C3" s="34" t="s">
        <v>11</v>
      </c>
      <c r="E3" s="34" t="s">
        <v>170</v>
      </c>
      <c r="H3" s="34" t="s">
        <v>90</v>
      </c>
      <c r="J3" s="34" t="s">
        <v>170</v>
      </c>
      <c r="M3" s="209" t="s">
        <v>71</v>
      </c>
      <c r="N3" s="209"/>
      <c r="O3" s="209" t="s">
        <v>72</v>
      </c>
      <c r="P3" s="209"/>
      <c r="Q3" s="49" t="s">
        <v>95</v>
      </c>
      <c r="S3" s="34" t="s">
        <v>95</v>
      </c>
    </row>
    <row r="4" spans="1:19">
      <c r="C4" s="50" t="s">
        <v>81</v>
      </c>
      <c r="D4" s="49" t="s">
        <v>1</v>
      </c>
      <c r="E4" s="50" t="s">
        <v>81</v>
      </c>
      <c r="F4" s="49" t="s">
        <v>1</v>
      </c>
      <c r="G4" s="49"/>
      <c r="H4" s="50" t="s">
        <v>81</v>
      </c>
      <c r="I4" s="49" t="s">
        <v>1</v>
      </c>
      <c r="J4" s="50" t="s">
        <v>81</v>
      </c>
      <c r="K4" s="49" t="s">
        <v>1</v>
      </c>
      <c r="M4" s="49" t="s">
        <v>73</v>
      </c>
      <c r="N4" s="49" t="s">
        <v>1</v>
      </c>
      <c r="O4" s="49" t="s">
        <v>73</v>
      </c>
      <c r="P4" s="49" t="s">
        <v>1</v>
      </c>
      <c r="S4" s="34" t="s">
        <v>79</v>
      </c>
    </row>
    <row r="5" spans="1:19">
      <c r="A5" s="34">
        <v>2007</v>
      </c>
      <c r="C5" s="163">
        <f>基礎年金拠出金の計算!K5</f>
        <v>1</v>
      </c>
      <c r="D5" s="163">
        <f>基礎年金拠出金の計算!L5</f>
        <v>1</v>
      </c>
      <c r="E5" s="163">
        <f>基礎年金拠出金の計算!M5</f>
        <v>1</v>
      </c>
      <c r="F5" s="163">
        <f>基礎年金拠出金の計算!N5</f>
        <v>1</v>
      </c>
      <c r="G5" s="163"/>
      <c r="H5" s="163">
        <v>1</v>
      </c>
      <c r="I5" s="163">
        <v>1</v>
      </c>
      <c r="J5" s="163">
        <v>1</v>
      </c>
      <c r="K5" s="163">
        <v>1</v>
      </c>
      <c r="L5" s="163"/>
      <c r="M5" s="163"/>
      <c r="N5" s="163"/>
      <c r="O5" s="163"/>
      <c r="P5" s="163"/>
      <c r="Q5" s="163"/>
      <c r="R5" s="163"/>
      <c r="S5" s="163"/>
    </row>
    <row r="6" spans="1:19">
      <c r="A6" s="34">
        <f>A5+1</f>
        <v>2008</v>
      </c>
      <c r="C6" s="163">
        <f>基礎年金拠出金の計算!K6</f>
        <v>1</v>
      </c>
      <c r="D6" s="163">
        <f>基礎年金拠出金の計算!L6</f>
        <v>1</v>
      </c>
      <c r="E6" s="163">
        <f>基礎年金拠出金の計算!M6</f>
        <v>1</v>
      </c>
      <c r="F6" s="163">
        <f>基礎年金拠出金の計算!N6</f>
        <v>1</v>
      </c>
      <c r="G6" s="163"/>
      <c r="H6" s="163">
        <f>(C5*2+C6*10)/12</f>
        <v>1</v>
      </c>
      <c r="I6" s="163">
        <f>(D5*2+D6*10)/12</f>
        <v>1</v>
      </c>
      <c r="J6" s="163">
        <f>(E5*2+E6*10)/12</f>
        <v>1</v>
      </c>
      <c r="K6" s="163">
        <f t="shared" ref="K6:K38" si="0">(F5*2+F6*10)/12</f>
        <v>1</v>
      </c>
      <c r="L6" s="163"/>
      <c r="M6" s="163"/>
      <c r="N6" s="163"/>
      <c r="O6" s="163"/>
      <c r="P6" s="163"/>
      <c r="Q6" s="163"/>
      <c r="R6" s="163"/>
      <c r="S6" s="163"/>
    </row>
    <row r="7" spans="1:19">
      <c r="A7" s="34">
        <f t="shared" ref="A7:A38" si="1">A6+1</f>
        <v>2009</v>
      </c>
      <c r="C7" s="163">
        <f>基礎年金拠出金の計算!K7</f>
        <v>1</v>
      </c>
      <c r="D7" s="163">
        <f>基礎年金拠出金の計算!L7</f>
        <v>1</v>
      </c>
      <c r="E7" s="163">
        <f>基礎年金拠出金の計算!M7</f>
        <v>1</v>
      </c>
      <c r="F7" s="163">
        <f>基礎年金拠出金の計算!N7</f>
        <v>1</v>
      </c>
      <c r="G7" s="163"/>
      <c r="H7" s="163">
        <f t="shared" ref="H7:J24" si="2">(C6*2+C7*10)/12</f>
        <v>1</v>
      </c>
      <c r="I7" s="163">
        <f t="shared" si="2"/>
        <v>1</v>
      </c>
      <c r="J7" s="163">
        <f t="shared" si="2"/>
        <v>1</v>
      </c>
      <c r="K7" s="163">
        <f t="shared" si="0"/>
        <v>1</v>
      </c>
      <c r="L7" s="163"/>
      <c r="M7" s="163"/>
      <c r="N7" s="163"/>
      <c r="O7" s="163"/>
      <c r="P7" s="163"/>
      <c r="Q7" s="163"/>
      <c r="R7" s="163"/>
      <c r="S7" s="163"/>
    </row>
    <row r="8" spans="1:19">
      <c r="A8" s="34">
        <f t="shared" si="1"/>
        <v>2010</v>
      </c>
      <c r="C8" s="163">
        <f>基礎年金拠出金の計算!K8</f>
        <v>1</v>
      </c>
      <c r="D8" s="163">
        <f>基礎年金拠出金の計算!L8</f>
        <v>1</v>
      </c>
      <c r="E8" s="163">
        <f>基礎年金拠出金の計算!M8</f>
        <v>1</v>
      </c>
      <c r="F8" s="163">
        <f>基礎年金拠出金の計算!N8</f>
        <v>1</v>
      </c>
      <c r="G8" s="163"/>
      <c r="H8" s="163">
        <f t="shared" si="2"/>
        <v>1</v>
      </c>
      <c r="I8" s="163">
        <f t="shared" si="2"/>
        <v>1</v>
      </c>
      <c r="J8" s="163">
        <f t="shared" si="2"/>
        <v>1</v>
      </c>
      <c r="K8" s="163">
        <f t="shared" si="0"/>
        <v>1</v>
      </c>
      <c r="L8" s="163"/>
      <c r="M8" s="163"/>
      <c r="N8" s="163"/>
      <c r="O8" s="163"/>
      <c r="P8" s="163"/>
      <c r="Q8" s="163"/>
      <c r="R8" s="163"/>
      <c r="S8" s="163"/>
    </row>
    <row r="9" spans="1:19">
      <c r="A9" s="34">
        <f t="shared" si="1"/>
        <v>2011</v>
      </c>
      <c r="C9" s="163">
        <f>基礎年金拠出金の計算!K9</f>
        <v>1</v>
      </c>
      <c r="D9" s="163">
        <f>基礎年金拠出金の計算!L9</f>
        <v>1</v>
      </c>
      <c r="E9" s="163">
        <f>基礎年金拠出金の計算!M9</f>
        <v>1</v>
      </c>
      <c r="F9" s="163">
        <f>基礎年金拠出金の計算!N9</f>
        <v>1</v>
      </c>
      <c r="G9" s="163"/>
      <c r="H9" s="163">
        <f t="shared" si="2"/>
        <v>1</v>
      </c>
      <c r="I9" s="163">
        <f t="shared" si="2"/>
        <v>1</v>
      </c>
      <c r="J9" s="163">
        <f t="shared" si="2"/>
        <v>1</v>
      </c>
      <c r="K9" s="163">
        <f t="shared" si="0"/>
        <v>1</v>
      </c>
      <c r="L9" s="163"/>
      <c r="M9" s="163"/>
      <c r="N9" s="163"/>
      <c r="O9" s="163"/>
      <c r="P9" s="163"/>
      <c r="Q9" s="163"/>
      <c r="R9" s="163"/>
      <c r="S9" s="163"/>
    </row>
    <row r="10" spans="1:19">
      <c r="A10" s="34">
        <f t="shared" si="1"/>
        <v>2012</v>
      </c>
      <c r="C10" s="163">
        <f>基礎年金拠出金の計算!K10</f>
        <v>1</v>
      </c>
      <c r="D10" s="163">
        <f>基礎年金拠出金の計算!L10</f>
        <v>1</v>
      </c>
      <c r="E10" s="163">
        <f>基礎年金拠出金の計算!M10</f>
        <v>1</v>
      </c>
      <c r="F10" s="163">
        <f>基礎年金拠出金の計算!N10</f>
        <v>1</v>
      </c>
      <c r="G10" s="163"/>
      <c r="H10" s="163">
        <f t="shared" si="2"/>
        <v>1</v>
      </c>
      <c r="I10" s="163">
        <f t="shared" si="2"/>
        <v>1</v>
      </c>
      <c r="J10" s="163">
        <f t="shared" si="2"/>
        <v>1</v>
      </c>
      <c r="K10" s="163">
        <f t="shared" si="0"/>
        <v>1</v>
      </c>
      <c r="L10" s="163"/>
      <c r="M10" s="206">
        <f t="shared" ref="M10:M38" si="3">H10/H9</f>
        <v>1</v>
      </c>
      <c r="N10" s="206">
        <f t="shared" ref="N10:N38" si="4">I10/I9</f>
        <v>1</v>
      </c>
      <c r="O10" s="206">
        <f t="shared" ref="O10:O38" si="5">J10/J9</f>
        <v>1</v>
      </c>
      <c r="P10" s="206">
        <f t="shared" ref="P10:P38" si="6">K10/K9</f>
        <v>1</v>
      </c>
      <c r="Q10" s="46">
        <v>1.0029187129033936</v>
      </c>
      <c r="R10" s="163"/>
      <c r="S10" s="164"/>
    </row>
    <row r="11" spans="1:19">
      <c r="A11" s="34">
        <f t="shared" si="1"/>
        <v>2013</v>
      </c>
      <c r="C11" s="163">
        <f>基礎年金拠出金の計算!K11</f>
        <v>1</v>
      </c>
      <c r="D11" s="163">
        <f>基礎年金拠出金の計算!L11</f>
        <v>1</v>
      </c>
      <c r="E11" s="163">
        <f>基礎年金拠出金の計算!M11</f>
        <v>1</v>
      </c>
      <c r="F11" s="163">
        <f>基礎年金拠出金の計算!N11</f>
        <v>1</v>
      </c>
      <c r="G11" s="163"/>
      <c r="H11" s="163">
        <f t="shared" si="2"/>
        <v>1</v>
      </c>
      <c r="I11" s="163">
        <f t="shared" si="2"/>
        <v>1</v>
      </c>
      <c r="J11" s="163">
        <f t="shared" si="2"/>
        <v>1</v>
      </c>
      <c r="K11" s="163">
        <f t="shared" si="0"/>
        <v>1</v>
      </c>
      <c r="L11" s="163"/>
      <c r="M11" s="206">
        <f t="shared" si="3"/>
        <v>1</v>
      </c>
      <c r="N11" s="206">
        <f t="shared" si="4"/>
        <v>1</v>
      </c>
      <c r="O11" s="206">
        <f t="shared" si="5"/>
        <v>1</v>
      </c>
      <c r="P11" s="206">
        <f t="shared" si="6"/>
        <v>1</v>
      </c>
      <c r="Q11" s="46">
        <v>1.0029187129033936</v>
      </c>
      <c r="R11" s="163"/>
      <c r="S11" s="164"/>
    </row>
    <row r="12" spans="1:19">
      <c r="A12" s="34">
        <f t="shared" si="1"/>
        <v>2014</v>
      </c>
      <c r="C12" s="163">
        <f>基礎年金拠出金の計算!K12</f>
        <v>1</v>
      </c>
      <c r="D12" s="163">
        <f>基礎年金拠出金の計算!L12</f>
        <v>1</v>
      </c>
      <c r="E12" s="163">
        <f>基礎年金拠出金の計算!M12</f>
        <v>1</v>
      </c>
      <c r="F12" s="163">
        <f>基礎年金拠出金の計算!N12</f>
        <v>1</v>
      </c>
      <c r="G12" s="163"/>
      <c r="H12" s="163">
        <f t="shared" si="2"/>
        <v>1</v>
      </c>
      <c r="I12" s="163">
        <f t="shared" si="2"/>
        <v>1</v>
      </c>
      <c r="J12" s="163">
        <f t="shared" si="2"/>
        <v>1</v>
      </c>
      <c r="K12" s="163">
        <f t="shared" si="0"/>
        <v>1</v>
      </c>
      <c r="L12" s="163"/>
      <c r="M12" s="206">
        <f t="shared" si="3"/>
        <v>1</v>
      </c>
      <c r="N12" s="206">
        <f t="shared" si="4"/>
        <v>1</v>
      </c>
      <c r="O12" s="206">
        <f t="shared" si="5"/>
        <v>1</v>
      </c>
      <c r="P12" s="206">
        <f t="shared" si="6"/>
        <v>1</v>
      </c>
      <c r="Q12" s="46">
        <v>1.0029187129033936</v>
      </c>
      <c r="R12" s="163"/>
      <c r="S12" s="164"/>
    </row>
    <row r="13" spans="1:19">
      <c r="A13" s="34">
        <f t="shared" si="1"/>
        <v>2015</v>
      </c>
      <c r="C13" s="163">
        <f>基礎年金拠出金の計算!K13</f>
        <v>1</v>
      </c>
      <c r="D13" s="163">
        <f>基礎年金拠出金の計算!L13</f>
        <v>1</v>
      </c>
      <c r="E13" s="163">
        <f>基礎年金拠出金の計算!M13</f>
        <v>1</v>
      </c>
      <c r="F13" s="163">
        <f>基礎年金拠出金の計算!N13</f>
        <v>1</v>
      </c>
      <c r="G13" s="163"/>
      <c r="H13" s="163">
        <f t="shared" si="2"/>
        <v>1</v>
      </c>
      <c r="I13" s="163">
        <f t="shared" si="2"/>
        <v>1</v>
      </c>
      <c r="J13" s="163">
        <f t="shared" si="2"/>
        <v>1</v>
      </c>
      <c r="K13" s="163">
        <f t="shared" si="0"/>
        <v>1</v>
      </c>
      <c r="L13" s="163"/>
      <c r="M13" s="206">
        <f t="shared" si="3"/>
        <v>1</v>
      </c>
      <c r="N13" s="206">
        <f t="shared" si="4"/>
        <v>1</v>
      </c>
      <c r="O13" s="206">
        <f t="shared" si="5"/>
        <v>1</v>
      </c>
      <c r="P13" s="206">
        <f t="shared" si="6"/>
        <v>1</v>
      </c>
      <c r="Q13" s="46">
        <v>1.0029187129033936</v>
      </c>
      <c r="R13" s="163"/>
      <c r="S13" s="164"/>
    </row>
    <row r="14" spans="1:19">
      <c r="A14" s="34">
        <f t="shared" si="1"/>
        <v>2016</v>
      </c>
      <c r="C14" s="163">
        <f>基礎年金拠出金の計算!K14</f>
        <v>1.0019157941904899</v>
      </c>
      <c r="D14" s="163">
        <f>基礎年金拠出金の計算!L14</f>
        <v>1.0019157941904899</v>
      </c>
      <c r="E14" s="163">
        <f>基礎年金拠出金の計算!M14</f>
        <v>1</v>
      </c>
      <c r="F14" s="163">
        <f>基礎年金拠出金の計算!N14</f>
        <v>1</v>
      </c>
      <c r="G14" s="163"/>
      <c r="H14" s="163">
        <f t="shared" si="2"/>
        <v>1.0015964951587415</v>
      </c>
      <c r="I14" s="163">
        <f t="shared" si="2"/>
        <v>1.0015964951587415</v>
      </c>
      <c r="J14" s="163">
        <f t="shared" si="2"/>
        <v>1</v>
      </c>
      <c r="K14" s="163">
        <f t="shared" si="0"/>
        <v>1</v>
      </c>
      <c r="L14" s="163"/>
      <c r="M14" s="206">
        <f t="shared" si="3"/>
        <v>1.0015964951587415</v>
      </c>
      <c r="N14" s="206">
        <f t="shared" si="4"/>
        <v>1.0015964951587415</v>
      </c>
      <c r="O14" s="206">
        <f t="shared" si="5"/>
        <v>1</v>
      </c>
      <c r="P14" s="206">
        <f t="shared" si="6"/>
        <v>1</v>
      </c>
      <c r="Q14" s="46">
        <v>1.0010010010010004</v>
      </c>
      <c r="R14" s="163"/>
      <c r="S14" s="164"/>
    </row>
    <row r="15" spans="1:19">
      <c r="A15" s="34">
        <f t="shared" si="1"/>
        <v>2017</v>
      </c>
      <c r="C15" s="163">
        <f>基礎年金拠出金の計算!K15</f>
        <v>1.0019157941904899</v>
      </c>
      <c r="D15" s="163">
        <f>基礎年金拠出金の計算!L15</f>
        <v>1.0019157941904899</v>
      </c>
      <c r="E15" s="163">
        <f>基礎年金拠出金の計算!M15</f>
        <v>0.999</v>
      </c>
      <c r="F15" s="163">
        <f>基礎年金拠出金の計算!N15</f>
        <v>0.999</v>
      </c>
      <c r="G15" s="163"/>
      <c r="H15" s="163">
        <f t="shared" si="2"/>
        <v>1.0019157941904899</v>
      </c>
      <c r="I15" s="163">
        <f t="shared" si="2"/>
        <v>1.0019157941904899</v>
      </c>
      <c r="J15" s="163">
        <f t="shared" si="2"/>
        <v>0.99916666666666665</v>
      </c>
      <c r="K15" s="163">
        <f t="shared" si="0"/>
        <v>0.99916666666666665</v>
      </c>
      <c r="L15" s="163"/>
      <c r="M15" s="206">
        <f t="shared" si="3"/>
        <v>1.0003187900849213</v>
      </c>
      <c r="N15" s="206">
        <f t="shared" si="4"/>
        <v>1.0003187900849213</v>
      </c>
      <c r="O15" s="206">
        <f t="shared" si="5"/>
        <v>0.99916666666666665</v>
      </c>
      <c r="P15" s="206">
        <f t="shared" si="6"/>
        <v>0.99916666666666665</v>
      </c>
      <c r="Q15" s="46">
        <v>1.0000000000000002</v>
      </c>
      <c r="R15" s="163"/>
      <c r="S15" s="164"/>
    </row>
    <row r="16" spans="1:19">
      <c r="A16" s="34">
        <f t="shared" si="1"/>
        <v>2018</v>
      </c>
      <c r="C16" s="163">
        <f>基礎年金拠出金の計算!K16</f>
        <v>1.0019157941904899</v>
      </c>
      <c r="D16" s="163">
        <f>基礎年金拠出金の計算!L16</f>
        <v>1.0019157941904899</v>
      </c>
      <c r="E16" s="163">
        <f>基礎年金拠出金の計算!M16</f>
        <v>0.999</v>
      </c>
      <c r="F16" s="163">
        <f>基礎年金拠出金の計算!N16</f>
        <v>0.999</v>
      </c>
      <c r="G16" s="163"/>
      <c r="H16" s="163">
        <f t="shared" si="2"/>
        <v>1.0019157941904899</v>
      </c>
      <c r="I16" s="163">
        <f t="shared" si="2"/>
        <v>1.0019157941904899</v>
      </c>
      <c r="J16" s="163">
        <f t="shared" si="2"/>
        <v>0.999</v>
      </c>
      <c r="K16" s="163">
        <f t="shared" si="0"/>
        <v>0.999</v>
      </c>
      <c r="L16" s="163"/>
      <c r="M16" s="206">
        <f t="shared" si="3"/>
        <v>1</v>
      </c>
      <c r="N16" s="206">
        <f t="shared" si="4"/>
        <v>1</v>
      </c>
      <c r="O16" s="206">
        <f t="shared" si="5"/>
        <v>0.99983319432860718</v>
      </c>
      <c r="P16" s="206">
        <f t="shared" si="6"/>
        <v>0.99983319432860718</v>
      </c>
      <c r="Q16" s="46">
        <v>1</v>
      </c>
      <c r="R16" s="163"/>
      <c r="S16" s="205">
        <f>Q16</f>
        <v>1</v>
      </c>
    </row>
    <row r="17" spans="1:19">
      <c r="A17" s="34">
        <f t="shared" si="1"/>
        <v>2019</v>
      </c>
      <c r="C17" s="163">
        <f>基礎年金拠出金の計算!K17</f>
        <v>1.0054364805863545</v>
      </c>
      <c r="D17" s="163">
        <f>基礎年金拠出金の計算!L17</f>
        <v>1.0041200089377089</v>
      </c>
      <c r="E17" s="163">
        <f>基礎年金拠出金の計算!M17</f>
        <v>0.999</v>
      </c>
      <c r="F17" s="163">
        <f>基礎年金拠出金の計算!N17</f>
        <v>0.999</v>
      </c>
      <c r="G17" s="163"/>
      <c r="H17" s="163">
        <f t="shared" si="2"/>
        <v>1.0048496995203771</v>
      </c>
      <c r="I17" s="163">
        <f t="shared" si="2"/>
        <v>1.0037526398131724</v>
      </c>
      <c r="J17" s="163">
        <f t="shared" si="2"/>
        <v>0.999</v>
      </c>
      <c r="K17" s="163">
        <f t="shared" si="0"/>
        <v>0.999</v>
      </c>
      <c r="L17" s="163"/>
      <c r="M17" s="206">
        <f t="shared" si="3"/>
        <v>1.0029282953187275</v>
      </c>
      <c r="N17" s="206">
        <f t="shared" si="4"/>
        <v>1.0018333333333334</v>
      </c>
      <c r="O17" s="206">
        <f t="shared" si="5"/>
        <v>1</v>
      </c>
      <c r="P17" s="206">
        <f t="shared" si="6"/>
        <v>1</v>
      </c>
      <c r="Q17" s="46">
        <v>0.99756222440379583</v>
      </c>
      <c r="R17" s="163"/>
      <c r="S17" s="205">
        <f>Q17*(1+人口等補正!D12)</f>
        <v>0.99834284408263885</v>
      </c>
    </row>
    <row r="18" spans="1:19">
      <c r="A18" s="34">
        <f t="shared" si="1"/>
        <v>2020</v>
      </c>
      <c r="C18" s="163">
        <f>基礎年金拠出金の計算!K18</f>
        <v>1.0181012883077083</v>
      </c>
      <c r="D18" s="163">
        <f>基礎年金拠出金の計算!L18</f>
        <v>1.0065298969591594</v>
      </c>
      <c r="E18" s="163">
        <f>基礎年金拠出金の計算!M18</f>
        <v>1.0095260695620494</v>
      </c>
      <c r="F18" s="163">
        <f>基礎年金拠出金の計算!N18</f>
        <v>1.0077498351711576</v>
      </c>
      <c r="G18" s="163"/>
      <c r="H18" s="163">
        <f t="shared" si="2"/>
        <v>1.0159904870208158</v>
      </c>
      <c r="I18" s="163">
        <f t="shared" si="2"/>
        <v>1.0061282489555843</v>
      </c>
      <c r="J18" s="163">
        <f t="shared" si="2"/>
        <v>1.0077717246350411</v>
      </c>
      <c r="K18" s="163">
        <f t="shared" si="0"/>
        <v>1.006291529309298</v>
      </c>
      <c r="L18" s="163"/>
      <c r="M18" s="206">
        <f t="shared" si="3"/>
        <v>1.011087018790727</v>
      </c>
      <c r="N18" s="206">
        <f t="shared" si="4"/>
        <v>1.0023667276659456</v>
      </c>
      <c r="O18" s="206">
        <f t="shared" si="5"/>
        <v>1.0087805051401812</v>
      </c>
      <c r="P18" s="206">
        <f t="shared" si="6"/>
        <v>1.0072988281374353</v>
      </c>
      <c r="Q18" s="46">
        <v>1.0023129185776929</v>
      </c>
      <c r="R18" s="163"/>
      <c r="S18" s="205">
        <f>Q18*(1+人口等補正!D13)</f>
        <v>1.0039037302088487</v>
      </c>
    </row>
    <row r="19" spans="1:19">
      <c r="A19" s="34">
        <f t="shared" si="1"/>
        <v>2021</v>
      </c>
      <c r="C19" s="163">
        <f>基礎年金拠出金の計算!K19</f>
        <v>1.0356706273851395</v>
      </c>
      <c r="D19" s="163">
        <f>基礎年金拠出金の計算!L19</f>
        <v>1.0088449157221655</v>
      </c>
      <c r="E19" s="163">
        <f>基礎年金拠出金の計算!M19</f>
        <v>1.0233435523864618</v>
      </c>
      <c r="F19" s="163">
        <f>基礎年金拠出金の計算!N19</f>
        <v>1.0164916099868888</v>
      </c>
      <c r="G19" s="163"/>
      <c r="H19" s="163">
        <f t="shared" si="2"/>
        <v>1.0327424042055675</v>
      </c>
      <c r="I19" s="163">
        <f t="shared" si="2"/>
        <v>1.0084590792616643</v>
      </c>
      <c r="J19" s="163">
        <f t="shared" si="2"/>
        <v>1.0210406385823931</v>
      </c>
      <c r="K19" s="163">
        <f t="shared" si="0"/>
        <v>1.0150346475176002</v>
      </c>
      <c r="L19" s="163"/>
      <c r="M19" s="206">
        <f t="shared" si="3"/>
        <v>1.0164882618476805</v>
      </c>
      <c r="N19" s="206">
        <f t="shared" si="4"/>
        <v>1.0023166333998668</v>
      </c>
      <c r="O19" s="206">
        <f t="shared" si="5"/>
        <v>1.0131665868598936</v>
      </c>
      <c r="P19" s="206">
        <f t="shared" si="6"/>
        <v>1.0086884545418993</v>
      </c>
      <c r="Q19" s="46">
        <v>1.0065826504074065</v>
      </c>
      <c r="R19" s="163"/>
      <c r="S19" s="205">
        <f>Q19*(1+人口等補正!D14)</f>
        <v>1.0089613335969698</v>
      </c>
    </row>
    <row r="20" spans="1:19">
      <c r="A20" s="34">
        <f t="shared" si="1"/>
        <v>2022</v>
      </c>
      <c r="C20" s="163">
        <f>基礎年金拠出金の計算!K20</f>
        <v>1.0534840310887497</v>
      </c>
      <c r="D20" s="163">
        <f>基礎年金拠出金の計算!L20</f>
        <v>1.0111652590283264</v>
      </c>
      <c r="E20" s="163">
        <f>基礎年金拠出金の計算!M20</f>
        <v>1.0351934739085684</v>
      </c>
      <c r="F20" s="163">
        <f>基礎年金拠出金の計算!N20</f>
        <v>1.0214939787053394</v>
      </c>
      <c r="G20" s="163"/>
      <c r="H20" s="163">
        <f t="shared" si="2"/>
        <v>1.0505151304714813</v>
      </c>
      <c r="I20" s="163">
        <f t="shared" si="2"/>
        <v>1.0107785351439662</v>
      </c>
      <c r="J20" s="163">
        <f t="shared" si="2"/>
        <v>1.0332184869882173</v>
      </c>
      <c r="K20" s="163">
        <f t="shared" si="0"/>
        <v>1.0206602505855977</v>
      </c>
      <c r="L20" s="163"/>
      <c r="M20" s="206">
        <f t="shared" si="3"/>
        <v>1.0172092539180526</v>
      </c>
      <c r="N20" s="206">
        <f t="shared" si="4"/>
        <v>1.0023</v>
      </c>
      <c r="O20" s="206">
        <f t="shared" si="5"/>
        <v>1.0119268988379657</v>
      </c>
      <c r="P20" s="206">
        <f t="shared" si="6"/>
        <v>1.0055422768885336</v>
      </c>
      <c r="Q20" s="46">
        <v>1.0071373863972124</v>
      </c>
      <c r="R20" s="163"/>
      <c r="S20" s="205">
        <f>Q20*(1+人口等補正!D15)</f>
        <v>1.0102208738782168</v>
      </c>
    </row>
    <row r="21" spans="1:19">
      <c r="A21" s="34">
        <f t="shared" si="1"/>
        <v>2023</v>
      </c>
      <c r="C21" s="163">
        <f>基礎年金拠出金の計算!K21</f>
        <v>1.0707607274632387</v>
      </c>
      <c r="D21" s="163">
        <f>基礎年金拠出金の計算!L21</f>
        <v>1.0136931721758973</v>
      </c>
      <c r="E21" s="163">
        <f>基礎年金拠出金の計算!M21</f>
        <v>1.0448185277662545</v>
      </c>
      <c r="F21" s="163">
        <f>基礎年金拠出金の計算!N21</f>
        <v>1.0245504516068591</v>
      </c>
      <c r="G21" s="163"/>
      <c r="H21" s="163">
        <f t="shared" si="2"/>
        <v>1.0678812780674904</v>
      </c>
      <c r="I21" s="163">
        <f t="shared" si="2"/>
        <v>1.0132718533179688</v>
      </c>
      <c r="J21" s="163">
        <f t="shared" si="2"/>
        <v>1.043214352123307</v>
      </c>
      <c r="K21" s="163">
        <f t="shared" si="0"/>
        <v>1.0240410394566057</v>
      </c>
      <c r="L21" s="163"/>
      <c r="M21" s="206">
        <f t="shared" si="3"/>
        <v>1.0165310780323698</v>
      </c>
      <c r="N21" s="206">
        <f t="shared" si="4"/>
        <v>1.0024667304333361</v>
      </c>
      <c r="O21" s="206">
        <f t="shared" si="5"/>
        <v>1.0096744931115462</v>
      </c>
      <c r="P21" s="206">
        <f t="shared" si="6"/>
        <v>1.0033123547909977</v>
      </c>
      <c r="Q21" s="46">
        <v>1.0054367786806853</v>
      </c>
      <c r="R21" s="163"/>
      <c r="S21" s="205">
        <f>Q21*(1+人口等補正!D16)</f>
        <v>1.0092077252572955</v>
      </c>
    </row>
    <row r="22" spans="1:19">
      <c r="A22" s="34">
        <f t="shared" si="1"/>
        <v>2024</v>
      </c>
      <c r="C22" s="163">
        <f>基礎年金拠出金の計算!K22</f>
        <v>1.0883564974574598</v>
      </c>
      <c r="D22" s="163">
        <f>基礎年金拠出金の計算!L22</f>
        <v>1.0163287744235545</v>
      </c>
      <c r="E22" s="163">
        <f>基礎年金拠出金の計算!M22</f>
        <v>1.0541549448168066</v>
      </c>
      <c r="F22" s="163">
        <f>基礎年金拠出金の計算!N22</f>
        <v>1.0275729176412467</v>
      </c>
      <c r="G22" s="163"/>
      <c r="H22" s="163">
        <f t="shared" si="2"/>
        <v>1.0854238691250895</v>
      </c>
      <c r="I22" s="163">
        <f t="shared" si="2"/>
        <v>1.0158895073822782</v>
      </c>
      <c r="J22" s="163">
        <f t="shared" si="2"/>
        <v>1.0525988753083813</v>
      </c>
      <c r="K22" s="163">
        <f t="shared" si="0"/>
        <v>1.0270691733021822</v>
      </c>
      <c r="L22" s="163"/>
      <c r="M22" s="206">
        <f t="shared" si="3"/>
        <v>1.0164274731825482</v>
      </c>
      <c r="N22" s="206">
        <f t="shared" si="4"/>
        <v>1.0025833679833678</v>
      </c>
      <c r="O22" s="206">
        <f t="shared" si="5"/>
        <v>1.0089957765304642</v>
      </c>
      <c r="P22" s="206">
        <f t="shared" si="6"/>
        <v>1.0029570434473829</v>
      </c>
      <c r="Q22" s="46">
        <v>1.003266952028697</v>
      </c>
      <c r="R22" s="163"/>
      <c r="S22" s="205">
        <f>Q22*(1+人口等補正!D17)</f>
        <v>1.007747251610684</v>
      </c>
    </row>
    <row r="23" spans="1:19">
      <c r="A23" s="34">
        <f t="shared" si="1"/>
        <v>2025</v>
      </c>
      <c r="C23" s="163">
        <f>基礎年金拠出金の計算!K23</f>
        <v>1.1062050098743108</v>
      </c>
      <c r="D23" s="163">
        <f>基礎年金拠出金の計算!L23</f>
        <v>1.0187679634821709</v>
      </c>
      <c r="E23" s="163">
        <f>基礎年金拠出金の計算!M23</f>
        <v>1.0639945481826252</v>
      </c>
      <c r="F23" s="163">
        <f>基礎年金拠出金の計算!N23</f>
        <v>1.0303180876297686</v>
      </c>
      <c r="G23" s="163"/>
      <c r="H23" s="163">
        <f t="shared" si="2"/>
        <v>1.1032302578048354</v>
      </c>
      <c r="I23" s="163">
        <f t="shared" si="2"/>
        <v>1.0183614319724015</v>
      </c>
      <c r="J23" s="163">
        <f t="shared" si="2"/>
        <v>1.0623546142883222</v>
      </c>
      <c r="K23" s="163">
        <f t="shared" si="0"/>
        <v>1.0298605592983483</v>
      </c>
      <c r="L23" s="163"/>
      <c r="M23" s="206">
        <f t="shared" si="3"/>
        <v>1.0164050093113384</v>
      </c>
      <c r="N23" s="206">
        <f t="shared" si="4"/>
        <v>1.0024332612672542</v>
      </c>
      <c r="O23" s="206">
        <f t="shared" si="5"/>
        <v>1.0092682399808597</v>
      </c>
      <c r="P23" s="206">
        <f t="shared" si="6"/>
        <v>1.0027178169384554</v>
      </c>
      <c r="Q23" s="46">
        <v>1.000883459159317</v>
      </c>
      <c r="R23" s="163"/>
      <c r="S23" s="205">
        <f>Q23*(1+人口等補正!D18)</f>
        <v>1.0059843209567454</v>
      </c>
    </row>
    <row r="24" spans="1:19">
      <c r="A24" s="34">
        <f t="shared" si="1"/>
        <v>2026</v>
      </c>
      <c r="C24" s="163">
        <f>基礎年金拠出金の計算!K24</f>
        <v>1.1239408028789886</v>
      </c>
      <c r="D24" s="163">
        <f>基礎年金拠出金の計算!L24</f>
        <v>1.020703622612787</v>
      </c>
      <c r="E24" s="163">
        <f>基礎年金拠出金の計算!M24</f>
        <v>1.0737553919861607</v>
      </c>
      <c r="F24" s="163">
        <f>基礎年金拠出金の計算!N24</f>
        <v>1.0325577646360631</v>
      </c>
      <c r="G24" s="163"/>
      <c r="H24" s="163">
        <f t="shared" si="2"/>
        <v>1.1209848373782088</v>
      </c>
      <c r="I24" s="163">
        <f t="shared" si="2"/>
        <v>1.0203810127576844</v>
      </c>
      <c r="J24" s="163">
        <f t="shared" si="2"/>
        <v>1.0721285846855715</v>
      </c>
      <c r="K24" s="163">
        <f t="shared" si="0"/>
        <v>1.0321844851350142</v>
      </c>
      <c r="L24" s="163"/>
      <c r="M24" s="206">
        <f t="shared" si="3"/>
        <v>1.016093267427872</v>
      </c>
      <c r="N24" s="206">
        <f t="shared" si="4"/>
        <v>1.0019831669993349</v>
      </c>
      <c r="O24" s="206">
        <f t="shared" si="5"/>
        <v>1.0092002898710022</v>
      </c>
      <c r="P24" s="206">
        <f t="shared" si="6"/>
        <v>1.0022565441657938</v>
      </c>
      <c r="Q24" s="46">
        <v>0.99832519450130319</v>
      </c>
      <c r="R24" s="163"/>
      <c r="S24" s="205">
        <f>Q24*(1+人口等補正!D19)</f>
        <v>1.0040622319829406</v>
      </c>
    </row>
    <row r="25" spans="1:19">
      <c r="A25" s="34">
        <f t="shared" si="1"/>
        <v>2027</v>
      </c>
      <c r="C25" s="163">
        <f>基礎年金拠出金の計算!K25</f>
        <v>1.1406121520779995</v>
      </c>
      <c r="D25" s="163">
        <f>基礎年金拠出金の計算!L25</f>
        <v>1.0219284669599225</v>
      </c>
      <c r="E25" s="163">
        <f>基礎年金拠出金の計算!M25</f>
        <v>1.0829691514871496</v>
      </c>
      <c r="F25" s="163">
        <f>基礎年金拠出金の計算!N25</f>
        <v>1.0341901081438216</v>
      </c>
      <c r="G25" s="163"/>
      <c r="H25" s="163">
        <f t="shared" ref="H25:J38" si="7">(C24*2+C25*10)/12</f>
        <v>1.1378335938781643</v>
      </c>
      <c r="I25" s="163">
        <f t="shared" si="7"/>
        <v>1.0217243262353999</v>
      </c>
      <c r="J25" s="163">
        <f t="shared" si="7"/>
        <v>1.0814335249036515</v>
      </c>
      <c r="K25" s="163">
        <f t="shared" si="0"/>
        <v>1.0339180508925285</v>
      </c>
      <c r="L25" s="163"/>
      <c r="M25" s="206">
        <f t="shared" si="3"/>
        <v>1.0150303161453655</v>
      </c>
      <c r="N25" s="206">
        <f t="shared" si="4"/>
        <v>1.0013164822364589</v>
      </c>
      <c r="O25" s="206">
        <f t="shared" si="5"/>
        <v>1.0086789405216809</v>
      </c>
      <c r="P25" s="206">
        <f t="shared" si="6"/>
        <v>1.0016795115432175</v>
      </c>
      <c r="Q25" s="46">
        <v>0.99561624891591238</v>
      </c>
      <c r="R25" s="163"/>
      <c r="S25" s="205">
        <f>Q25*(1+人口等補正!D20)</f>
        <v>1.0019387935645314</v>
      </c>
    </row>
    <row r="26" spans="1:19">
      <c r="A26" s="34">
        <f t="shared" si="1"/>
        <v>2028</v>
      </c>
      <c r="C26" s="163">
        <f>基礎年金拠出金の計算!K26</f>
        <v>1.1563525997766757</v>
      </c>
      <c r="D26" s="163">
        <f>基礎年金拠出金の計算!L26</f>
        <v>1.0227460097334904</v>
      </c>
      <c r="E26" s="163">
        <f>基礎年金拠出金の計算!M26</f>
        <v>1.090994571371297</v>
      </c>
      <c r="F26" s="163">
        <f>基礎年金拠出金の計算!N26</f>
        <v>1.0346147167026194</v>
      </c>
      <c r="G26" s="163"/>
      <c r="H26" s="163">
        <f t="shared" si="7"/>
        <v>1.1537291918268961</v>
      </c>
      <c r="I26" s="163">
        <f t="shared" si="7"/>
        <v>1.0226097526045623</v>
      </c>
      <c r="J26" s="163">
        <f t="shared" si="7"/>
        <v>1.0896570013906057</v>
      </c>
      <c r="K26" s="163">
        <f t="shared" si="0"/>
        <v>1.0345439486094865</v>
      </c>
      <c r="L26" s="163"/>
      <c r="M26" s="206">
        <f t="shared" si="3"/>
        <v>1.0139700550539676</v>
      </c>
      <c r="N26" s="206">
        <f t="shared" si="4"/>
        <v>1.0008666000666</v>
      </c>
      <c r="O26" s="206">
        <f t="shared" si="5"/>
        <v>1.0076042366891547</v>
      </c>
      <c r="P26" s="206">
        <f t="shared" si="6"/>
        <v>1.0006053649188325</v>
      </c>
      <c r="Q26" s="46">
        <v>0.99197140386412386</v>
      </c>
      <c r="R26" s="163"/>
      <c r="S26" s="205">
        <f>Q26*(1+人口等補正!D21)</f>
        <v>0.99885818290408213</v>
      </c>
    </row>
    <row r="27" spans="1:19">
      <c r="A27" s="34">
        <f t="shared" si="1"/>
        <v>2029</v>
      </c>
      <c r="C27" s="163">
        <f>基礎年金拠出金の計算!K27</f>
        <v>1.1720789951336383</v>
      </c>
      <c r="D27" s="163">
        <f>基礎年金拠出金の計算!L27</f>
        <v>1.0233596573393304</v>
      </c>
      <c r="E27" s="163">
        <f>基礎年金拠出金の計算!M27</f>
        <v>1.0995901652652591</v>
      </c>
      <c r="F27" s="163">
        <f>基礎年金拠出金の計算!N27</f>
        <v>1.0358619711974562</v>
      </c>
      <c r="G27" s="163"/>
      <c r="H27" s="163">
        <f t="shared" si="7"/>
        <v>1.1694579292408112</v>
      </c>
      <c r="I27" s="163">
        <f t="shared" si="7"/>
        <v>1.0232573827383571</v>
      </c>
      <c r="J27" s="163">
        <f t="shared" si="7"/>
        <v>1.0981575662829322</v>
      </c>
      <c r="K27" s="163">
        <f t="shared" si="0"/>
        <v>1.0356540954483167</v>
      </c>
      <c r="L27" s="163"/>
      <c r="M27" s="206">
        <f t="shared" si="3"/>
        <v>1.0136329543582139</v>
      </c>
      <c r="N27" s="206">
        <f t="shared" si="4"/>
        <v>1.000633311125916</v>
      </c>
      <c r="O27" s="206">
        <f t="shared" si="5"/>
        <v>1.007801138231093</v>
      </c>
      <c r="P27" s="206">
        <f t="shared" si="6"/>
        <v>1.0010730784712649</v>
      </c>
      <c r="Q27" s="46">
        <v>0.9888870243753195</v>
      </c>
      <c r="R27" s="163"/>
      <c r="S27" s="205">
        <f>Q27*(1+人口等補正!D22)</f>
        <v>0.99637553627981446</v>
      </c>
    </row>
    <row r="28" spans="1:19">
      <c r="A28" s="34">
        <f t="shared" si="1"/>
        <v>2030</v>
      </c>
      <c r="C28" s="163">
        <f>基礎年金拠出金の計算!K28</f>
        <v>1.1873160220703756</v>
      </c>
      <c r="D28" s="163">
        <f>基礎年金拠出金の計算!L28</f>
        <v>1.0233596573393304</v>
      </c>
      <c r="E28" s="163">
        <f>基礎年金拠出金の計算!M28</f>
        <v>1.1098114935960752</v>
      </c>
      <c r="F28" s="163">
        <f>基礎年金拠出金の計算!N28</f>
        <v>1.0365138319830605</v>
      </c>
      <c r="G28" s="163"/>
      <c r="H28" s="163">
        <f t="shared" si="7"/>
        <v>1.1847765175809195</v>
      </c>
      <c r="I28" s="163">
        <f t="shared" si="7"/>
        <v>1.0233596573393304</v>
      </c>
      <c r="J28" s="163">
        <f t="shared" si="7"/>
        <v>1.1081079388742725</v>
      </c>
      <c r="K28" s="163">
        <f t="shared" si="0"/>
        <v>1.036405188518793</v>
      </c>
      <c r="L28" s="163"/>
      <c r="M28" s="206">
        <f t="shared" si="3"/>
        <v>1.0130988793671722</v>
      </c>
      <c r="N28" s="206">
        <f t="shared" si="4"/>
        <v>1.0000999500249874</v>
      </c>
      <c r="O28" s="206">
        <f t="shared" si="5"/>
        <v>1.0090609698433537</v>
      </c>
      <c r="P28" s="206">
        <f t="shared" si="6"/>
        <v>1.0007252354562952</v>
      </c>
      <c r="Q28" s="46">
        <v>0.98593189539954929</v>
      </c>
      <c r="R28" s="163"/>
      <c r="S28" s="205">
        <f>Q28*(1+人口等補正!D23)</f>
        <v>0.9939391586411489</v>
      </c>
    </row>
    <row r="29" spans="1:19">
      <c r="A29" s="34">
        <f t="shared" si="1"/>
        <v>2031</v>
      </c>
      <c r="C29" s="163">
        <f>基礎年金拠出金の計算!K29</f>
        <v>1.2015638143352201</v>
      </c>
      <c r="D29" s="163">
        <f>基礎年金拠出金の計算!L29</f>
        <v>1.0233596573393304</v>
      </c>
      <c r="E29" s="163">
        <f>基礎年金拠出金の計算!M29</f>
        <v>1.121261431956657</v>
      </c>
      <c r="F29" s="163">
        <f>基礎年金拠出金の計算!N29</f>
        <v>1.0365138319830605</v>
      </c>
      <c r="G29" s="163"/>
      <c r="H29" s="163">
        <f t="shared" si="7"/>
        <v>1.1991891822910794</v>
      </c>
      <c r="I29" s="163">
        <f t="shared" si="7"/>
        <v>1.0233596573393304</v>
      </c>
      <c r="J29" s="163">
        <f t="shared" si="7"/>
        <v>1.1193531088965598</v>
      </c>
      <c r="K29" s="163">
        <f t="shared" si="0"/>
        <v>1.0365138319830605</v>
      </c>
      <c r="L29" s="163"/>
      <c r="M29" s="206">
        <f t="shared" si="3"/>
        <v>1.0121648804616652</v>
      </c>
      <c r="N29" s="206">
        <f t="shared" si="4"/>
        <v>1</v>
      </c>
      <c r="O29" s="206">
        <f t="shared" si="5"/>
        <v>1.0101480818138631</v>
      </c>
      <c r="P29" s="206">
        <f t="shared" si="6"/>
        <v>1.000104827209928</v>
      </c>
      <c r="Q29" s="46">
        <v>0.98293929866677632</v>
      </c>
      <c r="R29" s="163"/>
      <c r="S29" s="205">
        <f>Q29*(1+人口等補正!D24)</f>
        <v>0.99141844344307128</v>
      </c>
    </row>
    <row r="30" spans="1:19">
      <c r="A30" s="34">
        <f t="shared" si="1"/>
        <v>2032</v>
      </c>
      <c r="C30" s="163">
        <f>基礎年金拠出金の計算!K30</f>
        <v>1.2146608599114739</v>
      </c>
      <c r="D30" s="163">
        <f>基礎年金拠出金の計算!L30</f>
        <v>1.0233596573393304</v>
      </c>
      <c r="E30" s="163">
        <f>基礎年金拠出金の計算!M30</f>
        <v>1.134325774459517</v>
      </c>
      <c r="F30" s="163">
        <f>基礎年金拠出金の計算!N30</f>
        <v>1.0365138319830605</v>
      </c>
      <c r="G30" s="163"/>
      <c r="H30" s="163">
        <f t="shared" si="7"/>
        <v>1.2124780189820983</v>
      </c>
      <c r="I30" s="163">
        <f t="shared" si="7"/>
        <v>1.0233596573393304</v>
      </c>
      <c r="J30" s="163">
        <f t="shared" si="7"/>
        <v>1.1321483840423736</v>
      </c>
      <c r="K30" s="163">
        <f t="shared" si="0"/>
        <v>1.0365138319830605</v>
      </c>
      <c r="L30" s="163"/>
      <c r="M30" s="206">
        <f t="shared" si="3"/>
        <v>1.0110815181518151</v>
      </c>
      <c r="N30" s="206">
        <f t="shared" si="4"/>
        <v>1</v>
      </c>
      <c r="O30" s="206">
        <f t="shared" si="5"/>
        <v>1.0114309551151621</v>
      </c>
      <c r="P30" s="206">
        <f t="shared" si="6"/>
        <v>1</v>
      </c>
      <c r="Q30" s="46">
        <v>0.9804819628878747</v>
      </c>
      <c r="R30" s="163"/>
      <c r="S30" s="205">
        <f>Q30*(1+人口等補正!D25)</f>
        <v>0.98949514091351476</v>
      </c>
    </row>
    <row r="31" spans="1:19">
      <c r="A31" s="34">
        <f t="shared" si="1"/>
        <v>2033</v>
      </c>
      <c r="C31" s="163">
        <f>基礎年金拠出金の計算!K31</f>
        <v>1.2270504006825709</v>
      </c>
      <c r="D31" s="163">
        <f>基礎年金拠出金の計算!L31</f>
        <v>1.0233596573393304</v>
      </c>
      <c r="E31" s="163">
        <f>基礎年金拠出金の計算!M31</f>
        <v>1.1466337687071511</v>
      </c>
      <c r="F31" s="163">
        <f>基礎年金拠出金の計算!N31</f>
        <v>1.0365138319830605</v>
      </c>
      <c r="G31" s="163"/>
      <c r="H31" s="163">
        <f t="shared" si="7"/>
        <v>1.2249854772207214</v>
      </c>
      <c r="I31" s="163">
        <f t="shared" si="7"/>
        <v>1.0233596573393304</v>
      </c>
      <c r="J31" s="163">
        <f t="shared" si="7"/>
        <v>1.1445824363325452</v>
      </c>
      <c r="K31" s="163">
        <f t="shared" si="0"/>
        <v>1.0365138319830605</v>
      </c>
      <c r="L31" s="163"/>
      <c r="M31" s="206">
        <f t="shared" si="3"/>
        <v>1.0103156164836071</v>
      </c>
      <c r="N31" s="206">
        <f t="shared" si="4"/>
        <v>1</v>
      </c>
      <c r="O31" s="206">
        <f t="shared" si="5"/>
        <v>1.0109827055052407</v>
      </c>
      <c r="P31" s="206">
        <f t="shared" si="6"/>
        <v>1</v>
      </c>
      <c r="Q31" s="46">
        <v>0.97778406331143641</v>
      </c>
      <c r="R31" s="163"/>
      <c r="S31" s="205">
        <f>Q31*(1+人口等補正!D26)</f>
        <v>0.98724190519702537</v>
      </c>
    </row>
    <row r="32" spans="1:19">
      <c r="A32" s="34">
        <f t="shared" si="1"/>
        <v>2034</v>
      </c>
      <c r="C32" s="163">
        <f>基礎年金拠出金の計算!K32</f>
        <v>1.2384619694089185</v>
      </c>
      <c r="D32" s="163">
        <f>基礎年金拠出金の計算!L32</f>
        <v>1.0233596573393304</v>
      </c>
      <c r="E32" s="163">
        <f>基礎年金拠出金の計算!M32</f>
        <v>1.1579248901296231</v>
      </c>
      <c r="F32" s="163">
        <f>基礎年金拠出金の計算!N32</f>
        <v>1.0365138319830605</v>
      </c>
      <c r="G32" s="163"/>
      <c r="H32" s="163">
        <f t="shared" si="7"/>
        <v>1.2365600412878606</v>
      </c>
      <c r="I32" s="163">
        <f t="shared" si="7"/>
        <v>1.0233596573393304</v>
      </c>
      <c r="J32" s="163">
        <f t="shared" si="7"/>
        <v>1.1560430365592109</v>
      </c>
      <c r="K32" s="163">
        <f t="shared" si="0"/>
        <v>1.0365138319830605</v>
      </c>
      <c r="L32" s="163"/>
      <c r="M32" s="206">
        <f t="shared" si="3"/>
        <v>1.0094487357461575</v>
      </c>
      <c r="N32" s="206">
        <f t="shared" si="4"/>
        <v>1</v>
      </c>
      <c r="O32" s="206">
        <f t="shared" si="5"/>
        <v>1.0100129093919943</v>
      </c>
      <c r="P32" s="206">
        <f t="shared" si="6"/>
        <v>1</v>
      </c>
      <c r="Q32" s="46">
        <v>0.97513969698449854</v>
      </c>
      <c r="R32" s="163"/>
      <c r="S32" s="205">
        <f>Q32*(1+人口等補正!D27)</f>
        <v>0.98504470026634861</v>
      </c>
    </row>
    <row r="33" spans="1:19">
      <c r="A33" s="34">
        <f t="shared" si="1"/>
        <v>2035</v>
      </c>
      <c r="C33" s="163">
        <f>基礎年金拠出金の計算!K33</f>
        <v>1.2484935113611308</v>
      </c>
      <c r="D33" s="163">
        <f>基礎年金拠出金の計算!L33</f>
        <v>1.0233596573393304</v>
      </c>
      <c r="E33" s="163">
        <f>基礎年金拠出金の計算!M33</f>
        <v>1.1680514813205249</v>
      </c>
      <c r="F33" s="163">
        <f>基礎年金拠出金の計算!N33</f>
        <v>1.0365138319830605</v>
      </c>
      <c r="G33" s="163"/>
      <c r="H33" s="163">
        <f t="shared" si="7"/>
        <v>1.2468215877024289</v>
      </c>
      <c r="I33" s="163">
        <f t="shared" si="7"/>
        <v>1.0233596573393304</v>
      </c>
      <c r="J33" s="163">
        <f t="shared" si="7"/>
        <v>1.1663637161220413</v>
      </c>
      <c r="K33" s="163">
        <f t="shared" si="0"/>
        <v>1.0365138319830605</v>
      </c>
      <c r="L33" s="163"/>
      <c r="M33" s="206">
        <f t="shared" si="3"/>
        <v>1.0082984619201192</v>
      </c>
      <c r="N33" s="206">
        <f t="shared" si="4"/>
        <v>1</v>
      </c>
      <c r="O33" s="206">
        <f t="shared" si="5"/>
        <v>1.0089275911332405</v>
      </c>
      <c r="P33" s="206">
        <f t="shared" si="6"/>
        <v>1</v>
      </c>
      <c r="Q33" s="46">
        <v>0.97261717662428304</v>
      </c>
      <c r="R33" s="163"/>
      <c r="S33" s="205">
        <f>Q33*(1+人口等補正!D28)</f>
        <v>0.98297071399680702</v>
      </c>
    </row>
    <row r="34" spans="1:19">
      <c r="A34" s="34">
        <f t="shared" si="1"/>
        <v>2036</v>
      </c>
      <c r="C34" s="163">
        <f>基礎年金拠出金の計算!K34</f>
        <v>1.2573578152917948</v>
      </c>
      <c r="D34" s="163">
        <f>基礎年金拠出金の計算!L34</f>
        <v>1.0233596573393304</v>
      </c>
      <c r="E34" s="163">
        <f>基礎年金拠出金の計算!M34</f>
        <v>1.1770919284964345</v>
      </c>
      <c r="F34" s="163">
        <f>基礎年金拠出金の計算!N34</f>
        <v>1.0365138319830605</v>
      </c>
      <c r="G34" s="163"/>
      <c r="H34" s="163">
        <f>(C33*2+C34*10)/12</f>
        <v>1.2558804313033509</v>
      </c>
      <c r="I34" s="163">
        <f>(D33*2+D34*10)/12</f>
        <v>1.0233596573393304</v>
      </c>
      <c r="J34" s="163">
        <f t="shared" si="7"/>
        <v>1.1755851873004495</v>
      </c>
      <c r="K34" s="163">
        <f t="shared" si="0"/>
        <v>1.0365138319830605</v>
      </c>
      <c r="L34" s="163"/>
      <c r="M34" s="206">
        <f t="shared" si="3"/>
        <v>1.0072655492095024</v>
      </c>
      <c r="N34" s="206">
        <f t="shared" si="4"/>
        <v>1</v>
      </c>
      <c r="O34" s="206">
        <f t="shared" si="5"/>
        <v>1.0079061711633726</v>
      </c>
      <c r="P34" s="206">
        <f t="shared" si="6"/>
        <v>1</v>
      </c>
      <c r="Q34" s="46">
        <v>0.97016393133047452</v>
      </c>
      <c r="R34" s="163"/>
      <c r="S34" s="205">
        <f>Q34*(1+人口等補正!D29)</f>
        <v>0.98104145713033286</v>
      </c>
    </row>
    <row r="35" spans="1:19">
      <c r="A35" s="34">
        <f t="shared" si="1"/>
        <v>2037</v>
      </c>
      <c r="C35" s="163">
        <f>基礎年金拠出金の計算!K35</f>
        <v>1.2655306410911915</v>
      </c>
      <c r="D35" s="163">
        <f>基礎年金拠出金の計算!L35</f>
        <v>1.0233596573393304</v>
      </c>
      <c r="E35" s="163">
        <f>基礎年金拠出金の計算!M35</f>
        <v>1.1855700039052413</v>
      </c>
      <c r="F35" s="163">
        <f>基礎年金拠出金の計算!N35</f>
        <v>1.0365138319830605</v>
      </c>
      <c r="G35" s="163"/>
      <c r="H35" s="163">
        <f t="shared" si="7"/>
        <v>1.2641685034579588</v>
      </c>
      <c r="I35" s="163">
        <f t="shared" si="7"/>
        <v>1.0233596573393304</v>
      </c>
      <c r="J35" s="163">
        <f>(E34*2+E35*10)/12</f>
        <v>1.1841569913371066</v>
      </c>
      <c r="K35" s="163">
        <f>(F34*2+F35*10)/12</f>
        <v>1.0365138319830605</v>
      </c>
      <c r="L35" s="163"/>
      <c r="M35" s="206">
        <f t="shared" si="3"/>
        <v>1.0065994118134372</v>
      </c>
      <c r="N35" s="206">
        <f t="shared" si="4"/>
        <v>1</v>
      </c>
      <c r="O35" s="206">
        <f t="shared" si="5"/>
        <v>1.0072915209627138</v>
      </c>
      <c r="P35" s="206">
        <f t="shared" si="6"/>
        <v>1</v>
      </c>
      <c r="Q35" s="46">
        <v>0.96786030771532194</v>
      </c>
      <c r="R35" s="163"/>
      <c r="S35" s="205">
        <f>Q35*(1+人口等補正!D30)</f>
        <v>0.97930418492476057</v>
      </c>
    </row>
    <row r="36" spans="1:19">
      <c r="A36" s="34">
        <f t="shared" si="1"/>
        <v>2038</v>
      </c>
      <c r="C36" s="163">
        <f>基礎年金拠出金の計算!K36</f>
        <v>1.2735034841300661</v>
      </c>
      <c r="D36" s="163">
        <f>基礎年金拠出金の計算!L36</f>
        <v>1.0233596573393304</v>
      </c>
      <c r="E36" s="163">
        <f>基礎年金拠出金の計算!M36</f>
        <v>1.1943147499134348</v>
      </c>
      <c r="F36" s="163">
        <f>基礎年金拠出金の計算!N36</f>
        <v>1.0365138319830605</v>
      </c>
      <c r="G36" s="163"/>
      <c r="H36" s="163">
        <f t="shared" si="7"/>
        <v>1.2721746769569202</v>
      </c>
      <c r="I36" s="163">
        <f t="shared" si="7"/>
        <v>1.0233596573393304</v>
      </c>
      <c r="J36" s="163">
        <f t="shared" si="7"/>
        <v>1.1928572922454024</v>
      </c>
      <c r="K36" s="163">
        <f t="shared" si="0"/>
        <v>1.0365138319830605</v>
      </c>
      <c r="L36" s="163"/>
      <c r="M36" s="206">
        <f t="shared" si="3"/>
        <v>1.0063331537505178</v>
      </c>
      <c r="N36" s="206">
        <f t="shared" si="4"/>
        <v>1</v>
      </c>
      <c r="O36" s="206">
        <f t="shared" si="5"/>
        <v>1.0073472529165848</v>
      </c>
      <c r="P36" s="206">
        <f t="shared" si="6"/>
        <v>1</v>
      </c>
      <c r="Q36" s="46">
        <v>0.96576885693586789</v>
      </c>
      <c r="R36" s="163"/>
      <c r="S36" s="205">
        <f>Q36*(1+人口等補正!D31)</f>
        <v>0.97771774471051298</v>
      </c>
    </row>
    <row r="37" spans="1:19">
      <c r="A37" s="34">
        <f t="shared" si="1"/>
        <v>2039</v>
      </c>
      <c r="C37" s="163">
        <f>基礎年金拠出金の計算!K37</f>
        <v>1.2815265560800855</v>
      </c>
      <c r="D37" s="163">
        <f>基礎年金拠出金の計算!L37</f>
        <v>1.0233596573393304</v>
      </c>
      <c r="E37" s="163">
        <f>基礎年金拠出金の計算!M37</f>
        <v>1.2035586507372891</v>
      </c>
      <c r="F37" s="163">
        <f>基礎年金拠出金の計算!N37</f>
        <v>1.0365138319830605</v>
      </c>
      <c r="G37" s="163"/>
      <c r="H37" s="163">
        <f t="shared" si="7"/>
        <v>1.280189377421749</v>
      </c>
      <c r="I37" s="163">
        <f t="shared" si="7"/>
        <v>1.0233596573393304</v>
      </c>
      <c r="J37" s="163">
        <f t="shared" si="7"/>
        <v>1.2020180005999801</v>
      </c>
      <c r="K37" s="163">
        <f t="shared" si="0"/>
        <v>1.0365138319830605</v>
      </c>
      <c r="L37" s="163"/>
      <c r="M37" s="206">
        <f t="shared" si="3"/>
        <v>1.0063000000000002</v>
      </c>
      <c r="N37" s="206">
        <f t="shared" si="4"/>
        <v>1</v>
      </c>
      <c r="O37" s="206">
        <f t="shared" si="5"/>
        <v>1.0076796347845884</v>
      </c>
      <c r="P37" s="206">
        <f t="shared" si="6"/>
        <v>1</v>
      </c>
      <c r="Q37" s="46">
        <v>0.96396687037306927</v>
      </c>
      <c r="R37" s="163"/>
      <c r="S37" s="205">
        <f>Q37*(1+人口等補正!D32)</f>
        <v>0.97640768347752782</v>
      </c>
    </row>
    <row r="38" spans="1:19">
      <c r="A38" s="34">
        <f t="shared" si="1"/>
        <v>2040</v>
      </c>
      <c r="C38" s="163">
        <f>基礎年金拠出金の計算!K38</f>
        <v>1.289343868072174</v>
      </c>
      <c r="D38" s="163">
        <f>基礎年金拠出金の計算!L38</f>
        <v>1.0233596573393304</v>
      </c>
      <c r="E38" s="163">
        <f>基礎年金拠出金の計算!M38</f>
        <v>1.2131401113674074</v>
      </c>
      <c r="F38" s="163">
        <f>基礎年金拠出金の計算!N38</f>
        <v>1.0365138319830605</v>
      </c>
      <c r="G38" s="163"/>
      <c r="H38" s="163">
        <f t="shared" si="7"/>
        <v>1.2880409827401593</v>
      </c>
      <c r="I38" s="163">
        <f t="shared" si="7"/>
        <v>1.0233596573393304</v>
      </c>
      <c r="J38" s="163">
        <f t="shared" si="7"/>
        <v>1.2115432012623877</v>
      </c>
      <c r="K38" s="163">
        <f t="shared" si="0"/>
        <v>1.0365138319830605</v>
      </c>
      <c r="L38" s="163"/>
      <c r="M38" s="206">
        <f t="shared" si="3"/>
        <v>1.0061331592472851</v>
      </c>
      <c r="N38" s="206">
        <f t="shared" si="4"/>
        <v>1</v>
      </c>
      <c r="O38" s="206">
        <f t="shared" si="5"/>
        <v>1.0079243411144037</v>
      </c>
      <c r="P38" s="206">
        <f t="shared" si="6"/>
        <v>1</v>
      </c>
      <c r="Q38" s="46">
        <v>0.9625297723304499</v>
      </c>
      <c r="R38" s="163"/>
      <c r="S38" s="205">
        <f>Q38*(1+人口等補正!D33)</f>
        <v>0.97537092266910363</v>
      </c>
    </row>
  </sheetData>
  <mergeCells count="4">
    <mergeCell ref="M1:N1"/>
    <mergeCell ref="M2:P2"/>
    <mergeCell ref="M3:N3"/>
    <mergeCell ref="O3:P3"/>
  </mergeCells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【年金全体】</vt:lpstr>
      <vt:lpstr>⇒厚年・国年</vt:lpstr>
      <vt:lpstr>【国民年金】</vt:lpstr>
      <vt:lpstr>国民年金</vt:lpstr>
      <vt:lpstr>【厚生年金】</vt:lpstr>
      <vt:lpstr>厚生年金</vt:lpstr>
      <vt:lpstr>人口等補正</vt:lpstr>
      <vt:lpstr>厚年比例の計算</vt:lpstr>
      <vt:lpstr>厚年定額の計算</vt:lpstr>
      <vt:lpstr>基礎年金拠出金の計算</vt:lpstr>
      <vt:lpstr>経済前提</vt:lpstr>
      <vt:lpstr>マクロ経済スライド</vt:lpstr>
      <vt:lpstr>⇒三共済・旧３公社等</vt:lpstr>
      <vt:lpstr>【三共済・旧３公社等】</vt:lpstr>
      <vt:lpstr>共済</vt:lpstr>
      <vt:lpstr>⇒年金生活者支援給付金</vt:lpstr>
      <vt:lpstr>【年金生活者支援給付金】</vt:lpstr>
      <vt:lpstr>⇒恩給</vt:lpstr>
      <vt:lpstr>【恩給】</vt:lpstr>
      <vt:lpstr>⇒その他</vt:lpstr>
      <vt:lpstr>【その他（恩給除く）】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2018-06-22T11:15:05Z</dcterms:modified>
</cp:coreProperties>
</file>