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0803000/WorkingDocLib/■03_医事係/13　協議審査（科目承認校）〇/05 その他/250529_協議申請の変更/臨床工学技士/251031_HP掲載用/"/>
    </mc:Choice>
  </mc:AlternateContent>
  <xr:revisionPtr revIDLastSave="113" documentId="14_{826900DC-16D3-47BB-B3A7-D580B00A89FF}" xr6:coauthVersionLast="47" xr6:coauthVersionMax="47" xr10:uidLastSave="{20359803-AD68-496E-8DBF-BE199CA17A81}"/>
  <bookViews>
    <workbookView xWindow="-120" yWindow="-120" windowWidth="29040" windowHeight="15720" tabRatio="923" xr2:uid="{00000000-000D-0000-FFFF-FFFF00000000}"/>
  </bookViews>
  <sheets>
    <sheet name="01（学校名入力）" sheetId="2" r:id="rId1"/>
    <sheet name="02（様式１）法第14条第４号の協議申請書" sheetId="5" r:id="rId2"/>
    <sheet name="03（様式２）履修証明書" sheetId="7" r:id="rId3"/>
    <sheet name="04（様式３）単位数の新旧対照表 " sheetId="3" r:id="rId4"/>
    <sheet name="05（様式４）教科内容対比表" sheetId="4" r:id="rId5"/>
    <sheet name="06（様式５）臨床実習確認表" sheetId="9" r:id="rId6"/>
    <sheet name="1行化シート" sheetId="8" state="hidden" r:id="rId7"/>
  </sheets>
  <externalReferences>
    <externalReference r:id="rId8"/>
  </externalReferences>
  <definedNames>
    <definedName name="_xlnm._FilterDatabase" localSheetId="4" hidden="1">'05（様式４）教科内容対比表'!$B$5:$K$579</definedName>
    <definedName name="_xlnm._FilterDatabase" localSheetId="6" hidden="1">'1行化シート'!$A$6:$X$6</definedName>
    <definedName name="_ja1">#REF!</definedName>
    <definedName name="_Order1" hidden="1">255</definedName>
    <definedName name="_Order2" hidden="1">255</definedName>
    <definedName name="_wa1">#REF!</definedName>
    <definedName name="_xa1">#REF!</definedName>
    <definedName name="cz">#REF!</definedName>
    <definedName name="Index1" localSheetId="6">[1]協会けんぽ!#REF!</definedName>
    <definedName name="Index1">[1]協会けんぽ!#REF!</definedName>
    <definedName name="index10" localSheetId="6">[1]協会けんぽ!#REF!</definedName>
    <definedName name="index10">[1]協会けんぽ!#REF!</definedName>
    <definedName name="index11" localSheetId="6">[1]協会けんぽ!#REF!</definedName>
    <definedName name="index11">[1]協会けんぽ!#REF!</definedName>
    <definedName name="Index12" localSheetId="6">[1]協会けんぽ!#REF!</definedName>
    <definedName name="Index12">[1]協会けんぽ!#REF!</definedName>
    <definedName name="Index13" localSheetId="6">[1]協会けんぽ!#REF!</definedName>
    <definedName name="Index13">[1]協会けんぽ!#REF!</definedName>
    <definedName name="Index2" localSheetId="6">[1]協会けんぽ!#REF!</definedName>
    <definedName name="Index2">[1]協会けんぽ!#REF!</definedName>
    <definedName name="index3" localSheetId="6">[1]協会けんぽ!#REF!</definedName>
    <definedName name="index3">[1]協会けんぽ!#REF!</definedName>
    <definedName name="index4" localSheetId="6">[1]協会けんぽ!#REF!</definedName>
    <definedName name="index4">[1]協会けんぽ!#REF!</definedName>
    <definedName name="index5" localSheetId="6">[1]協会けんぽ!#REF!</definedName>
    <definedName name="index5">[1]協会けんぽ!#REF!</definedName>
    <definedName name="index6" localSheetId="6">[1]協会けんぽ!#REF!</definedName>
    <definedName name="index6">[1]協会けんぽ!#REF!</definedName>
    <definedName name="index7" localSheetId="6">[1]協会けんぽ!#REF!</definedName>
    <definedName name="index7">[1]協会けんぽ!#REF!</definedName>
    <definedName name="index8" localSheetId="6">[1]協会けんぽ!#REF!</definedName>
    <definedName name="index8">[1]協会けんぽ!#REF!</definedName>
    <definedName name="index9" localSheetId="6">[1]協会けんぽ!#REF!</definedName>
    <definedName name="index9">[1]協会けんぽ!#REF!</definedName>
    <definedName name="_xlnm.Print_Area" localSheetId="0">'01（学校名入力）'!$A$1:$F$31</definedName>
    <definedName name="_xlnm.Print_Area" localSheetId="1">'02（様式１）法第14条第４号の協議申請書'!$A$1:$E$227</definedName>
    <definedName name="_xlnm.Print_Area" localSheetId="2">'03（様式２）履修証明書'!$A$1:$H$227</definedName>
    <definedName name="_xlnm.Print_Area" localSheetId="3">'04（様式３）単位数の新旧対照表 '!$A$1:$L$223</definedName>
    <definedName name="_xlnm.Print_Area" localSheetId="4">'05（様式４）教科内容対比表'!$A$1:$H$588</definedName>
    <definedName name="_xlnm.Print_Area" localSheetId="5">'06（様式５）臨床実習確認表'!$A$1:$M$22</definedName>
    <definedName name="_xlnm.Print_Titles" localSheetId="4">'05（様式４）教科内容対比表'!$5:$5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9" l="1"/>
  <c r="N6" i="9"/>
  <c r="N7" i="9"/>
  <c r="N8" i="9"/>
  <c r="N9" i="9"/>
  <c r="N10" i="9"/>
  <c r="N11" i="9"/>
  <c r="N12" i="9"/>
  <c r="N13" i="9"/>
  <c r="N14" i="9"/>
  <c r="O5" i="9"/>
  <c r="O6" i="9"/>
  <c r="O7" i="9"/>
  <c r="O8" i="9"/>
  <c r="O9" i="9"/>
  <c r="O10" i="9"/>
  <c r="O11" i="9"/>
  <c r="O12" i="9"/>
  <c r="O13" i="9"/>
  <c r="O14" i="9"/>
  <c r="O15" i="9"/>
  <c r="O16" i="9"/>
  <c r="O17" i="9"/>
  <c r="O18" i="9"/>
  <c r="O19" i="9"/>
  <c r="O20" i="9"/>
  <c r="O21" i="9"/>
  <c r="J587" i="4"/>
  <c r="Q6" i="4"/>
  <c r="P6" i="4"/>
  <c r="P98" i="4"/>
  <c r="Q98" i="4"/>
  <c r="P105" i="4"/>
  <c r="Q105" i="4"/>
  <c r="P108" i="4"/>
  <c r="Q108" i="4"/>
  <c r="P111" i="4"/>
  <c r="Q111" i="4"/>
  <c r="P116" i="4"/>
  <c r="Q116" i="4"/>
  <c r="P117" i="4"/>
  <c r="Q117" i="4"/>
  <c r="P121" i="4"/>
  <c r="Q121" i="4"/>
  <c r="P122" i="4"/>
  <c r="Q122" i="4"/>
  <c r="P123" i="4"/>
  <c r="Q123" i="4"/>
  <c r="P124" i="4"/>
  <c r="Q124" i="4"/>
  <c r="P125" i="4"/>
  <c r="Q125" i="4"/>
  <c r="P126" i="4"/>
  <c r="Q126" i="4"/>
  <c r="P127" i="4"/>
  <c r="Q127" i="4"/>
  <c r="P128" i="4"/>
  <c r="Q128" i="4"/>
  <c r="P132" i="4"/>
  <c r="Q132" i="4"/>
  <c r="P136" i="4"/>
  <c r="Q136" i="4"/>
  <c r="P137" i="4"/>
  <c r="Q137" i="4"/>
  <c r="P140" i="4"/>
  <c r="Q140" i="4"/>
  <c r="P149" i="4"/>
  <c r="Q149" i="4"/>
  <c r="P150" i="4"/>
  <c r="Q150" i="4"/>
  <c r="P153" i="4"/>
  <c r="Q153" i="4"/>
  <c r="P159" i="4"/>
  <c r="Q159" i="4"/>
  <c r="P160" i="4"/>
  <c r="Q160" i="4"/>
  <c r="P174" i="4"/>
  <c r="Q174" i="4"/>
  <c r="P185" i="4"/>
  <c r="Q185" i="4"/>
  <c r="P198" i="4"/>
  <c r="Q198" i="4"/>
  <c r="P204" i="4"/>
  <c r="Q204" i="4"/>
  <c r="P207" i="4"/>
  <c r="Q207" i="4"/>
  <c r="P214" i="4"/>
  <c r="Q214" i="4"/>
  <c r="P217" i="4"/>
  <c r="Q217" i="4"/>
  <c r="P225" i="4"/>
  <c r="Q225" i="4"/>
  <c r="P228" i="4"/>
  <c r="Q228" i="4"/>
  <c r="P238" i="4"/>
  <c r="Q238" i="4"/>
  <c r="P242" i="4"/>
  <c r="Q242" i="4"/>
  <c r="P247" i="4"/>
  <c r="Q247" i="4"/>
  <c r="P251" i="4"/>
  <c r="Q251" i="4"/>
  <c r="P262" i="4"/>
  <c r="Q262" i="4"/>
  <c r="P265" i="4"/>
  <c r="Q265" i="4"/>
  <c r="P269" i="4"/>
  <c r="Q269" i="4"/>
  <c r="P272" i="4"/>
  <c r="Q272" i="4"/>
  <c r="P278" i="4"/>
  <c r="Q278" i="4"/>
  <c r="P282" i="4"/>
  <c r="Q282" i="4"/>
  <c r="P288" i="4"/>
  <c r="Q288" i="4"/>
  <c r="P294" i="4"/>
  <c r="Q294" i="4"/>
  <c r="P298" i="4"/>
  <c r="Q298" i="4"/>
  <c r="P307" i="4"/>
  <c r="Q307" i="4"/>
  <c r="P313" i="4"/>
  <c r="Q313" i="4"/>
  <c r="P314" i="4"/>
  <c r="Q314" i="4"/>
  <c r="P315" i="4"/>
  <c r="Q315" i="4"/>
  <c r="P316" i="4"/>
  <c r="Q316" i="4"/>
  <c r="P321" i="4"/>
  <c r="Q321" i="4"/>
  <c r="P325" i="4"/>
  <c r="Q325" i="4"/>
  <c r="P333" i="4"/>
  <c r="Q333" i="4"/>
  <c r="P338" i="4"/>
  <c r="Q338" i="4"/>
  <c r="P339" i="4"/>
  <c r="Q339" i="4"/>
  <c r="P340" i="4"/>
  <c r="Q340" i="4"/>
  <c r="P341" i="4"/>
  <c r="Q341" i="4"/>
  <c r="P342" i="4"/>
  <c r="Q342" i="4"/>
  <c r="P345" i="4"/>
  <c r="Q345" i="4"/>
  <c r="P346" i="4"/>
  <c r="Q346" i="4"/>
  <c r="P347" i="4"/>
  <c r="Q347" i="4"/>
  <c r="P348" i="4"/>
  <c r="Q348" i="4"/>
  <c r="P349" i="4"/>
  <c r="Q349" i="4"/>
  <c r="P350" i="4"/>
  <c r="Q350" i="4"/>
  <c r="P351" i="4"/>
  <c r="Q351" i="4"/>
  <c r="P352" i="4"/>
  <c r="Q352" i="4"/>
  <c r="P353" i="4"/>
  <c r="Q353" i="4"/>
  <c r="P358" i="4"/>
  <c r="Q358" i="4"/>
  <c r="P363" i="4"/>
  <c r="Q363" i="4"/>
  <c r="P365" i="4"/>
  <c r="Q365" i="4"/>
  <c r="P366" i="4"/>
  <c r="Q366" i="4"/>
  <c r="P367" i="4"/>
  <c r="Q367" i="4"/>
  <c r="P368" i="4"/>
  <c r="Q368" i="4"/>
  <c r="P374" i="4"/>
  <c r="Q374" i="4"/>
  <c r="P377" i="4"/>
  <c r="Q377" i="4"/>
  <c r="P380" i="4"/>
  <c r="Q380" i="4"/>
  <c r="P381" i="4"/>
  <c r="Q381" i="4"/>
  <c r="P382" i="4"/>
  <c r="Q382" i="4"/>
  <c r="P388" i="4"/>
  <c r="Q388" i="4"/>
  <c r="P391" i="4"/>
  <c r="Q391" i="4"/>
  <c r="P392" i="4"/>
  <c r="Q392" i="4"/>
  <c r="P395" i="4"/>
  <c r="Q395" i="4"/>
  <c r="P396" i="4"/>
  <c r="Q396" i="4"/>
  <c r="P397" i="4"/>
  <c r="Q397" i="4"/>
  <c r="P398" i="4"/>
  <c r="Q398" i="4"/>
  <c r="P402" i="4"/>
  <c r="Q402" i="4"/>
  <c r="P405" i="4"/>
  <c r="Q405" i="4"/>
  <c r="P409" i="4"/>
  <c r="Q409" i="4"/>
  <c r="P421" i="4"/>
  <c r="Q421" i="4"/>
  <c r="P427" i="4"/>
  <c r="Q427" i="4"/>
  <c r="P430" i="4"/>
  <c r="Q430" i="4"/>
  <c r="P431" i="4"/>
  <c r="Q431" i="4"/>
  <c r="P432" i="4"/>
  <c r="Q432" i="4"/>
  <c r="P433" i="4"/>
  <c r="Q433" i="4"/>
  <c r="P434" i="4"/>
  <c r="Q434" i="4"/>
  <c r="P435" i="4"/>
  <c r="Q435" i="4"/>
  <c r="P436" i="4"/>
  <c r="Q436" i="4"/>
  <c r="P437" i="4"/>
  <c r="Q437" i="4"/>
  <c r="P438" i="4"/>
  <c r="Q438" i="4"/>
  <c r="P439" i="4"/>
  <c r="Q439" i="4"/>
  <c r="P440" i="4"/>
  <c r="Q440" i="4"/>
  <c r="P441" i="4"/>
  <c r="Q441" i="4"/>
  <c r="P445" i="4"/>
  <c r="Q445" i="4"/>
  <c r="P446" i="4"/>
  <c r="Q446" i="4"/>
  <c r="P447" i="4"/>
  <c r="Q447" i="4"/>
  <c r="P448" i="4"/>
  <c r="Q448" i="4"/>
  <c r="P452" i="4"/>
  <c r="Q452" i="4"/>
  <c r="P458" i="4"/>
  <c r="Q458" i="4"/>
  <c r="P467" i="4"/>
  <c r="Q467" i="4"/>
  <c r="P479" i="4"/>
  <c r="Q479" i="4"/>
  <c r="P484" i="4"/>
  <c r="Q484" i="4"/>
  <c r="P489" i="4"/>
  <c r="Q489" i="4"/>
  <c r="P494" i="4"/>
  <c r="Q494" i="4"/>
  <c r="P508" i="4"/>
  <c r="Q508" i="4"/>
  <c r="P524" i="4"/>
  <c r="Q524" i="4"/>
  <c r="P532" i="4"/>
  <c r="Q532" i="4"/>
  <c r="P537" i="4"/>
  <c r="Q537" i="4"/>
  <c r="P554" i="4"/>
  <c r="Q554" i="4"/>
  <c r="P562" i="4"/>
  <c r="Q562" i="4"/>
  <c r="P567" i="4"/>
  <c r="Q567" i="4"/>
  <c r="P572" i="4"/>
  <c r="Q572" i="4"/>
  <c r="P573" i="4"/>
  <c r="Q573" i="4"/>
  <c r="P574" i="4"/>
  <c r="Q574" i="4"/>
  <c r="P575" i="4"/>
  <c r="Q575" i="4"/>
  <c r="P576" i="4"/>
  <c r="Q576" i="4"/>
  <c r="P577" i="4"/>
  <c r="Q577" i="4"/>
  <c r="P578" i="4"/>
  <c r="Q578" i="4"/>
  <c r="P94" i="4"/>
  <c r="Q94" i="4"/>
  <c r="P86" i="4"/>
  <c r="Q86" i="4"/>
  <c r="P80" i="4"/>
  <c r="Q80" i="4"/>
  <c r="P69" i="4"/>
  <c r="Q69" i="4"/>
  <c r="P62" i="4"/>
  <c r="Q62" i="4"/>
  <c r="P55" i="4"/>
  <c r="Q55" i="4"/>
  <c r="P45" i="4"/>
  <c r="Q45" i="4"/>
  <c r="P37" i="4"/>
  <c r="Q37" i="4"/>
  <c r="P38" i="4"/>
  <c r="Q38" i="4"/>
  <c r="P39" i="4"/>
  <c r="Q39" i="4"/>
  <c r="P40" i="4"/>
  <c r="Q40" i="4"/>
  <c r="P41" i="4"/>
  <c r="Q41" i="4"/>
  <c r="P42" i="4"/>
  <c r="Q42" i="4"/>
  <c r="P24" i="4"/>
  <c r="Q24" i="4"/>
  <c r="P21" i="4"/>
  <c r="Q21" i="4"/>
  <c r="P10" i="4"/>
  <c r="Q10" i="4"/>
  <c r="P7" i="4"/>
  <c r="Q7" i="4"/>
  <c r="E211" i="3"/>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C122" i="5"/>
  <c r="D14" i="7"/>
  <c r="C16" i="5"/>
  <c r="C17" i="5"/>
  <c r="C182" i="5"/>
  <c r="C183" i="5"/>
  <c r="C184" i="5"/>
  <c r="C185" i="5"/>
  <c r="C186" i="5"/>
  <c r="C187" i="5"/>
  <c r="C188" i="5"/>
  <c r="C189" i="5"/>
  <c r="C190" i="5"/>
  <c r="C191" i="5"/>
  <c r="C192" i="5"/>
  <c r="C193" i="5"/>
  <c r="C194" i="5"/>
  <c r="C195" i="5"/>
  <c r="C196" i="5"/>
  <c r="C197" i="5"/>
  <c r="C198" i="5"/>
  <c r="C199" i="5"/>
  <c r="C174" i="5"/>
  <c r="C175" i="5"/>
  <c r="C176" i="5"/>
  <c r="C177" i="5"/>
  <c r="C178" i="5"/>
  <c r="C179" i="5"/>
  <c r="C180" i="5"/>
  <c r="C181" i="5"/>
  <c r="C170" i="5"/>
  <c r="C171" i="5"/>
  <c r="C172" i="5"/>
  <c r="C173" i="5"/>
  <c r="C169" i="5"/>
  <c r="C163" i="5"/>
  <c r="C164" i="5"/>
  <c r="C165" i="5"/>
  <c r="C166" i="5"/>
  <c r="C167" i="5"/>
  <c r="C168" i="5"/>
  <c r="C162" i="5"/>
  <c r="C161" i="5"/>
  <c r="C156" i="5"/>
  <c r="C157" i="5"/>
  <c r="C158" i="5"/>
  <c r="C159" i="5"/>
  <c r="C160" i="5"/>
  <c r="C155" i="5"/>
  <c r="C151" i="5"/>
  <c r="C152" i="5"/>
  <c r="C153" i="5"/>
  <c r="C154" i="5"/>
  <c r="C150" i="5"/>
  <c r="C145" i="5"/>
  <c r="C146" i="5"/>
  <c r="C147" i="5"/>
  <c r="C148" i="5"/>
  <c r="C149" i="5"/>
  <c r="C141" i="5"/>
  <c r="C142" i="5"/>
  <c r="C143" i="5"/>
  <c r="C144" i="5"/>
  <c r="C140" i="5"/>
  <c r="C135" i="5"/>
  <c r="C136" i="5"/>
  <c r="C137" i="5"/>
  <c r="C138" i="5"/>
  <c r="C139" i="5"/>
  <c r="C131" i="5"/>
  <c r="C132" i="5"/>
  <c r="C133" i="5"/>
  <c r="C134" i="5"/>
  <c r="C130" i="5"/>
  <c r="C124" i="5"/>
  <c r="C125" i="5"/>
  <c r="C126" i="5"/>
  <c r="C127" i="5"/>
  <c r="C128" i="5"/>
  <c r="C129" i="5"/>
  <c r="C123" i="5"/>
  <c r="C109" i="5"/>
  <c r="C110" i="5"/>
  <c r="C111" i="5"/>
  <c r="C112" i="5"/>
  <c r="C113" i="5"/>
  <c r="C114" i="5"/>
  <c r="C115" i="5"/>
  <c r="C116" i="5"/>
  <c r="C117" i="5"/>
  <c r="C118" i="5"/>
  <c r="C119" i="5"/>
  <c r="C120" i="5"/>
  <c r="C121"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76" i="5"/>
  <c r="C72" i="5"/>
  <c r="C73" i="5"/>
  <c r="C74" i="5"/>
  <c r="C75" i="5"/>
  <c r="C71" i="5"/>
  <c r="C46" i="5"/>
  <c r="C47" i="5"/>
  <c r="C48" i="5"/>
  <c r="C49" i="5"/>
  <c r="C50" i="5"/>
  <c r="C41" i="5"/>
  <c r="C42" i="5"/>
  <c r="C43" i="5"/>
  <c r="C44" i="5"/>
  <c r="C45" i="5"/>
  <c r="C37" i="5"/>
  <c r="C38" i="5"/>
  <c r="C39" i="5"/>
  <c r="C40" i="5"/>
  <c r="C36" i="5"/>
  <c r="C32" i="5"/>
  <c r="C33" i="5"/>
  <c r="C34" i="5"/>
  <c r="C35" i="5"/>
  <c r="C31" i="5"/>
  <c r="C18" i="5"/>
  <c r="C19" i="5"/>
  <c r="C20" i="5"/>
  <c r="C21" i="5"/>
  <c r="C22" i="5"/>
  <c r="C23" i="5"/>
  <c r="C24" i="5"/>
  <c r="C25" i="5"/>
  <c r="C26" i="5"/>
  <c r="C27" i="5"/>
  <c r="C28" i="5"/>
  <c r="C29" i="5"/>
  <c r="C30" i="5"/>
  <c r="C51" i="5"/>
  <c r="C52" i="5"/>
  <c r="C53" i="5"/>
  <c r="C54" i="5"/>
  <c r="C55" i="5"/>
  <c r="C56" i="5"/>
  <c r="C57" i="5"/>
  <c r="C58" i="5"/>
  <c r="C59" i="5"/>
  <c r="C60" i="5"/>
  <c r="C61" i="5"/>
  <c r="C62" i="5"/>
  <c r="C63" i="5"/>
  <c r="C64" i="5"/>
  <c r="C65" i="5"/>
  <c r="C66" i="5"/>
  <c r="C67" i="5"/>
  <c r="C68" i="5"/>
  <c r="C69" i="5"/>
  <c r="C70" i="5"/>
  <c r="C200" i="5"/>
  <c r="C201" i="5"/>
  <c r="C202" i="5"/>
  <c r="C203" i="5"/>
  <c r="C204" i="5"/>
  <c r="C205" i="5"/>
  <c r="C206" i="5"/>
  <c r="C207" i="5"/>
  <c r="C208" i="5"/>
  <c r="C209" i="5"/>
  <c r="C210" i="5"/>
  <c r="C211" i="5"/>
  <c r="C212" i="5"/>
  <c r="C213" i="5"/>
  <c r="C214" i="5"/>
  <c r="D25" i="7"/>
  <c r="D26" i="7"/>
  <c r="D27" i="7"/>
  <c r="D28" i="7"/>
  <c r="D29" i="7"/>
  <c r="D30" i="7"/>
  <c r="D31" i="7"/>
  <c r="D32" i="7"/>
  <c r="D33" i="7"/>
  <c r="B7" i="5"/>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5" i="7" l="1"/>
  <c r="E170" i="7" l="1"/>
  <c r="D188" i="7" l="1"/>
  <c r="E188" i="7"/>
  <c r="D189" i="7"/>
  <c r="E189" i="7"/>
  <c r="D190" i="7"/>
  <c r="E190" i="7"/>
  <c r="D191" i="7"/>
  <c r="E191" i="7"/>
  <c r="D192" i="7"/>
  <c r="E192" i="7"/>
  <c r="D193" i="7"/>
  <c r="E193" i="7"/>
  <c r="D194" i="7"/>
  <c r="E194" i="7"/>
  <c r="D195" i="7"/>
  <c r="E195" i="7"/>
  <c r="D196" i="7"/>
  <c r="E196" i="7"/>
  <c r="D197" i="7"/>
  <c r="E197" i="7"/>
  <c r="O168" i="3"/>
  <c r="E100" i="7" l="1"/>
  <c r="E99" i="7"/>
  <c r="E98" i="7"/>
  <c r="D100" i="7"/>
  <c r="D99" i="7"/>
  <c r="D98" i="7"/>
  <c r="E80" i="7"/>
  <c r="E79" i="7"/>
  <c r="E78" i="7"/>
  <c r="D80" i="7"/>
  <c r="D79" i="7"/>
  <c r="O206" i="3" l="1"/>
  <c r="O196" i="3"/>
  <c r="O191" i="3"/>
  <c r="O184" i="3"/>
  <c r="O179" i="3"/>
  <c r="O153" i="3"/>
  <c r="O148" i="3"/>
  <c r="O141" i="3"/>
  <c r="O136" i="3"/>
  <c r="O131" i="3"/>
  <c r="O124" i="3"/>
  <c r="O119" i="3"/>
  <c r="O114" i="3"/>
  <c r="O100" i="3"/>
  <c r="O95" i="3"/>
  <c r="O87" i="3"/>
  <c r="O82" i="3"/>
  <c r="O75" i="3"/>
  <c r="O67" i="3"/>
  <c r="O62" i="3"/>
  <c r="O57" i="3"/>
  <c r="O52" i="3"/>
  <c r="O47" i="3"/>
  <c r="O42" i="3"/>
  <c r="O37" i="3"/>
  <c r="O32" i="3"/>
  <c r="O27" i="3"/>
  <c r="O22" i="3"/>
  <c r="O17" i="3"/>
  <c r="O12" i="3"/>
  <c r="D16" i="7" l="1"/>
  <c r="E166" i="7" l="1"/>
  <c r="E165" i="7"/>
  <c r="E164" i="7"/>
  <c r="E163" i="7"/>
  <c r="E162" i="7"/>
  <c r="E161" i="7"/>
  <c r="E160" i="7"/>
  <c r="E159" i="7"/>
  <c r="E158" i="7"/>
  <c r="E157" i="7"/>
  <c r="E127" i="7"/>
  <c r="E126" i="7"/>
  <c r="E125" i="7"/>
  <c r="E124" i="7"/>
  <c r="E123" i="7"/>
  <c r="E122" i="7"/>
  <c r="E121" i="7"/>
  <c r="E88" i="7"/>
  <c r="E87" i="7"/>
  <c r="E86" i="7"/>
  <c r="E85" i="7"/>
  <c r="E84" i="7"/>
  <c r="E83" i="7"/>
  <c r="E81" i="7"/>
  <c r="E77" i="7"/>
  <c r="E76" i="7"/>
  <c r="E75" i="7"/>
  <c r="D166" i="7"/>
  <c r="D165" i="7"/>
  <c r="D164" i="7"/>
  <c r="D163" i="7"/>
  <c r="D162" i="7"/>
  <c r="D161" i="7"/>
  <c r="D160" i="7"/>
  <c r="D159" i="7"/>
  <c r="D158" i="7"/>
  <c r="D157" i="7"/>
  <c r="D127" i="7"/>
  <c r="D126" i="7"/>
  <c r="D125" i="7"/>
  <c r="D124" i="7"/>
  <c r="D123" i="7"/>
  <c r="D122" i="7"/>
  <c r="D121" i="7"/>
  <c r="D87" i="7"/>
  <c r="D86" i="7"/>
  <c r="D78" i="7"/>
  <c r="P206" i="3"/>
  <c r="Q206" i="3" s="1"/>
  <c r="P196" i="3"/>
  <c r="Q196" i="3" s="1"/>
  <c r="P153" i="3"/>
  <c r="Q153" i="3" s="1"/>
  <c r="P131" i="3"/>
  <c r="Q131" i="3" s="1"/>
  <c r="P114" i="3"/>
  <c r="Q114" i="3" s="1"/>
  <c r="P100" i="3"/>
  <c r="Q100" i="3" s="1"/>
  <c r="P67" i="3"/>
  <c r="Q67" i="3" s="1"/>
  <c r="P27" i="3"/>
  <c r="Q27" i="3" s="1"/>
  <c r="P12" i="3"/>
  <c r="Q12" i="3" s="1"/>
  <c r="E207" i="7" l="1"/>
  <c r="E206" i="7"/>
  <c r="E205" i="7"/>
  <c r="E204" i="7"/>
  <c r="E203" i="7"/>
  <c r="E202" i="7"/>
  <c r="E201" i="7"/>
  <c r="E200" i="7"/>
  <c r="E199" i="7"/>
  <c r="D207" i="7"/>
  <c r="D206" i="7"/>
  <c r="D205" i="7"/>
  <c r="D204" i="7"/>
  <c r="D203" i="7"/>
  <c r="D202" i="7"/>
  <c r="D201" i="7"/>
  <c r="D200" i="7"/>
  <c r="D199" i="7"/>
  <c r="E186" i="7"/>
  <c r="E185" i="7"/>
  <c r="E184" i="7"/>
  <c r="E183" i="7"/>
  <c r="E182" i="7"/>
  <c r="E181" i="7"/>
  <c r="E180" i="7"/>
  <c r="E179" i="7"/>
  <c r="E178" i="7"/>
  <c r="E177" i="7"/>
  <c r="E176" i="7"/>
  <c r="E175" i="7"/>
  <c r="E174" i="7"/>
  <c r="E173" i="7"/>
  <c r="D186" i="7"/>
  <c r="D185" i="7"/>
  <c r="D184" i="7"/>
  <c r="D183" i="7"/>
  <c r="D182" i="7"/>
  <c r="D181" i="7"/>
  <c r="D180" i="7"/>
  <c r="D179" i="7"/>
  <c r="D178" i="7"/>
  <c r="D177" i="7"/>
  <c r="D176" i="7"/>
  <c r="D175" i="7"/>
  <c r="D174" i="7"/>
  <c r="D173" i="7"/>
  <c r="M198" i="7"/>
  <c r="E154" i="7"/>
  <c r="E155" i="7"/>
  <c r="E156" i="7"/>
  <c r="K338" i="4" l="1"/>
  <c r="K122" i="4"/>
  <c r="K121" i="4"/>
  <c r="K117" i="4"/>
  <c r="K116" i="4"/>
  <c r="K111" i="4"/>
  <c r="K105" i="4"/>
  <c r="K98" i="4"/>
  <c r="J583" i="4" l="1"/>
  <c r="E212" i="7" l="1"/>
  <c r="E211" i="7"/>
  <c r="E210" i="7"/>
  <c r="E209" i="7"/>
  <c r="E208" i="7"/>
  <c r="E198" i="7"/>
  <c r="E187" i="7"/>
  <c r="E172" i="7"/>
  <c r="E171" i="7"/>
  <c r="E169" i="7"/>
  <c r="E168" i="7"/>
  <c r="E167" i="7"/>
  <c r="E152" i="7"/>
  <c r="E151" i="7"/>
  <c r="E153" i="7"/>
  <c r="E150" i="7"/>
  <c r="E149" i="7"/>
  <c r="E148" i="7"/>
  <c r="E147" i="7"/>
  <c r="E146" i="7"/>
  <c r="E145" i="7"/>
  <c r="E144" i="7"/>
  <c r="E143" i="7"/>
  <c r="E142" i="7"/>
  <c r="E141" i="7"/>
  <c r="E140" i="7"/>
  <c r="E139" i="7"/>
  <c r="E138" i="7"/>
  <c r="E137" i="7"/>
  <c r="E136" i="7"/>
  <c r="E135" i="7"/>
  <c r="E134" i="7"/>
  <c r="E133" i="7"/>
  <c r="E132" i="7"/>
  <c r="E131" i="7"/>
  <c r="E130" i="7"/>
  <c r="E129" i="7"/>
  <c r="E128" i="7"/>
  <c r="E107" i="7"/>
  <c r="E106" i="7"/>
  <c r="E105" i="7"/>
  <c r="E104" i="7"/>
  <c r="E103" i="7"/>
  <c r="E102" i="7"/>
  <c r="E101" i="7"/>
  <c r="E97" i="7"/>
  <c r="E96" i="7"/>
  <c r="E95" i="7"/>
  <c r="E94" i="7"/>
  <c r="E93" i="7"/>
  <c r="E92" i="7"/>
  <c r="E91" i="7"/>
  <c r="E90" i="7"/>
  <c r="E89" i="7"/>
  <c r="E82"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D212" i="7"/>
  <c r="D211" i="7"/>
  <c r="D210" i="7"/>
  <c r="D209" i="7"/>
  <c r="D208" i="7"/>
  <c r="D198" i="7"/>
  <c r="D187" i="7"/>
  <c r="D172" i="7"/>
  <c r="D171" i="7"/>
  <c r="D170" i="7"/>
  <c r="D169" i="7"/>
  <c r="D168" i="7"/>
  <c r="D16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07" i="7"/>
  <c r="D106" i="7"/>
  <c r="D105" i="7"/>
  <c r="D104" i="7"/>
  <c r="D103" i="7"/>
  <c r="D102" i="7"/>
  <c r="D101" i="7"/>
  <c r="D97" i="7"/>
  <c r="D96" i="7"/>
  <c r="D95" i="7"/>
  <c r="D94" i="7"/>
  <c r="D93" i="7"/>
  <c r="D92" i="7"/>
  <c r="D91" i="7"/>
  <c r="D90" i="7"/>
  <c r="D89" i="7"/>
  <c r="D88" i="7"/>
  <c r="D85" i="7"/>
  <c r="D84" i="7"/>
  <c r="D83" i="7"/>
  <c r="D82" i="7"/>
  <c r="D81" i="7"/>
  <c r="D77" i="7"/>
  <c r="D76" i="7"/>
  <c r="D75" i="7"/>
  <c r="D74" i="7"/>
  <c r="D73" i="7"/>
  <c r="D72" i="7"/>
  <c r="D71" i="7"/>
  <c r="D70" i="7"/>
  <c r="D69" i="7"/>
  <c r="D49" i="7"/>
  <c r="D48" i="7"/>
  <c r="D47" i="7"/>
  <c r="D46" i="7"/>
  <c r="D45" i="7"/>
  <c r="D44" i="7"/>
  <c r="D43" i="7"/>
  <c r="D42" i="7"/>
  <c r="D41" i="7"/>
  <c r="D40" i="7"/>
  <c r="D39" i="7"/>
  <c r="D38" i="7"/>
  <c r="D37" i="7"/>
  <c r="D36" i="7"/>
  <c r="D35" i="7"/>
  <c r="D34" i="7"/>
  <c r="J269" i="4"/>
  <c r="J53" i="4"/>
  <c r="D68" i="7" l="1"/>
  <c r="D67" i="7"/>
  <c r="D66" i="7"/>
  <c r="D65" i="7"/>
  <c r="D64" i="7"/>
  <c r="D63" i="7"/>
  <c r="D62" i="7"/>
  <c r="D61" i="7"/>
  <c r="D60" i="7"/>
  <c r="D59" i="7"/>
  <c r="D58" i="7"/>
  <c r="D57" i="7"/>
  <c r="D56" i="7"/>
  <c r="D55" i="7"/>
  <c r="D54" i="7"/>
  <c r="D53" i="7"/>
  <c r="D52" i="7"/>
  <c r="D51" i="7"/>
  <c r="D50" i="7"/>
  <c r="D24" i="7"/>
  <c r="D23" i="7"/>
  <c r="D22" i="7"/>
  <c r="D21" i="7"/>
  <c r="D20" i="7"/>
  <c r="D19" i="7"/>
  <c r="D18" i="7"/>
  <c r="D17" i="7"/>
  <c r="O214" i="3" l="1"/>
  <c r="Q214" i="3" s="1"/>
  <c r="O217" i="3" l="1"/>
  <c r="Q217" i="3" s="1"/>
  <c r="O218" i="3"/>
  <c r="O216" i="3"/>
  <c r="Q216" i="3" s="1"/>
  <c r="O215" i="3"/>
  <c r="Q218" i="3" l="1"/>
  <c r="Q215" i="3"/>
  <c r="D215" i="5" l="1"/>
  <c r="I218" i="7" l="1"/>
  <c r="I217" i="7"/>
  <c r="I216" i="7"/>
  <c r="I215" i="7"/>
  <c r="K577" i="4" l="1"/>
  <c r="K575" i="4"/>
  <c r="K576" i="4"/>
  <c r="K574" i="4"/>
  <c r="K573" i="4"/>
  <c r="K572" i="4"/>
  <c r="K567" i="4"/>
  <c r="K562" i="4"/>
  <c r="K554" i="4"/>
  <c r="K532" i="4"/>
  <c r="K524" i="4"/>
  <c r="K508" i="4"/>
  <c r="K494" i="4"/>
  <c r="K489" i="4"/>
  <c r="K484" i="4"/>
  <c r="K479" i="4"/>
  <c r="K458" i="4"/>
  <c r="K448" i="4"/>
  <c r="J462" i="4"/>
  <c r="J461" i="4"/>
  <c r="J460" i="4"/>
  <c r="J459" i="4"/>
  <c r="J458" i="4"/>
  <c r="J457" i="4"/>
  <c r="K446" i="4"/>
  <c r="K445" i="4"/>
  <c r="K441" i="4"/>
  <c r="K438" i="4"/>
  <c r="K436" i="4"/>
  <c r="K435" i="4"/>
  <c r="K434" i="4"/>
  <c r="K433" i="4"/>
  <c r="K432" i="4"/>
  <c r="K431" i="4"/>
  <c r="K430" i="4"/>
  <c r="K427" i="4"/>
  <c r="K421" i="4"/>
  <c r="K409" i="4"/>
  <c r="K402" i="4"/>
  <c r="K398" i="4"/>
  <c r="K397" i="4"/>
  <c r="K396" i="4" l="1"/>
  <c r="K395" i="4"/>
  <c r="K392" i="4"/>
  <c r="K391" i="4"/>
  <c r="K388" i="4"/>
  <c r="K382" i="4"/>
  <c r="K381" i="4"/>
  <c r="K377" i="4"/>
  <c r="K374" i="4"/>
  <c r="K368" i="4"/>
  <c r="K367" i="4"/>
  <c r="K365" i="4"/>
  <c r="K363" i="4"/>
  <c r="K353" i="4"/>
  <c r="K352" i="4" l="1"/>
  <c r="K351" i="4"/>
  <c r="K350" i="4"/>
  <c r="K349" i="4"/>
  <c r="K347" i="4"/>
  <c r="K346" i="4"/>
  <c r="K345" i="4"/>
  <c r="K342" i="4"/>
  <c r="K341" i="4"/>
  <c r="K340" i="4"/>
  <c r="K339" i="4"/>
  <c r="K333" i="4"/>
  <c r="K288" i="4"/>
  <c r="K294" i="4"/>
  <c r="K298" i="4"/>
  <c r="K307" i="4"/>
  <c r="K315" i="4"/>
  <c r="K314" i="4"/>
  <c r="K278" i="4"/>
  <c r="K272" i="4"/>
  <c r="K265" i="4"/>
  <c r="K262" i="4"/>
  <c r="K251" i="4"/>
  <c r="K247" i="4"/>
  <c r="K242" i="4"/>
  <c r="K238" i="4"/>
  <c r="K225" i="4"/>
  <c r="K228" i="4"/>
  <c r="K217" i="4"/>
  <c r="K214" i="4"/>
  <c r="K207" i="4"/>
  <c r="K204" i="4"/>
  <c r="K198" i="4" l="1"/>
  <c r="K185" i="4"/>
  <c r="K174" i="4"/>
  <c r="K160" i="4"/>
  <c r="K159" i="4"/>
  <c r="K153" i="4"/>
  <c r="K150" i="4"/>
  <c r="K149" i="4"/>
  <c r="K140" i="4"/>
  <c r="K137" i="4"/>
  <c r="K136" i="4"/>
  <c r="K132" i="4"/>
  <c r="K128" i="4"/>
  <c r="K127" i="4"/>
  <c r="K126" i="4"/>
  <c r="K124" i="4"/>
  <c r="K123" i="4"/>
  <c r="K108" i="4"/>
  <c r="K94" i="4"/>
  <c r="K86" i="4"/>
  <c r="K80" i="4"/>
  <c r="K69" i="4"/>
  <c r="K62" i="4" l="1"/>
  <c r="K45" i="4"/>
  <c r="K55" i="4"/>
  <c r="K42" i="4"/>
  <c r="K41" i="4"/>
  <c r="K40" i="4"/>
  <c r="K39" i="4"/>
  <c r="K38" i="4"/>
  <c r="K37" i="4"/>
  <c r="K24" i="4"/>
  <c r="K21" i="4"/>
  <c r="K10" i="4"/>
  <c r="R27" i="3"/>
  <c r="R206" i="3" l="1"/>
  <c r="R196" i="3"/>
  <c r="R168" i="3"/>
  <c r="P168" i="3"/>
  <c r="Q168" i="3" s="1"/>
  <c r="R153" i="3"/>
  <c r="R131" i="3"/>
  <c r="R114" i="3"/>
  <c r="R100" i="3"/>
  <c r="R67" i="3"/>
  <c r="R12" i="3"/>
  <c r="E14" i="7" l="1"/>
  <c r="K1" i="7" l="1"/>
  <c r="G1" i="5"/>
  <c r="F4" i="5"/>
  <c r="F3" i="5"/>
  <c r="W1" i="8" l="1"/>
  <c r="V7" i="8"/>
  <c r="J508" i="4" l="1"/>
  <c r="M7" i="8"/>
  <c r="W7" i="8"/>
  <c r="B1" i="8" l="1"/>
  <c r="C1" i="8"/>
  <c r="D1" i="8"/>
  <c r="E1" i="8"/>
  <c r="F1" i="8"/>
  <c r="G1" i="8"/>
  <c r="H1" i="8"/>
  <c r="I1" i="8"/>
  <c r="J1" i="8"/>
  <c r="K1" i="8"/>
  <c r="L1" i="8"/>
  <c r="M1" i="8"/>
  <c r="N1" i="8"/>
  <c r="O1" i="8"/>
  <c r="P1" i="8"/>
  <c r="Q1" i="8"/>
  <c r="R1" i="8"/>
  <c r="S1" i="8"/>
  <c r="T1" i="8"/>
  <c r="U1" i="8"/>
  <c r="V1" i="8"/>
  <c r="X1" i="8"/>
  <c r="Y1" i="8"/>
  <c r="A1" i="8"/>
  <c r="E7" i="8"/>
  <c r="D7" i="8"/>
  <c r="F7" i="8"/>
  <c r="C7" i="8"/>
  <c r="B7" i="8"/>
  <c r="A7" i="8" l="1"/>
  <c r="K7" i="8"/>
  <c r="R7" i="8"/>
  <c r="U7" i="8"/>
  <c r="Y7" i="8"/>
  <c r="O7" i="8"/>
  <c r="Q7" i="8"/>
  <c r="J7" i="8"/>
  <c r="X7" i="8"/>
  <c r="P7" i="8"/>
  <c r="S7" i="8"/>
  <c r="T7" i="8"/>
  <c r="K578" i="4" l="1"/>
  <c r="K537" i="4"/>
  <c r="K467" i="4"/>
  <c r="K452" i="4"/>
  <c r="K447" i="4"/>
  <c r="K440" i="4"/>
  <c r="K439" i="4"/>
  <c r="K437" i="4"/>
  <c r="K405" i="4"/>
  <c r="K380" i="4"/>
  <c r="K366" i="4"/>
  <c r="K358" i="4"/>
  <c r="K348" i="4"/>
  <c r="K325" i="4"/>
  <c r="K321" i="4"/>
  <c r="K316" i="4"/>
  <c r="K313" i="4"/>
  <c r="K282" i="4"/>
  <c r="K269" i="4"/>
  <c r="K125" i="4"/>
  <c r="K7" i="4"/>
  <c r="K6" i="4"/>
  <c r="J209" i="4" l="1"/>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7" i="4"/>
  <c r="J8" i="4"/>
  <c r="J9" i="4"/>
  <c r="J10" i="4"/>
  <c r="J11" i="4"/>
  <c r="J12" i="4"/>
  <c r="J13"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6" i="4"/>
  <c r="J675" i="4" l="1"/>
  <c r="K1" i="4" l="1"/>
  <c r="L7" i="8"/>
  <c r="I7" i="8"/>
  <c r="H7" i="8"/>
  <c r="N7" i="8"/>
  <c r="E3" i="4" l="1"/>
  <c r="G7" i="8"/>
  <c r="O1" i="3" l="1"/>
  <c r="B5" i="3" s="1"/>
</calcChain>
</file>

<file path=xl/sharedStrings.xml><?xml version="1.0" encoding="utf-8"?>
<sst xmlns="http://schemas.openxmlformats.org/spreadsheetml/2006/main" count="1200" uniqueCount="842">
  <si>
    <t>verR2.1</t>
    <phoneticPr fontId="7"/>
  </si>
  <si>
    <r>
      <t>学校名入力</t>
    </r>
    <r>
      <rPr>
        <sz val="18"/>
        <rFont val="ＭＳ Ｐゴシック"/>
        <family val="3"/>
        <charset val="128"/>
      </rPr>
      <t>　 （申請学科単位）</t>
    </r>
    <rPh sb="0" eb="3">
      <t>ガッコウメイ</t>
    </rPh>
    <rPh sb="3" eb="5">
      <t>ニュウリョク</t>
    </rPh>
    <rPh sb="8" eb="10">
      <t>シンセイ</t>
    </rPh>
    <rPh sb="10" eb="12">
      <t>ガッカ</t>
    </rPh>
    <rPh sb="12" eb="14">
      <t>タンイ</t>
    </rPh>
    <phoneticPr fontId="7"/>
  </si>
  <si>
    <t>申請種別</t>
    <rPh sb="0" eb="2">
      <t>シンセイ</t>
    </rPh>
    <rPh sb="2" eb="4">
      <t>シュベツ</t>
    </rPh>
    <phoneticPr fontId="7"/>
  </si>
  <si>
    <t>法第14条４号</t>
    <rPh sb="0" eb="1">
      <t>ホウ</t>
    </rPh>
    <rPh sb="1" eb="2">
      <t>ダイ</t>
    </rPh>
    <rPh sb="4" eb="5">
      <t>ジョウ</t>
    </rPh>
    <rPh sb="6" eb="7">
      <t>ゴウ</t>
    </rPh>
    <phoneticPr fontId="7"/>
  </si>
  <si>
    <t>学校名</t>
    <rPh sb="0" eb="3">
      <t>ガッコウメイ</t>
    </rPh>
    <phoneticPr fontId="7"/>
  </si>
  <si>
    <t>学部名</t>
    <rPh sb="0" eb="2">
      <t>ガクブ</t>
    </rPh>
    <rPh sb="2" eb="3">
      <t>メイ</t>
    </rPh>
    <phoneticPr fontId="7"/>
  </si>
  <si>
    <t>学科名</t>
    <rPh sb="0" eb="2">
      <t>ガッカ</t>
    </rPh>
    <rPh sb="2" eb="3">
      <t>メイ</t>
    </rPh>
    <phoneticPr fontId="7"/>
  </si>
  <si>
    <t>コース・専攻等</t>
    <rPh sb="4" eb="6">
      <t>センコウ</t>
    </rPh>
    <rPh sb="6" eb="7">
      <t>トウ</t>
    </rPh>
    <phoneticPr fontId="7"/>
  </si>
  <si>
    <t>　★ 同一学校名で、複数の申請がある場合</t>
    <rPh sb="3" eb="5">
      <t>ドウイツ</t>
    </rPh>
    <rPh sb="5" eb="8">
      <t>ガッコウメイ</t>
    </rPh>
    <rPh sb="10" eb="12">
      <t>フクスウ</t>
    </rPh>
    <rPh sb="13" eb="15">
      <t>シンセイ</t>
    </rPh>
    <rPh sb="18" eb="20">
      <t>バアイ</t>
    </rPh>
    <phoneticPr fontId="7"/>
  </si>
  <si>
    <r>
      <t>　　　"　</t>
    </r>
    <r>
      <rPr>
        <b/>
        <sz val="11"/>
        <color rgb="FFC00000"/>
        <rFont val="ＭＳ Ｐゴシック"/>
        <family val="3"/>
        <charset val="128"/>
      </rPr>
      <t>学校名</t>
    </r>
    <r>
      <rPr>
        <b/>
        <sz val="11"/>
        <color theme="4" tint="-0.249977111117893"/>
        <rFont val="ＭＳ Ｐゴシック"/>
        <family val="3"/>
        <charset val="128"/>
      </rPr>
      <t>　＋　</t>
    </r>
    <r>
      <rPr>
        <b/>
        <sz val="11"/>
        <color rgb="FFC00000"/>
        <rFont val="ＭＳ Ｐゴシック"/>
        <family val="3"/>
        <charset val="128"/>
      </rPr>
      <t>学部名</t>
    </r>
    <r>
      <rPr>
        <b/>
        <sz val="11"/>
        <color theme="4" tint="-0.249977111117893"/>
        <rFont val="ＭＳ Ｐゴシック"/>
        <family val="3"/>
        <charset val="128"/>
      </rPr>
      <t>　＋　</t>
    </r>
    <r>
      <rPr>
        <b/>
        <sz val="11"/>
        <color rgb="FFC00000"/>
        <rFont val="ＭＳ Ｐゴシック"/>
        <family val="3"/>
        <charset val="128"/>
      </rPr>
      <t>学科名</t>
    </r>
    <r>
      <rPr>
        <b/>
        <sz val="11"/>
        <color theme="4" tint="-0.249977111117893"/>
        <rFont val="ＭＳ Ｐゴシック"/>
        <family val="3"/>
        <charset val="128"/>
      </rPr>
      <t>　＋　</t>
    </r>
    <r>
      <rPr>
        <b/>
        <sz val="11"/>
        <color rgb="FFC00000"/>
        <rFont val="ＭＳ Ｐゴシック"/>
        <family val="3"/>
        <charset val="128"/>
      </rPr>
      <t>コース・専攻等</t>
    </r>
    <r>
      <rPr>
        <b/>
        <sz val="11"/>
        <color theme="4" tint="-0.249977111117893"/>
        <rFont val="ＭＳ Ｐゴシック"/>
        <family val="3"/>
        <charset val="128"/>
      </rPr>
      <t>　"　 で、まったく同じにならないよう、入力して下さい。</t>
    </r>
    <rPh sb="5" eb="8">
      <t>ガッコウメイ</t>
    </rPh>
    <rPh sb="11" eb="14">
      <t>ガクブメイ</t>
    </rPh>
    <rPh sb="17" eb="20">
      <t>ガッカメイ</t>
    </rPh>
    <rPh sb="27" eb="29">
      <t>センコウ</t>
    </rPh>
    <rPh sb="29" eb="30">
      <t>トウ</t>
    </rPh>
    <rPh sb="40" eb="41">
      <t>オナ</t>
    </rPh>
    <rPh sb="50" eb="52">
      <t>ニュウリョク</t>
    </rPh>
    <rPh sb="54" eb="55">
      <t>クダ</t>
    </rPh>
    <phoneticPr fontId="7"/>
  </si>
  <si>
    <t>　　　　　　　　　　　　（ワークシート名）</t>
    <rPh sb="19" eb="20">
      <t>メイ</t>
    </rPh>
    <phoneticPr fontId="7"/>
  </si>
  <si>
    <r>
      <t>法第４号の規定に基づき定める科目に関する協議申請の場合は、</t>
    </r>
    <r>
      <rPr>
        <b/>
        <sz val="12"/>
        <color rgb="FFFF0000"/>
        <rFont val="ＭＳ ゴシック"/>
        <family val="3"/>
        <charset val="128"/>
      </rPr>
      <t>文書番号、年月日</t>
    </r>
    <r>
      <rPr>
        <sz val="12"/>
        <rFont val="ＭＳ ゴシック"/>
        <family val="3"/>
        <charset val="128"/>
      </rPr>
      <t>を入力して下さい。</t>
    </r>
    <rPh sb="0" eb="1">
      <t>ホウ</t>
    </rPh>
    <rPh sb="25" eb="27">
      <t>バアイ</t>
    </rPh>
    <phoneticPr fontId="7"/>
  </si>
  <si>
    <r>
      <t xml:space="preserve">履修証明書（見本）
</t>
    </r>
    <r>
      <rPr>
        <b/>
        <sz val="12"/>
        <color rgb="FFFF0000"/>
        <rFont val="ＭＳ ゴシック"/>
        <family val="3"/>
        <charset val="128"/>
      </rPr>
      <t>大学の所在地、名称、学部・学科名、大学長の氏名</t>
    </r>
    <r>
      <rPr>
        <sz val="12"/>
        <rFont val="ＭＳ ゴシック"/>
        <family val="3"/>
        <charset val="128"/>
      </rPr>
      <t>を、それぞれ入力してください</t>
    </r>
    <phoneticPr fontId="7"/>
  </si>
  <si>
    <r>
      <rPr>
        <b/>
        <sz val="12"/>
        <color rgb="FFFF0000"/>
        <rFont val="ＭＳ ゴシック"/>
        <family val="3"/>
        <charset val="128"/>
      </rPr>
      <t>04</t>
    </r>
    <r>
      <rPr>
        <sz val="12"/>
        <rFont val="ＭＳ ゴシック"/>
        <family val="3"/>
        <charset val="128"/>
      </rPr>
      <t>（様式３）単位数の新旧対照表</t>
    </r>
    <phoneticPr fontId="7"/>
  </si>
  <si>
    <r>
      <rPr>
        <b/>
        <sz val="12"/>
        <color rgb="FFFF0000"/>
        <rFont val="ＭＳ ゴシック"/>
        <family val="3"/>
        <charset val="128"/>
      </rPr>
      <t>05</t>
    </r>
    <r>
      <rPr>
        <sz val="12"/>
        <rFont val="ＭＳ ゴシック"/>
        <family val="3"/>
        <charset val="128"/>
      </rPr>
      <t>（様式４）教科内容対比表</t>
    </r>
    <rPh sb="7" eb="9">
      <t>キョウカ</t>
    </rPh>
    <rPh sb="9" eb="11">
      <t>ナイヨウ</t>
    </rPh>
    <rPh sb="11" eb="13">
      <t>タイヒ</t>
    </rPh>
    <rPh sb="13" eb="14">
      <t>ヒョウ</t>
    </rPh>
    <phoneticPr fontId="7"/>
  </si>
  <si>
    <t>法第14条４号：臨床工学技士法（以下、法とする。）　第14条第４号の規定に基づき定める科目に関する協議申請</t>
    <rPh sb="0" eb="1">
      <t>ホウ</t>
    </rPh>
    <rPh sb="1" eb="2">
      <t>ダイ</t>
    </rPh>
    <rPh sb="4" eb="5">
      <t>ジョウ</t>
    </rPh>
    <rPh sb="6" eb="7">
      <t>ゴウ</t>
    </rPh>
    <rPh sb="8" eb="10">
      <t>リンショウ</t>
    </rPh>
    <rPh sb="10" eb="12">
      <t>コウガク</t>
    </rPh>
    <rPh sb="12" eb="14">
      <t>ギシ</t>
    </rPh>
    <rPh sb="14" eb="15">
      <t>ホウ</t>
    </rPh>
    <rPh sb="16" eb="18">
      <t>イカ</t>
    </rPh>
    <rPh sb="19" eb="20">
      <t>ホウ</t>
    </rPh>
    <phoneticPr fontId="7"/>
  </si>
  <si>
    <t>◀ ０１判定</t>
    <rPh sb="4" eb="6">
      <t>ハンテイ</t>
    </rPh>
    <phoneticPr fontId="7"/>
  </si>
  <si>
    <t>様式１</t>
    <rPh sb="0" eb="2">
      <t>ヨウシキ</t>
    </rPh>
    <phoneticPr fontId="6"/>
  </si>
  <si>
    <t>○○○○○○○○</t>
  </si>
  <si>
    <t>　◀　文書番号</t>
    <rPh sb="3" eb="5">
      <t>ブンショ</t>
    </rPh>
    <rPh sb="5" eb="7">
      <t>バンゴウ</t>
    </rPh>
    <phoneticPr fontId="7"/>
  </si>
  <si>
    <t>令和　年　月　日</t>
  </si>
  <si>
    <t>　◀　年月日</t>
    <rPh sb="3" eb="6">
      <t>ネンガッピ</t>
    </rPh>
    <phoneticPr fontId="7"/>
  </si>
  <si>
    <t>　　厚生労働省医政局医事課長　殿</t>
  </si>
  <si>
    <t xml:space="preserve">　◀　記載の名称と異なる場合は
</t>
    <rPh sb="3" eb="5">
      <t>キサイ</t>
    </rPh>
    <rPh sb="6" eb="8">
      <t>メイショウ</t>
    </rPh>
    <rPh sb="9" eb="10">
      <t>コト</t>
    </rPh>
    <rPh sb="12" eb="14">
      <t>バアイ</t>
    </rPh>
    <phoneticPr fontId="7"/>
  </si>
  <si>
    <t>　　　直接入力してください</t>
    <rPh sb="3" eb="5">
      <t>チョクセツ</t>
    </rPh>
    <rPh sb="5" eb="7">
      <t>ニュウリョク</t>
    </rPh>
    <phoneticPr fontId="7"/>
  </si>
  <si>
    <t>　　臨床工学技士法第14条第４号の規定に基づき厚生労働大臣が指定する科目</t>
    <rPh sb="4" eb="6">
      <t>コウガク</t>
    </rPh>
    <rPh sb="6" eb="8">
      <t>ギシ</t>
    </rPh>
    <phoneticPr fontId="7"/>
  </si>
  <si>
    <t>　　について（協議）</t>
    <rPh sb="7" eb="9">
      <t>キョウギ</t>
    </rPh>
    <phoneticPr fontId="7"/>
  </si>
  <si>
    <t>　本校××学部○○科△△専攻で実施している下記の授業科目によって、標記科目を履修したとみなすことが出来るか協議いたします。</t>
    <rPh sb="5" eb="7">
      <t>ガクブ</t>
    </rPh>
    <phoneticPr fontId="7"/>
  </si>
  <si>
    <t>　◀　学部、学科名、専攻名を入力してください</t>
    <rPh sb="3" eb="5">
      <t>ガクブ</t>
    </rPh>
    <rPh sb="6" eb="9">
      <t>ガッカメイ</t>
    </rPh>
    <rPh sb="10" eb="12">
      <t>センコウ</t>
    </rPh>
    <rPh sb="12" eb="13">
      <t>メイ</t>
    </rPh>
    <rPh sb="14" eb="16">
      <t>ニュウリョク</t>
    </rPh>
    <phoneticPr fontId="7"/>
  </si>
  <si>
    <t>指定科目</t>
  </si>
  <si>
    <t>相当する授業科目</t>
  </si>
  <si>
    <t>単位数</t>
  </si>
  <si>
    <t>解剖学</t>
    <rPh sb="0" eb="3">
      <t>カイボウガク</t>
    </rPh>
    <phoneticPr fontId="7"/>
  </si>
  <si>
    <t>生理学</t>
    <rPh sb="0" eb="3">
      <t>セイリガク</t>
    </rPh>
    <phoneticPr fontId="7"/>
  </si>
  <si>
    <t>生化学</t>
    <phoneticPr fontId="7"/>
  </si>
  <si>
    <t>医学概論</t>
    <rPh sb="0" eb="2">
      <t>イガク</t>
    </rPh>
    <rPh sb="2" eb="4">
      <t>ガイロン</t>
    </rPh>
    <phoneticPr fontId="7"/>
  </si>
  <si>
    <t>公衆衛生学</t>
    <rPh sb="0" eb="2">
      <t>コウシュウ</t>
    </rPh>
    <rPh sb="2" eb="5">
      <t>エイセイガク</t>
    </rPh>
    <phoneticPr fontId="7"/>
  </si>
  <si>
    <t>病理学</t>
    <rPh sb="0" eb="3">
      <t>ビョウリガク</t>
    </rPh>
    <phoneticPr fontId="7"/>
  </si>
  <si>
    <t>薬理学</t>
    <rPh sb="0" eb="3">
      <t>ヤクリガク</t>
    </rPh>
    <phoneticPr fontId="7"/>
  </si>
  <si>
    <t>免疫学</t>
    <rPh sb="0" eb="3">
      <t>メンエキガク</t>
    </rPh>
    <phoneticPr fontId="7"/>
  </si>
  <si>
    <t>チーム医療概論</t>
    <rPh sb="3" eb="5">
      <t>イリョウ</t>
    </rPh>
    <rPh sb="5" eb="7">
      <t>ガイロン</t>
    </rPh>
    <phoneticPr fontId="7"/>
  </si>
  <si>
    <t>関係法規</t>
    <rPh sb="0" eb="2">
      <t>カンケイ</t>
    </rPh>
    <rPh sb="2" eb="4">
      <t>ホウキ</t>
    </rPh>
    <phoneticPr fontId="7"/>
  </si>
  <si>
    <t>応用数学</t>
    <rPh sb="0" eb="2">
      <t>オウヨウ</t>
    </rPh>
    <rPh sb="2" eb="4">
      <t>スウガク</t>
    </rPh>
    <phoneticPr fontId="7"/>
  </si>
  <si>
    <t>電気工学</t>
    <rPh sb="0" eb="2">
      <t>デンキ</t>
    </rPh>
    <rPh sb="2" eb="4">
      <t>コウガク</t>
    </rPh>
    <phoneticPr fontId="7"/>
  </si>
  <si>
    <t>電子工学</t>
    <rPh sb="0" eb="2">
      <t>デンシ</t>
    </rPh>
    <rPh sb="2" eb="4">
      <t>コウガク</t>
    </rPh>
    <phoneticPr fontId="7"/>
  </si>
  <si>
    <t>機械工学</t>
    <rPh sb="0" eb="2">
      <t>キカイ</t>
    </rPh>
    <rPh sb="2" eb="4">
      <t>コウガク</t>
    </rPh>
    <phoneticPr fontId="7"/>
  </si>
  <si>
    <t>計測工学</t>
    <rPh sb="0" eb="2">
      <t>ケイソク</t>
    </rPh>
    <rPh sb="2" eb="4">
      <t>コウガク</t>
    </rPh>
    <phoneticPr fontId="7"/>
  </si>
  <si>
    <t>医用工学</t>
    <rPh sb="0" eb="2">
      <t>イヨウ</t>
    </rPh>
    <rPh sb="2" eb="4">
      <t>コウガク</t>
    </rPh>
    <phoneticPr fontId="7"/>
  </si>
  <si>
    <t>生体物性工学</t>
    <rPh sb="0" eb="2">
      <t>セイタイ</t>
    </rPh>
    <rPh sb="2" eb="3">
      <t>ブツ</t>
    </rPh>
    <rPh sb="3" eb="4">
      <t>セイ</t>
    </rPh>
    <rPh sb="4" eb="6">
      <t>コウガク</t>
    </rPh>
    <phoneticPr fontId="7"/>
  </si>
  <si>
    <t>医用材料工学</t>
    <rPh sb="0" eb="2">
      <t>イヨウ</t>
    </rPh>
    <rPh sb="2" eb="4">
      <t>ザイリョウ</t>
    </rPh>
    <rPh sb="4" eb="6">
      <t>コウガク</t>
    </rPh>
    <phoneticPr fontId="7"/>
  </si>
  <si>
    <t>医用機器学概論</t>
    <rPh sb="0" eb="2">
      <t>イヨウ</t>
    </rPh>
    <rPh sb="2" eb="4">
      <t>キキ</t>
    </rPh>
    <rPh sb="4" eb="5">
      <t>ガク</t>
    </rPh>
    <rPh sb="5" eb="7">
      <t>ガイロン</t>
    </rPh>
    <phoneticPr fontId="7"/>
  </si>
  <si>
    <t>医用治療機器学</t>
    <rPh sb="0" eb="2">
      <t>イヨウ</t>
    </rPh>
    <rPh sb="2" eb="4">
      <t>チリョウ</t>
    </rPh>
    <rPh sb="4" eb="6">
      <t>キキ</t>
    </rPh>
    <rPh sb="6" eb="7">
      <t>ガク</t>
    </rPh>
    <phoneticPr fontId="7"/>
  </si>
  <si>
    <t>生体計測装置学</t>
    <rPh sb="0" eb="2">
      <t>セイタイ</t>
    </rPh>
    <rPh sb="2" eb="4">
      <t>ケイソク</t>
    </rPh>
    <rPh sb="4" eb="6">
      <t>ソウチ</t>
    </rPh>
    <rPh sb="6" eb="7">
      <t>ガク</t>
    </rPh>
    <phoneticPr fontId="7"/>
  </si>
  <si>
    <t>臨床支援技術学</t>
    <rPh sb="0" eb="2">
      <t>リンショウ</t>
    </rPh>
    <rPh sb="2" eb="4">
      <t>シエン</t>
    </rPh>
    <rPh sb="4" eb="6">
      <t>ギジュツ</t>
    </rPh>
    <rPh sb="6" eb="7">
      <t>ガク</t>
    </rPh>
    <phoneticPr fontId="7"/>
  </si>
  <si>
    <t>生体機能代行技術学</t>
    <rPh sb="0" eb="2">
      <t>セイタイ</t>
    </rPh>
    <rPh sb="2" eb="4">
      <t>キノウ</t>
    </rPh>
    <rPh sb="4" eb="6">
      <t>ダイコウ</t>
    </rPh>
    <rPh sb="6" eb="8">
      <t>ギジュツ</t>
    </rPh>
    <rPh sb="8" eb="9">
      <t>ガク</t>
    </rPh>
    <phoneticPr fontId="7"/>
  </si>
  <si>
    <t>医療安全管理学</t>
    <rPh sb="0" eb="2">
      <t>イリョウ</t>
    </rPh>
    <rPh sb="2" eb="4">
      <t>アンゼン</t>
    </rPh>
    <rPh sb="4" eb="6">
      <t>カンリ</t>
    </rPh>
    <rPh sb="6" eb="7">
      <t>ガク</t>
    </rPh>
    <phoneticPr fontId="7"/>
  </si>
  <si>
    <t>臨床医学総論</t>
    <rPh sb="0" eb="2">
      <t>リンショウ</t>
    </rPh>
    <rPh sb="2" eb="4">
      <t>イガク</t>
    </rPh>
    <rPh sb="4" eb="6">
      <t>ソウロン</t>
    </rPh>
    <phoneticPr fontId="7"/>
  </si>
  <si>
    <t>臨床実習</t>
    <rPh sb="0" eb="2">
      <t>リンショウ</t>
    </rPh>
    <rPh sb="2" eb="4">
      <t>ジッシュウ</t>
    </rPh>
    <phoneticPr fontId="7"/>
  </si>
  <si>
    <t>合計</t>
    <rPh sb="0" eb="2">
      <t>ゴウケイ</t>
    </rPh>
    <phoneticPr fontId="7"/>
  </si>
  <si>
    <r>
      <t>参考</t>
    </r>
    <r>
      <rPr>
        <sz val="10.5"/>
        <color rgb="FF000000"/>
        <rFont val="ＭＳ 明朝"/>
        <family val="1"/>
        <charset val="128"/>
      </rPr>
      <t>資料</t>
    </r>
  </si>
  <si>
    <t>１　履修証明書（様式２）</t>
    <phoneticPr fontId="7"/>
  </si>
  <si>
    <t>２　単位数の新旧対照表（様式３）</t>
    <rPh sb="8" eb="10">
      <t>タイショウ</t>
    </rPh>
    <phoneticPr fontId="7"/>
  </si>
  <si>
    <t>３　教科内容対比表（様式４）</t>
    <phoneticPr fontId="7"/>
  </si>
  <si>
    <t>様式２</t>
    <rPh sb="0" eb="2">
      <t>ヨウシキ</t>
    </rPh>
    <phoneticPr fontId="6"/>
  </si>
  <si>
    <t>▲ ０３判定</t>
    <phoneticPr fontId="7"/>
  </si>
  <si>
    <t>履修証明書</t>
  </si>
  <si>
    <t>※様式の修正は行わないでください。</t>
    <rPh sb="1" eb="3">
      <t>ヨウシキ</t>
    </rPh>
    <rPh sb="4" eb="6">
      <t>シュウセイ</t>
    </rPh>
    <rPh sb="7" eb="8">
      <t>オコナ</t>
    </rPh>
    <phoneticPr fontId="7"/>
  </si>
  <si>
    <t>本籍地</t>
    <phoneticPr fontId="7"/>
  </si>
  <si>
    <t>氏名</t>
    <phoneticPr fontId="7"/>
  </si>
  <si>
    <t>生年月日（昭和・平成）　年　月　日生</t>
  </si>
  <si>
    <t>上記の者は、本学において臨床工学技士法第14条第４号の規定に基づき厚生労働大臣が指定する科目として、次のものを修めて卒業したことを証明する。</t>
    <rPh sb="14" eb="16">
      <t>コウガク</t>
    </rPh>
    <rPh sb="16" eb="18">
      <t>ギシ</t>
    </rPh>
    <rPh sb="40" eb="42">
      <t>シテイ</t>
    </rPh>
    <phoneticPr fontId="7"/>
  </si>
  <si>
    <t>履修科目名</t>
  </si>
  <si>
    <t>履修年度</t>
  </si>
  <si>
    <t>令和　　年度</t>
    <phoneticPr fontId="7"/>
  </si>
  <si>
    <t>令和　　年　　月　　日</t>
    <rPh sb="0" eb="2">
      <t>レイワ</t>
    </rPh>
    <rPh sb="4" eb="5">
      <t>ネン</t>
    </rPh>
    <rPh sb="7" eb="8">
      <t>ガツ</t>
    </rPh>
    <rPh sb="10" eb="11">
      <t>ニチ</t>
    </rPh>
    <phoneticPr fontId="7"/>
  </si>
  <si>
    <t>　◀　それぞれ入力してください</t>
    <rPh sb="7" eb="9">
      <t>ニュウリョク</t>
    </rPh>
    <phoneticPr fontId="7"/>
  </si>
  <si>
    <t>（大学の所在地）</t>
    <rPh sb="1" eb="3">
      <t>ダイガク</t>
    </rPh>
    <rPh sb="4" eb="7">
      <t>ショザイチ</t>
    </rPh>
    <phoneticPr fontId="7"/>
  </si>
  <si>
    <t>（ 大学の名称 ）</t>
    <rPh sb="2" eb="4">
      <t>ダイガク</t>
    </rPh>
    <rPh sb="5" eb="7">
      <t>メイショウ</t>
    </rPh>
    <phoneticPr fontId="7"/>
  </si>
  <si>
    <t>（学部・学科名）</t>
    <rPh sb="1" eb="3">
      <t>ガクブ</t>
    </rPh>
    <rPh sb="4" eb="7">
      <t>ガッカメイ</t>
    </rPh>
    <phoneticPr fontId="7"/>
  </si>
  <si>
    <t>（大学長の氏名）</t>
    <rPh sb="1" eb="4">
      <t>ダイガクチョウ</t>
    </rPh>
    <rPh sb="5" eb="7">
      <t>シメイ</t>
    </rPh>
    <phoneticPr fontId="7"/>
  </si>
  <si>
    <t>（作成上の注意）</t>
    <rPh sb="1" eb="4">
      <t>サクセイジョウ</t>
    </rPh>
    <rPh sb="5" eb="7">
      <t>チュウイ</t>
    </rPh>
    <phoneticPr fontId="7"/>
  </si>
  <si>
    <t>１．用紙の大きさは、A４とすること。</t>
    <rPh sb="2" eb="4">
      <t>ヨウシ</t>
    </rPh>
    <rPh sb="5" eb="6">
      <t>オオ</t>
    </rPh>
    <phoneticPr fontId="7"/>
  </si>
  <si>
    <t>２.「履修科目名」欄には、厚生労働省に協議して指定科目に相当すると認められた科目名を記載すること。
　　また、２科目以上を履修して指定の１科目の履修に相当する場合には、全科目を記載し、それぞれの科目毎に単位数及び
　　履修年度を記載すること。</t>
    <rPh sb="42" eb="44">
      <t>キサイ</t>
    </rPh>
    <rPh sb="104" eb="105">
      <t>オヨ</t>
    </rPh>
    <phoneticPr fontId="7"/>
  </si>
  <si>
    <t>３．証明は、当該科目を修めて卒業した大学の長が行うこと。</t>
    <phoneticPr fontId="7"/>
  </si>
  <si>
    <t>４．指定する科目の履修が２箇所以上の大学において行われた場合の証明は、それぞれ履修した大学において行うこと。</t>
    <phoneticPr fontId="7"/>
  </si>
  <si>
    <t>５．現に履修中の者に関する証明は、履修見込証明書として作成すること。</t>
    <phoneticPr fontId="7"/>
  </si>
  <si>
    <t>様式３</t>
    <rPh sb="0" eb="2">
      <t>ヨウシキ</t>
    </rPh>
    <phoneticPr fontId="7"/>
  </si>
  <si>
    <t>◀ ０５判定</t>
    <rPh sb="4" eb="6">
      <t>ハンテイ</t>
    </rPh>
    <phoneticPr fontId="7"/>
  </si>
  <si>
    <t>臨床工学技士法第14条第４号の規定に基づき厚生労働大臣が指定する科目について</t>
    <rPh sb="0" eb="2">
      <t>リンショウ</t>
    </rPh>
    <rPh sb="2" eb="4">
      <t>コウガク</t>
    </rPh>
    <rPh sb="4" eb="6">
      <t>ギシ</t>
    </rPh>
    <rPh sb="6" eb="7">
      <t>ホウ</t>
    </rPh>
    <rPh sb="7" eb="8">
      <t>ダイ</t>
    </rPh>
    <rPh sb="10" eb="11">
      <t>ジョウ</t>
    </rPh>
    <rPh sb="11" eb="12">
      <t>ダイ</t>
    </rPh>
    <rPh sb="13" eb="14">
      <t>ゴウ</t>
    </rPh>
    <rPh sb="15" eb="17">
      <t>キテイ</t>
    </rPh>
    <rPh sb="18" eb="19">
      <t>モト</t>
    </rPh>
    <rPh sb="21" eb="23">
      <t>コウセイ</t>
    </rPh>
    <rPh sb="23" eb="25">
      <t>ロウドウ</t>
    </rPh>
    <rPh sb="25" eb="27">
      <t>ダイジン</t>
    </rPh>
    <rPh sb="28" eb="30">
      <t>シテイ</t>
    </rPh>
    <rPh sb="32" eb="34">
      <t>カモク</t>
    </rPh>
    <phoneticPr fontId="7"/>
  </si>
  <si>
    <t>【新旧対照表】</t>
    <rPh sb="1" eb="3">
      <t>シンキュウ</t>
    </rPh>
    <rPh sb="3" eb="6">
      <t>タイショウヒョウ</t>
    </rPh>
    <phoneticPr fontId="7"/>
  </si>
  <si>
    <t>　　変更後　　</t>
    <rPh sb="2" eb="5">
      <t>ヘンコウゴ</t>
    </rPh>
    <phoneticPr fontId="7"/>
  </si>
  <si>
    <t>　　変更前</t>
    <rPh sb="2" eb="5">
      <t>ヘンコウマエ</t>
    </rPh>
    <phoneticPr fontId="7"/>
  </si>
  <si>
    <t>＜厚生労働省告示１１３＞</t>
    <phoneticPr fontId="7"/>
  </si>
  <si>
    <t>区分</t>
    <rPh sb="0" eb="2">
      <t>クブン</t>
    </rPh>
    <phoneticPr fontId="7"/>
  </si>
  <si>
    <t>授業科目名</t>
    <rPh sb="4" eb="5">
      <t>メイ</t>
    </rPh>
    <phoneticPr fontId="7"/>
  </si>
  <si>
    <t>単位数</t>
    <phoneticPr fontId="7"/>
  </si>
  <si>
    <t>審査基準</t>
    <rPh sb="0" eb="2">
      <t>シンサ</t>
    </rPh>
    <rPh sb="2" eb="4">
      <t>キジュン</t>
    </rPh>
    <phoneticPr fontId="7"/>
  </si>
  <si>
    <t>単 位 数</t>
  </si>
  <si>
    <t>（入力）</t>
    <rPh sb="1" eb="3">
      <t>ニュウリョク</t>
    </rPh>
    <phoneticPr fontId="7"/>
  </si>
  <si>
    <t>（基準）</t>
    <rPh sb="1" eb="3">
      <t>キジュン</t>
    </rPh>
    <phoneticPr fontId="7"/>
  </si>
  <si>
    <t>（判定）</t>
    <rPh sb="1" eb="3">
      <t>ハンテイ</t>
    </rPh>
    <phoneticPr fontId="7"/>
  </si>
  <si>
    <t>人体の構造及び機能に該当する科目</t>
    <rPh sb="0" eb="2">
      <t>ジンタイ</t>
    </rPh>
    <rPh sb="3" eb="5">
      <t>コウゾウ</t>
    </rPh>
    <rPh sb="5" eb="6">
      <t>オヨ</t>
    </rPh>
    <rPh sb="7" eb="9">
      <t>キノウ</t>
    </rPh>
    <rPh sb="10" eb="12">
      <t>ガイトウ</t>
    </rPh>
    <rPh sb="14" eb="16">
      <t>カモク</t>
    </rPh>
    <phoneticPr fontId="7"/>
  </si>
  <si>
    <t>①</t>
    <phoneticPr fontId="7"/>
  </si>
  <si>
    <t>②</t>
    <phoneticPr fontId="7"/>
  </si>
  <si>
    <t>生化学①</t>
    <rPh sb="0" eb="3">
      <t>セイカガク</t>
    </rPh>
    <phoneticPr fontId="7"/>
  </si>
  <si>
    <t>③</t>
    <phoneticPr fontId="7"/>
  </si>
  <si>
    <t>臨床工学に必要な医学的基礎に該当する科目</t>
    <rPh sb="0" eb="2">
      <t>リンショウ</t>
    </rPh>
    <rPh sb="2" eb="4">
      <t>コウガク</t>
    </rPh>
    <rPh sb="5" eb="7">
      <t>ヒツヨウ</t>
    </rPh>
    <rPh sb="8" eb="11">
      <t>イガクテキ</t>
    </rPh>
    <rPh sb="11" eb="13">
      <t>キソ</t>
    </rPh>
    <rPh sb="14" eb="16">
      <t>ガイトウ</t>
    </rPh>
    <rPh sb="18" eb="20">
      <t>カモク</t>
    </rPh>
    <phoneticPr fontId="7"/>
  </si>
  <si>
    <t>④</t>
    <phoneticPr fontId="7"/>
  </si>
  <si>
    <t>⑤</t>
    <phoneticPr fontId="7"/>
  </si>
  <si>
    <t>⑥</t>
    <phoneticPr fontId="7"/>
  </si>
  <si>
    <t>生化学②</t>
    <rPh sb="0" eb="3">
      <t>セイカガク</t>
    </rPh>
    <phoneticPr fontId="7"/>
  </si>
  <si>
    <t>⑦</t>
    <phoneticPr fontId="7"/>
  </si>
  <si>
    <t>⑧</t>
    <phoneticPr fontId="7"/>
  </si>
  <si>
    <t>⑨</t>
    <phoneticPr fontId="7"/>
  </si>
  <si>
    <t>⑩</t>
    <phoneticPr fontId="7"/>
  </si>
  <si>
    <t>関係法規①</t>
    <rPh sb="0" eb="2">
      <t>カンケイ</t>
    </rPh>
    <rPh sb="2" eb="4">
      <t>ホウキ</t>
    </rPh>
    <phoneticPr fontId="7"/>
  </si>
  <si>
    <t>⑪</t>
    <phoneticPr fontId="7"/>
  </si>
  <si>
    <t>臨床工学に必要な理工学的基礎に該当する科目</t>
    <rPh sb="0" eb="2">
      <t>リンショウ</t>
    </rPh>
    <rPh sb="2" eb="4">
      <t>コウガク</t>
    </rPh>
    <rPh sb="5" eb="7">
      <t>ヒツヨウ</t>
    </rPh>
    <rPh sb="8" eb="9">
      <t>リ</t>
    </rPh>
    <rPh sb="9" eb="12">
      <t>コウガクテキ</t>
    </rPh>
    <rPh sb="12" eb="14">
      <t>キソ</t>
    </rPh>
    <rPh sb="15" eb="17">
      <t>ガイトウ</t>
    </rPh>
    <rPh sb="19" eb="21">
      <t>カモク</t>
    </rPh>
    <phoneticPr fontId="7"/>
  </si>
  <si>
    <t>⑫</t>
    <phoneticPr fontId="7"/>
  </si>
  <si>
    <t>⑬</t>
    <phoneticPr fontId="7"/>
  </si>
  <si>
    <t>⑭</t>
    <phoneticPr fontId="7"/>
  </si>
  <si>
    <t>⑮</t>
    <phoneticPr fontId="7"/>
  </si>
  <si>
    <t>⑯</t>
    <phoneticPr fontId="7"/>
  </si>
  <si>
    <t>臨床工学に必要な医療情報技術とシステム工学の基礎に該当する科目</t>
    <rPh sb="0" eb="2">
      <t>リンショウ</t>
    </rPh>
    <rPh sb="2" eb="4">
      <t>コウガク</t>
    </rPh>
    <rPh sb="5" eb="7">
      <t>ヒツヨウ</t>
    </rPh>
    <rPh sb="8" eb="10">
      <t>イリョウ</t>
    </rPh>
    <rPh sb="10" eb="12">
      <t>ジョウホウ</t>
    </rPh>
    <rPh sb="12" eb="14">
      <t>ギジュツ</t>
    </rPh>
    <rPh sb="19" eb="21">
      <t>コウガク</t>
    </rPh>
    <rPh sb="22" eb="24">
      <t>キソ</t>
    </rPh>
    <rPh sb="25" eb="27">
      <t>ガイトウ</t>
    </rPh>
    <rPh sb="29" eb="31">
      <t>カモク</t>
    </rPh>
    <phoneticPr fontId="7"/>
  </si>
  <si>
    <t>医用工学①</t>
    <rPh sb="0" eb="2">
      <t>イヨウ</t>
    </rPh>
    <rPh sb="2" eb="4">
      <t>コウガク</t>
    </rPh>
    <phoneticPr fontId="7"/>
  </si>
  <si>
    <t>⑰</t>
    <phoneticPr fontId="7"/>
  </si>
  <si>
    <t>医用生体工学に該当する科目</t>
    <rPh sb="0" eb="2">
      <t>イヨウ</t>
    </rPh>
    <rPh sb="2" eb="4">
      <t>セイタイ</t>
    </rPh>
    <rPh sb="4" eb="6">
      <t>コウガク</t>
    </rPh>
    <rPh sb="7" eb="9">
      <t>ガイトウ</t>
    </rPh>
    <rPh sb="11" eb="13">
      <t>カモク</t>
    </rPh>
    <phoneticPr fontId="7"/>
  </si>
  <si>
    <t>生体物性工学</t>
    <rPh sb="0" eb="2">
      <t>セイタイ</t>
    </rPh>
    <rPh sb="2" eb="4">
      <t>ブッセイ</t>
    </rPh>
    <rPh sb="4" eb="6">
      <t>コウガク</t>
    </rPh>
    <phoneticPr fontId="7"/>
  </si>
  <si>
    <t>⑱</t>
    <phoneticPr fontId="7"/>
  </si>
  <si>
    <t>⑲</t>
    <phoneticPr fontId="7"/>
  </si>
  <si>
    <t>医用工学②</t>
    <rPh sb="0" eb="2">
      <t>イヨウ</t>
    </rPh>
    <rPh sb="2" eb="4">
      <t>コウガク</t>
    </rPh>
    <phoneticPr fontId="7"/>
  </si>
  <si>
    <t>⑳</t>
    <phoneticPr fontId="7"/>
  </si>
  <si>
    <t>医用機器学及び臨床支援技術に該当する科目</t>
    <rPh sb="0" eb="2">
      <t>イヨウ</t>
    </rPh>
    <rPh sb="2" eb="4">
      <t>キキ</t>
    </rPh>
    <rPh sb="4" eb="5">
      <t>ガク</t>
    </rPh>
    <rPh sb="5" eb="6">
      <t>オヨ</t>
    </rPh>
    <rPh sb="7" eb="9">
      <t>リンショウ</t>
    </rPh>
    <rPh sb="9" eb="11">
      <t>シエン</t>
    </rPh>
    <rPh sb="11" eb="13">
      <t>ギジュツ</t>
    </rPh>
    <rPh sb="14" eb="16">
      <t>ガイトウ</t>
    </rPh>
    <rPh sb="18" eb="20">
      <t>カモク</t>
    </rPh>
    <phoneticPr fontId="7"/>
  </si>
  <si>
    <t>㉑</t>
    <phoneticPr fontId="7"/>
  </si>
  <si>
    <t>医用治療機器学①</t>
    <rPh sb="0" eb="2">
      <t>イヨウ</t>
    </rPh>
    <rPh sb="2" eb="4">
      <t>チリョウ</t>
    </rPh>
    <rPh sb="4" eb="6">
      <t>キキ</t>
    </rPh>
    <rPh sb="6" eb="7">
      <t>ガク</t>
    </rPh>
    <phoneticPr fontId="7"/>
  </si>
  <si>
    <t>㉒</t>
    <phoneticPr fontId="7"/>
  </si>
  <si>
    <t>生体計測装置学①</t>
    <rPh sb="0" eb="2">
      <t>セイタイ</t>
    </rPh>
    <rPh sb="2" eb="4">
      <t>ケイソク</t>
    </rPh>
    <rPh sb="4" eb="6">
      <t>ソウチ</t>
    </rPh>
    <rPh sb="6" eb="7">
      <t>ガク</t>
    </rPh>
    <phoneticPr fontId="7"/>
  </si>
  <si>
    <t>㉓</t>
    <phoneticPr fontId="7"/>
  </si>
  <si>
    <t>㉔</t>
    <phoneticPr fontId="7"/>
  </si>
  <si>
    <t>生体機能代行技術学に該当する科目</t>
    <rPh sb="0" eb="2">
      <t>セイタイ</t>
    </rPh>
    <rPh sb="2" eb="4">
      <t>キノウ</t>
    </rPh>
    <rPh sb="4" eb="6">
      <t>ダイコウ</t>
    </rPh>
    <rPh sb="6" eb="8">
      <t>ギジュツ</t>
    </rPh>
    <rPh sb="8" eb="9">
      <t>ガク</t>
    </rPh>
    <rPh sb="10" eb="12">
      <t>ガイトウ</t>
    </rPh>
    <rPh sb="14" eb="16">
      <t>カモク</t>
    </rPh>
    <phoneticPr fontId="7"/>
  </si>
  <si>
    <t>㉕</t>
    <phoneticPr fontId="7"/>
  </si>
  <si>
    <t>医療安全管理学に該当する科目</t>
    <rPh sb="0" eb="2">
      <t>イリョウ</t>
    </rPh>
    <rPh sb="2" eb="4">
      <t>アンゼン</t>
    </rPh>
    <rPh sb="4" eb="6">
      <t>カンリ</t>
    </rPh>
    <rPh sb="6" eb="7">
      <t>ガク</t>
    </rPh>
    <rPh sb="8" eb="10">
      <t>ガイトウ</t>
    </rPh>
    <rPh sb="12" eb="14">
      <t>カモク</t>
    </rPh>
    <phoneticPr fontId="7"/>
  </si>
  <si>
    <t>㉖</t>
    <phoneticPr fontId="7"/>
  </si>
  <si>
    <t>医用治療機器学②</t>
    <rPh sb="0" eb="2">
      <t>イヨウ</t>
    </rPh>
    <rPh sb="2" eb="4">
      <t>チリョウ</t>
    </rPh>
    <rPh sb="4" eb="6">
      <t>キキ</t>
    </rPh>
    <rPh sb="6" eb="7">
      <t>ガク</t>
    </rPh>
    <phoneticPr fontId="7"/>
  </si>
  <si>
    <t>㉗</t>
    <phoneticPr fontId="7"/>
  </si>
  <si>
    <t>生体計測装置学②</t>
    <rPh sb="0" eb="2">
      <t>セイタイ</t>
    </rPh>
    <rPh sb="2" eb="4">
      <t>ケイソク</t>
    </rPh>
    <rPh sb="4" eb="6">
      <t>ソウチ</t>
    </rPh>
    <rPh sb="6" eb="7">
      <t>ガク</t>
    </rPh>
    <phoneticPr fontId="7"/>
  </si>
  <si>
    <t>㉘</t>
    <phoneticPr fontId="7"/>
  </si>
  <si>
    <t>関係法規②</t>
    <rPh sb="0" eb="2">
      <t>カンケイ</t>
    </rPh>
    <rPh sb="2" eb="4">
      <t>ホウキ</t>
    </rPh>
    <phoneticPr fontId="7"/>
  </si>
  <si>
    <t>㉙</t>
    <phoneticPr fontId="7"/>
  </si>
  <si>
    <t>関連臨床医学に該当する科目</t>
    <rPh sb="0" eb="2">
      <t>カンレン</t>
    </rPh>
    <rPh sb="2" eb="4">
      <t>リンショウ</t>
    </rPh>
    <rPh sb="4" eb="6">
      <t>イガク</t>
    </rPh>
    <rPh sb="7" eb="9">
      <t>ガイトウ</t>
    </rPh>
    <rPh sb="11" eb="13">
      <t>カモク</t>
    </rPh>
    <phoneticPr fontId="7"/>
  </si>
  <si>
    <t>㉚</t>
    <phoneticPr fontId="7"/>
  </si>
  <si>
    <t>臨床実習に該当する科目</t>
    <rPh sb="0" eb="4">
      <t>リンショウジッシュウ</t>
    </rPh>
    <rPh sb="5" eb="7">
      <t>ガイトウ</t>
    </rPh>
    <rPh sb="9" eb="11">
      <t>カモク</t>
    </rPh>
    <phoneticPr fontId="7"/>
  </si>
  <si>
    <t>㉛</t>
    <phoneticPr fontId="7"/>
  </si>
  <si>
    <t>その他</t>
    <rPh sb="2" eb="3">
      <t>タ</t>
    </rPh>
    <phoneticPr fontId="7"/>
  </si>
  <si>
    <t>授業科目名</t>
    <rPh sb="0" eb="2">
      <t>ジュギョウ</t>
    </rPh>
    <rPh sb="2" eb="5">
      <t>カモクメイ</t>
    </rPh>
    <phoneticPr fontId="7"/>
  </si>
  <si>
    <t>単位数</t>
    <rPh sb="0" eb="3">
      <t>タンイスウ</t>
    </rPh>
    <phoneticPr fontId="7"/>
  </si>
  <si>
    <t>上記科目における
臨床実習</t>
    <rPh sb="0" eb="2">
      <t>ジョウキ</t>
    </rPh>
    <rPh sb="2" eb="4">
      <t>カモク</t>
    </rPh>
    <rPh sb="9" eb="11">
      <t>リンショウ</t>
    </rPh>
    <rPh sb="11" eb="13">
      <t>ジッシュウ</t>
    </rPh>
    <phoneticPr fontId="7"/>
  </si>
  <si>
    <t>臨床実習前後の技術・知識の到達度評価</t>
    <phoneticPr fontId="7"/>
  </si>
  <si>
    <t>⑮-1</t>
    <phoneticPr fontId="7"/>
  </si>
  <si>
    <t>　臨床実習前後の技術・知識の到達度評価</t>
    <phoneticPr fontId="7"/>
  </si>
  <si>
    <t>血液浄化療法関連実習</t>
  </si>
  <si>
    <t>　血液浄化療法関連実習</t>
    <phoneticPr fontId="7"/>
  </si>
  <si>
    <t>呼吸療法関連実習及び循環器関連実習</t>
  </si>
  <si>
    <t>⑮-2</t>
    <phoneticPr fontId="7"/>
  </si>
  <si>
    <t>　呼吸療法関連実習及び循環器関連実習</t>
    <phoneticPr fontId="7"/>
  </si>
  <si>
    <t>治療機器関連実習及び医療機器管理業務実習</t>
    <phoneticPr fontId="7"/>
  </si>
  <si>
    <t>　治療機器関連実習及び医療機器管理業務実習</t>
    <phoneticPr fontId="7"/>
  </si>
  <si>
    <t>上記以外の臨床実習</t>
    <rPh sb="0" eb="2">
      <t>ジョウキ</t>
    </rPh>
    <rPh sb="2" eb="4">
      <t>イガイ</t>
    </rPh>
    <rPh sb="5" eb="7">
      <t>リンショウ</t>
    </rPh>
    <rPh sb="7" eb="9">
      <t>ジッシュウ</t>
    </rPh>
    <phoneticPr fontId="7"/>
  </si>
  <si>
    <t>⑮-3</t>
    <phoneticPr fontId="7"/>
  </si>
  <si>
    <t>　その他</t>
    <rPh sb="3" eb="4">
      <t>タ</t>
    </rPh>
    <phoneticPr fontId="7"/>
  </si>
  <si>
    <t>※臨床実習の「授業科目名」は、入力不要です。</t>
    <rPh sb="1" eb="3">
      <t>リンショウ</t>
    </rPh>
    <phoneticPr fontId="7"/>
  </si>
  <si>
    <t>※血液浄化療法関連実習１単位、呼吸療法関連実習及び循環器関連実習２単位、治療機器関連実習及び医療機器管理業務実習２単位以上を含む</t>
    <rPh sb="1" eb="3">
      <t>ケツエキ</t>
    </rPh>
    <rPh sb="3" eb="5">
      <t>ジョウカ</t>
    </rPh>
    <rPh sb="5" eb="7">
      <t>リョウホウ</t>
    </rPh>
    <rPh sb="7" eb="9">
      <t>カンレン</t>
    </rPh>
    <rPh sb="9" eb="11">
      <t>ジッシュウ</t>
    </rPh>
    <rPh sb="12" eb="14">
      <t>タンイ</t>
    </rPh>
    <rPh sb="15" eb="17">
      <t>コキュウ</t>
    </rPh>
    <rPh sb="17" eb="19">
      <t>リョウホウ</t>
    </rPh>
    <rPh sb="19" eb="21">
      <t>カンレン</t>
    </rPh>
    <rPh sb="21" eb="23">
      <t>ジッシュウ</t>
    </rPh>
    <rPh sb="23" eb="24">
      <t>オヨ</t>
    </rPh>
    <rPh sb="25" eb="28">
      <t>ジュンカンキ</t>
    </rPh>
    <rPh sb="28" eb="30">
      <t>カンレン</t>
    </rPh>
    <rPh sb="30" eb="32">
      <t>ジッシュウ</t>
    </rPh>
    <rPh sb="33" eb="35">
      <t>タンイ</t>
    </rPh>
    <rPh sb="36" eb="38">
      <t>チリョウ</t>
    </rPh>
    <rPh sb="38" eb="40">
      <t>キキ</t>
    </rPh>
    <rPh sb="40" eb="42">
      <t>カンレン</t>
    </rPh>
    <rPh sb="42" eb="44">
      <t>ジッシュウ</t>
    </rPh>
    <rPh sb="44" eb="45">
      <t>オヨ</t>
    </rPh>
    <rPh sb="46" eb="48">
      <t>イリョウ</t>
    </rPh>
    <rPh sb="48" eb="50">
      <t>キキ</t>
    </rPh>
    <rPh sb="50" eb="52">
      <t>カンリ</t>
    </rPh>
    <rPh sb="52" eb="54">
      <t>ギョウム</t>
    </rPh>
    <rPh sb="54" eb="56">
      <t>ジッシュウ</t>
    </rPh>
    <rPh sb="57" eb="59">
      <t>タンイ</t>
    </rPh>
    <rPh sb="59" eb="61">
      <t>イジョウ</t>
    </rPh>
    <rPh sb="62" eb="63">
      <t>フク</t>
    </rPh>
    <phoneticPr fontId="7"/>
  </si>
  <si>
    <t>（臨床実習）血液浄化療法関連実習１単位、呼吸療法関連実習及び循環器関連実習２単位、治療機器関連実習及び医療機器管理業務実習２単位以上を含む</t>
    <rPh sb="1" eb="3">
      <t>リンショウ</t>
    </rPh>
    <rPh sb="3" eb="5">
      <t>ジッシュウ</t>
    </rPh>
    <rPh sb="62" eb="64">
      <t>タンイ</t>
    </rPh>
    <phoneticPr fontId="7"/>
  </si>
  <si>
    <t>　計７単位</t>
    <phoneticPr fontId="7"/>
  </si>
  <si>
    <t>　　　　　　　　計 ７単位</t>
    <phoneticPr fontId="7"/>
  </si>
  <si>
    <t>様式４
教　科　内　容　対　比　表</t>
    <rPh sb="0" eb="2">
      <t>ヨウシキ</t>
    </rPh>
    <phoneticPr fontId="7"/>
  </si>
  <si>
    <t>◀ 判定</t>
    <rPh sb="2" eb="4">
      <t>ハンテイ</t>
    </rPh>
    <phoneticPr fontId="7"/>
  </si>
  <si>
    <t>臨床工学技士法第14条第４号の規定に基づき厚生労働大臣が指定する科目について</t>
    <rPh sb="0" eb="8">
      <t>リンショウコウガクギシホウダイ</t>
    </rPh>
    <rPh sb="10" eb="12">
      <t>ジョウダイ</t>
    </rPh>
    <rPh sb="13" eb="14">
      <t>ゴウ</t>
    </rPh>
    <rPh sb="15" eb="17">
      <t>キテイ</t>
    </rPh>
    <rPh sb="18" eb="19">
      <t>モト</t>
    </rPh>
    <rPh sb="21" eb="23">
      <t>コウセイ</t>
    </rPh>
    <rPh sb="23" eb="25">
      <t>ロウドウ</t>
    </rPh>
    <rPh sb="25" eb="27">
      <t>ダイジン</t>
    </rPh>
    <rPh sb="28" eb="30">
      <t>シテイ</t>
    </rPh>
    <rPh sb="32" eb="34">
      <t>カモク</t>
    </rPh>
    <phoneticPr fontId="7"/>
  </si>
  <si>
    <t>指定科目</t>
    <rPh sb="0" eb="2">
      <t>シテイ</t>
    </rPh>
    <rPh sb="2" eb="4">
      <t>カモク</t>
    </rPh>
    <phoneticPr fontId="7"/>
  </si>
  <si>
    <t>教科内容（審査基準）</t>
    <rPh sb="0" eb="2">
      <t>キョウカ</t>
    </rPh>
    <rPh sb="2" eb="4">
      <t>ナイヨウ</t>
    </rPh>
    <rPh sb="5" eb="7">
      <t>シンサ</t>
    </rPh>
    <rPh sb="7" eb="9">
      <t>キジュン</t>
    </rPh>
    <phoneticPr fontId="7"/>
  </si>
  <si>
    <t>審査
基準</t>
    <rPh sb="0" eb="2">
      <t>シンサ</t>
    </rPh>
    <rPh sb="3" eb="5">
      <t>キジュン</t>
    </rPh>
    <phoneticPr fontId="7"/>
  </si>
  <si>
    <t>該当する
授業科目名</t>
    <rPh sb="0" eb="2">
      <t>ガイトウ</t>
    </rPh>
    <rPh sb="5" eb="7">
      <t>ジュギョウ</t>
    </rPh>
    <rPh sb="7" eb="9">
      <t>カモク</t>
    </rPh>
    <rPh sb="9" eb="10">
      <t>メイ</t>
    </rPh>
    <phoneticPr fontId="7"/>
  </si>
  <si>
    <t>シラバス
記載
ページ</t>
    <rPh sb="5" eb="7">
      <t>キサイ</t>
    </rPh>
    <phoneticPr fontId="7"/>
  </si>
  <si>
    <t xml:space="preserve"> </t>
    <phoneticPr fontId="7"/>
  </si>
  <si>
    <t>E列</t>
    <rPh sb="1" eb="2">
      <t>レツ</t>
    </rPh>
    <phoneticPr fontId="6"/>
  </si>
  <si>
    <t>F列</t>
    <rPh sb="1" eb="2">
      <t>レツ</t>
    </rPh>
    <phoneticPr fontId="6"/>
  </si>
  <si>
    <t>１　人体発生の概要</t>
    <rPh sb="2" eb="4">
      <t>ジンタイ</t>
    </rPh>
    <rPh sb="4" eb="6">
      <t>ハッセイ</t>
    </rPh>
    <rPh sb="7" eb="9">
      <t>ガイヨウ</t>
    </rPh>
    <phoneticPr fontId="7"/>
  </si>
  <si>
    <t>◎</t>
  </si>
  <si>
    <t>２　細胞と組織</t>
    <rPh sb="2" eb="4">
      <t>サイボウ</t>
    </rPh>
    <rPh sb="5" eb="7">
      <t>ソシキ</t>
    </rPh>
    <phoneticPr fontId="7"/>
  </si>
  <si>
    <t>（１）細胞の特徴</t>
    <rPh sb="3" eb="5">
      <t>サイボウ</t>
    </rPh>
    <rPh sb="6" eb="8">
      <t>トクチョウ</t>
    </rPh>
    <phoneticPr fontId="7"/>
  </si>
  <si>
    <t>（２）各組織の構造</t>
    <rPh sb="3" eb="6">
      <t>カクソシキ</t>
    </rPh>
    <rPh sb="7" eb="9">
      <t>コウゾウ</t>
    </rPh>
    <phoneticPr fontId="7"/>
  </si>
  <si>
    <t>３　器官系統の解剖</t>
    <phoneticPr fontId="7"/>
  </si>
  <si>
    <t>（１）骨格系</t>
    <rPh sb="3" eb="5">
      <t>コッカク</t>
    </rPh>
    <rPh sb="5" eb="6">
      <t>ケイ</t>
    </rPh>
    <phoneticPr fontId="7"/>
  </si>
  <si>
    <t>（２）筋系</t>
    <rPh sb="3" eb="5">
      <t>キンケイ</t>
    </rPh>
    <phoneticPr fontId="7"/>
  </si>
  <si>
    <t>（３）呼吸器系</t>
    <phoneticPr fontId="7"/>
  </si>
  <si>
    <t>（４）脈管系</t>
    <rPh sb="3" eb="4">
      <t>ミャク</t>
    </rPh>
    <rPh sb="4" eb="5">
      <t>カン</t>
    </rPh>
    <rPh sb="5" eb="6">
      <t>ケイ</t>
    </rPh>
    <phoneticPr fontId="7"/>
  </si>
  <si>
    <t>（５）消化器系</t>
    <rPh sb="3" eb="7">
      <t>ショウカキケイ</t>
    </rPh>
    <phoneticPr fontId="7"/>
  </si>
  <si>
    <t>（６）泌尿器系</t>
    <rPh sb="3" eb="6">
      <t>ヒニョウキ</t>
    </rPh>
    <rPh sb="6" eb="7">
      <t>ケイ</t>
    </rPh>
    <phoneticPr fontId="7"/>
  </si>
  <si>
    <t>（７）内分泌器系</t>
    <rPh sb="3" eb="6">
      <t>ナイブンピツ</t>
    </rPh>
    <rPh sb="6" eb="7">
      <t>キ</t>
    </rPh>
    <rPh sb="7" eb="8">
      <t>ケイ</t>
    </rPh>
    <phoneticPr fontId="7"/>
  </si>
  <si>
    <t>（８）生殖器系</t>
    <rPh sb="3" eb="6">
      <t>セイショクキ</t>
    </rPh>
    <rPh sb="6" eb="7">
      <t>ケイ</t>
    </rPh>
    <phoneticPr fontId="7"/>
  </si>
  <si>
    <t>（９）神経系</t>
    <rPh sb="3" eb="6">
      <t>シンケイケイ</t>
    </rPh>
    <phoneticPr fontId="7"/>
  </si>
  <si>
    <t>（10）感覚器系</t>
    <rPh sb="4" eb="7">
      <t>カンカクキ</t>
    </rPh>
    <rPh sb="7" eb="8">
      <t>ケイ</t>
    </rPh>
    <phoneticPr fontId="7"/>
  </si>
  <si>
    <t>４　解剖実習</t>
    <rPh sb="2" eb="4">
      <t>カイボウ</t>
    </rPh>
    <rPh sb="4" eb="6">
      <t>ジッシュウ</t>
    </rPh>
    <phoneticPr fontId="7"/>
  </si>
  <si>
    <t>（２）正常組織の顕微鏡観察</t>
    <rPh sb="3" eb="5">
      <t>セイジョウ</t>
    </rPh>
    <rPh sb="5" eb="7">
      <t>ソシキ</t>
    </rPh>
    <rPh sb="8" eb="11">
      <t>ケンビキョウ</t>
    </rPh>
    <rPh sb="11" eb="13">
      <t>カンサツ</t>
    </rPh>
    <phoneticPr fontId="7"/>
  </si>
  <si>
    <t>１　生理的機能と構造</t>
    <rPh sb="2" eb="5">
      <t>セイリテキ</t>
    </rPh>
    <rPh sb="5" eb="7">
      <t>キノウ</t>
    </rPh>
    <rPh sb="8" eb="10">
      <t>コウゾウ</t>
    </rPh>
    <phoneticPr fontId="7"/>
  </si>
  <si>
    <t>（１）体液と血液</t>
    <rPh sb="3" eb="5">
      <t>タイエキ</t>
    </rPh>
    <rPh sb="6" eb="8">
      <t>ケツエキ</t>
    </rPh>
    <phoneticPr fontId="7"/>
  </si>
  <si>
    <t>（２）循環</t>
    <rPh sb="3" eb="5">
      <t>ジュンカン</t>
    </rPh>
    <phoneticPr fontId="7"/>
  </si>
  <si>
    <t>（３）呼吸</t>
    <phoneticPr fontId="7"/>
  </si>
  <si>
    <t>（４）消化器</t>
    <rPh sb="3" eb="6">
      <t>ショウカキ</t>
    </rPh>
    <phoneticPr fontId="7"/>
  </si>
  <si>
    <t>（５）代謝及び栄養</t>
    <rPh sb="3" eb="5">
      <t>タイシャ</t>
    </rPh>
    <rPh sb="5" eb="6">
      <t>オヨ</t>
    </rPh>
    <rPh sb="7" eb="9">
      <t>エイヨウ</t>
    </rPh>
    <phoneticPr fontId="7"/>
  </si>
  <si>
    <t>（６）腎臓</t>
    <rPh sb="3" eb="5">
      <t>ジンゾウ</t>
    </rPh>
    <phoneticPr fontId="7"/>
  </si>
  <si>
    <t>（７）体温とその調節</t>
    <rPh sb="3" eb="5">
      <t>タイオン</t>
    </rPh>
    <rPh sb="8" eb="10">
      <t>チョウセツ</t>
    </rPh>
    <phoneticPr fontId="7"/>
  </si>
  <si>
    <t>（８）内分泌</t>
    <rPh sb="3" eb="6">
      <t>ナイブンピツ</t>
    </rPh>
    <phoneticPr fontId="7"/>
  </si>
  <si>
    <t>（９）生殖器</t>
    <rPh sb="3" eb="6">
      <t>セイショクキ</t>
    </rPh>
    <phoneticPr fontId="7"/>
  </si>
  <si>
    <t>（10）神経系</t>
    <rPh sb="4" eb="7">
      <t>シンケイケイ</t>
    </rPh>
    <phoneticPr fontId="7"/>
  </si>
  <si>
    <t>（11）感覚器</t>
    <rPh sb="4" eb="7">
      <t>カンカクキ</t>
    </rPh>
    <phoneticPr fontId="7"/>
  </si>
  <si>
    <t>（12）筋</t>
    <rPh sb="4" eb="5">
      <t>スジ</t>
    </rPh>
    <phoneticPr fontId="7"/>
  </si>
  <si>
    <t>２　実習</t>
    <rPh sb="2" eb="4">
      <t>ジッシュウ</t>
    </rPh>
    <phoneticPr fontId="7"/>
  </si>
  <si>
    <t>１　医学の歴史的変遷</t>
    <rPh sb="2" eb="4">
      <t>イガク</t>
    </rPh>
    <rPh sb="5" eb="8">
      <t>レキシテキ</t>
    </rPh>
    <rPh sb="8" eb="10">
      <t>ヘンセン</t>
    </rPh>
    <phoneticPr fontId="7"/>
  </si>
  <si>
    <t>２　医療機器の歴史的変遷</t>
    <rPh sb="2" eb="4">
      <t>イリョウ</t>
    </rPh>
    <rPh sb="4" eb="6">
      <t>キキ</t>
    </rPh>
    <rPh sb="7" eb="10">
      <t>レキシテキ</t>
    </rPh>
    <rPh sb="10" eb="12">
      <t>ヘンセン</t>
    </rPh>
    <phoneticPr fontId="7"/>
  </si>
  <si>
    <t>３　医療従事者の倫理</t>
    <rPh sb="2" eb="4">
      <t>イリョウ</t>
    </rPh>
    <rPh sb="4" eb="7">
      <t>ジュウジシャ</t>
    </rPh>
    <rPh sb="8" eb="10">
      <t>リンリ</t>
    </rPh>
    <phoneticPr fontId="7"/>
  </si>
  <si>
    <t>４　将来の展望</t>
    <rPh sb="2" eb="4">
      <t>ショウライ</t>
    </rPh>
    <rPh sb="5" eb="7">
      <t>テンボウ</t>
    </rPh>
    <phoneticPr fontId="7"/>
  </si>
  <si>
    <t>１　概論</t>
    <rPh sb="2" eb="4">
      <t>ガイロン</t>
    </rPh>
    <phoneticPr fontId="7"/>
  </si>
  <si>
    <t>（１）公衆衛生の概要</t>
    <rPh sb="3" eb="5">
      <t>コウシュウ</t>
    </rPh>
    <rPh sb="5" eb="7">
      <t>エイセイ</t>
    </rPh>
    <rPh sb="8" eb="10">
      <t>ガイヨウ</t>
    </rPh>
    <phoneticPr fontId="7"/>
  </si>
  <si>
    <t>（２）疾病予防と疫学調査法</t>
    <rPh sb="3" eb="5">
      <t>シッペイ</t>
    </rPh>
    <rPh sb="5" eb="7">
      <t>ヨボウ</t>
    </rPh>
    <rPh sb="8" eb="10">
      <t>エキガク</t>
    </rPh>
    <rPh sb="10" eb="13">
      <t>チョウサホウ</t>
    </rPh>
    <phoneticPr fontId="7"/>
  </si>
  <si>
    <t>２　各論</t>
    <rPh sb="2" eb="4">
      <t>カクロン</t>
    </rPh>
    <phoneticPr fontId="7"/>
  </si>
  <si>
    <t>（１）人口動態</t>
    <rPh sb="3" eb="5">
      <t>ジンコウ</t>
    </rPh>
    <rPh sb="5" eb="7">
      <t>ドウタイ</t>
    </rPh>
    <phoneticPr fontId="7"/>
  </si>
  <si>
    <t>（２）保健</t>
    <rPh sb="3" eb="5">
      <t>ホケン</t>
    </rPh>
    <phoneticPr fontId="7"/>
  </si>
  <si>
    <t>（３）生活環境</t>
    <rPh sb="3" eb="5">
      <t>セイカツ</t>
    </rPh>
    <rPh sb="5" eb="7">
      <t>カンキョウ</t>
    </rPh>
    <phoneticPr fontId="7"/>
  </si>
  <si>
    <t>（４）公害</t>
    <rPh sb="3" eb="5">
      <t>コウガイ</t>
    </rPh>
    <phoneticPr fontId="7"/>
  </si>
  <si>
    <t>（５）食品衛生</t>
    <rPh sb="3" eb="5">
      <t>ショクヒン</t>
    </rPh>
    <rPh sb="5" eb="7">
      <t>エイセイ</t>
    </rPh>
    <phoneticPr fontId="7"/>
  </si>
  <si>
    <t>（６）労働衛生</t>
    <rPh sb="3" eb="5">
      <t>ロウドウ</t>
    </rPh>
    <rPh sb="5" eb="7">
      <t>エイセイ</t>
    </rPh>
    <phoneticPr fontId="7"/>
  </si>
  <si>
    <t>（７）衛生統計</t>
    <rPh sb="3" eb="5">
      <t>エイセイ</t>
    </rPh>
    <rPh sb="5" eb="7">
      <t>トウケイ</t>
    </rPh>
    <phoneticPr fontId="7"/>
  </si>
  <si>
    <t>（８）健康の保持増進と予防医学</t>
    <rPh sb="3" eb="5">
      <t>ケンコウ</t>
    </rPh>
    <rPh sb="6" eb="8">
      <t>ホジ</t>
    </rPh>
    <rPh sb="8" eb="10">
      <t>ゾウシン</t>
    </rPh>
    <rPh sb="11" eb="13">
      <t>ヨボウ</t>
    </rPh>
    <rPh sb="13" eb="15">
      <t>イガク</t>
    </rPh>
    <phoneticPr fontId="7"/>
  </si>
  <si>
    <t>（９）衛生行政</t>
    <rPh sb="3" eb="5">
      <t>エイセイ</t>
    </rPh>
    <rPh sb="5" eb="7">
      <t>ギョウセイ</t>
    </rPh>
    <phoneticPr fontId="7"/>
  </si>
  <si>
    <t>１　総論</t>
    <rPh sb="2" eb="4">
      <t>ソウロン</t>
    </rPh>
    <phoneticPr fontId="7"/>
  </si>
  <si>
    <t>（１）病理学の概要</t>
    <rPh sb="3" eb="6">
      <t>ビョウリガク</t>
    </rPh>
    <rPh sb="7" eb="9">
      <t>ガイヨウ</t>
    </rPh>
    <phoneticPr fontId="7"/>
  </si>
  <si>
    <t>（２）物質代謝障害</t>
    <rPh sb="3" eb="5">
      <t>ブッシツ</t>
    </rPh>
    <rPh sb="5" eb="7">
      <t>タイシャ</t>
    </rPh>
    <rPh sb="7" eb="9">
      <t>ショウガイ</t>
    </rPh>
    <phoneticPr fontId="7"/>
  </si>
  <si>
    <t>（３）循環障害</t>
    <rPh sb="3" eb="5">
      <t>ジュンカン</t>
    </rPh>
    <rPh sb="5" eb="7">
      <t>ショウガイ</t>
    </rPh>
    <phoneticPr fontId="7"/>
  </si>
  <si>
    <t>（４）退行性病変</t>
    <rPh sb="3" eb="5">
      <t>タイコウ</t>
    </rPh>
    <rPh sb="5" eb="6">
      <t>セイ</t>
    </rPh>
    <rPh sb="6" eb="8">
      <t>ビョウヘン</t>
    </rPh>
    <phoneticPr fontId="7"/>
  </si>
  <si>
    <t>（５）炎症</t>
    <rPh sb="3" eb="5">
      <t>エンショウ</t>
    </rPh>
    <phoneticPr fontId="7"/>
  </si>
  <si>
    <t>（６）新生物</t>
    <rPh sb="3" eb="6">
      <t>シンセイブツ</t>
    </rPh>
    <phoneticPr fontId="7"/>
  </si>
  <si>
    <t>（１）病理組織検査及び細胞検査</t>
    <rPh sb="3" eb="5">
      <t>ビョウリ</t>
    </rPh>
    <rPh sb="5" eb="7">
      <t>ソシキ</t>
    </rPh>
    <rPh sb="7" eb="9">
      <t>ケンサ</t>
    </rPh>
    <rPh sb="9" eb="10">
      <t>オヨ</t>
    </rPh>
    <rPh sb="11" eb="13">
      <t>サイボウ</t>
    </rPh>
    <rPh sb="13" eb="15">
      <t>ケンサ</t>
    </rPh>
    <phoneticPr fontId="7"/>
  </si>
  <si>
    <t>（２）各種疾患と病理像</t>
    <rPh sb="3" eb="5">
      <t>カクシュ</t>
    </rPh>
    <rPh sb="5" eb="7">
      <t>シッカン</t>
    </rPh>
    <rPh sb="8" eb="10">
      <t>ビョウリ</t>
    </rPh>
    <rPh sb="10" eb="11">
      <t>ゾウ</t>
    </rPh>
    <phoneticPr fontId="7"/>
  </si>
  <si>
    <t>（３）各種生化学的検査</t>
    <rPh sb="3" eb="5">
      <t>カクシュ</t>
    </rPh>
    <rPh sb="5" eb="8">
      <t>セイカガク</t>
    </rPh>
    <rPh sb="8" eb="9">
      <t>テキ</t>
    </rPh>
    <rPh sb="9" eb="11">
      <t>ケンサ</t>
    </rPh>
    <phoneticPr fontId="7"/>
  </si>
  <si>
    <t>（４）血清学的検査</t>
    <rPh sb="3" eb="6">
      <t>ケッセイガク</t>
    </rPh>
    <rPh sb="6" eb="7">
      <t>テキ</t>
    </rPh>
    <rPh sb="7" eb="9">
      <t>ケンサ</t>
    </rPh>
    <phoneticPr fontId="7"/>
  </si>
  <si>
    <t>（５）細菌学的検査</t>
    <rPh sb="3" eb="6">
      <t>サイキンガク</t>
    </rPh>
    <rPh sb="6" eb="7">
      <t>テキ</t>
    </rPh>
    <rPh sb="7" eb="9">
      <t>ケンサ</t>
    </rPh>
    <phoneticPr fontId="7"/>
  </si>
  <si>
    <t>（６）生理学的検査</t>
    <phoneticPr fontId="7"/>
  </si>
  <si>
    <t>１　物質の代謝</t>
    <rPh sb="2" eb="4">
      <t>ブッシツ</t>
    </rPh>
    <rPh sb="5" eb="7">
      <t>タイシャ</t>
    </rPh>
    <phoneticPr fontId="7"/>
  </si>
  <si>
    <t>（１）糖質</t>
    <rPh sb="3" eb="5">
      <t>トウシツ</t>
    </rPh>
    <phoneticPr fontId="7"/>
  </si>
  <si>
    <t>（２）たん白質</t>
    <rPh sb="5" eb="7">
      <t>パクシツ</t>
    </rPh>
    <phoneticPr fontId="7"/>
  </si>
  <si>
    <t>（３）脂質</t>
    <rPh sb="3" eb="5">
      <t>シシツ</t>
    </rPh>
    <phoneticPr fontId="7"/>
  </si>
  <si>
    <t>（４）酵素</t>
    <rPh sb="3" eb="5">
      <t>コウソ</t>
    </rPh>
    <phoneticPr fontId="7"/>
  </si>
  <si>
    <t>（５）電解質</t>
    <rPh sb="3" eb="6">
      <t>デンカイシツ</t>
    </rPh>
    <phoneticPr fontId="7"/>
  </si>
  <si>
    <t>（６）ホルモン</t>
    <phoneticPr fontId="7"/>
  </si>
  <si>
    <t>（７）生体色素</t>
    <rPh sb="3" eb="5">
      <t>セイタイ</t>
    </rPh>
    <rPh sb="5" eb="7">
      <t>シキソ</t>
    </rPh>
    <phoneticPr fontId="7"/>
  </si>
  <si>
    <t>（８）核酸</t>
    <rPh sb="3" eb="5">
      <t>カクサン</t>
    </rPh>
    <phoneticPr fontId="7"/>
  </si>
  <si>
    <t>（９）ビタミン</t>
    <phoneticPr fontId="7"/>
  </si>
  <si>
    <t>（10）その他</t>
    <rPh sb="6" eb="7">
      <t>タ</t>
    </rPh>
    <phoneticPr fontId="7"/>
  </si>
  <si>
    <t>２　疫病と機能検査</t>
    <rPh sb="2" eb="4">
      <t>エキビョウ</t>
    </rPh>
    <rPh sb="5" eb="7">
      <t>キノウ</t>
    </rPh>
    <rPh sb="7" eb="9">
      <t>ケンサ</t>
    </rPh>
    <phoneticPr fontId="7"/>
  </si>
  <si>
    <t>（１）肝胆道系</t>
    <rPh sb="3" eb="5">
      <t>カンタン</t>
    </rPh>
    <rPh sb="5" eb="6">
      <t>ドウ</t>
    </rPh>
    <rPh sb="6" eb="7">
      <t>ケイ</t>
    </rPh>
    <phoneticPr fontId="7"/>
  </si>
  <si>
    <t>（２）腎</t>
    <rPh sb="3" eb="4">
      <t>ジン</t>
    </rPh>
    <phoneticPr fontId="7"/>
  </si>
  <si>
    <t>（３）内分泌</t>
    <rPh sb="3" eb="6">
      <t>ナイブンピツ</t>
    </rPh>
    <phoneticPr fontId="7"/>
  </si>
  <si>
    <t>（５）その他</t>
    <rPh sb="5" eb="6">
      <t>タ</t>
    </rPh>
    <phoneticPr fontId="7"/>
  </si>
  <si>
    <t>３　生体の分子メカニズム</t>
    <rPh sb="2" eb="4">
      <t>セイタイ</t>
    </rPh>
    <rPh sb="5" eb="7">
      <t>ブンシ</t>
    </rPh>
    <phoneticPr fontId="7"/>
  </si>
  <si>
    <t>（１）細胞周期、細胞の増殖・分化</t>
    <rPh sb="3" eb="5">
      <t>サイボウ</t>
    </rPh>
    <rPh sb="5" eb="7">
      <t>シュウキ</t>
    </rPh>
    <rPh sb="8" eb="10">
      <t>サイボウ</t>
    </rPh>
    <rPh sb="11" eb="13">
      <t>ゾウショク</t>
    </rPh>
    <rPh sb="14" eb="16">
      <t>ブンカ</t>
    </rPh>
    <phoneticPr fontId="7"/>
  </si>
  <si>
    <t>（２）シグナル伝達</t>
    <rPh sb="7" eb="9">
      <t>デンタツ</t>
    </rPh>
    <phoneticPr fontId="7"/>
  </si>
  <si>
    <t>（３）遺伝子の発現</t>
    <rPh sb="3" eb="6">
      <t>イデンシ</t>
    </rPh>
    <rPh sb="7" eb="9">
      <t>ハツゲン</t>
    </rPh>
    <phoneticPr fontId="7"/>
  </si>
  <si>
    <t>（４）幹細胞と再生</t>
    <rPh sb="3" eb="6">
      <t>カンサイボウ</t>
    </rPh>
    <rPh sb="7" eb="9">
      <t>サイセイ</t>
    </rPh>
    <phoneticPr fontId="7"/>
  </si>
  <si>
    <t>（５）バイオテクノロジー</t>
    <phoneticPr fontId="7"/>
  </si>
  <si>
    <t>（６）ゲノム</t>
    <phoneticPr fontId="7"/>
  </si>
  <si>
    <t>（７）がん</t>
    <phoneticPr fontId="7"/>
  </si>
  <si>
    <t>１　免疫血清学の概要</t>
    <rPh sb="2" eb="4">
      <t>メンエキ</t>
    </rPh>
    <rPh sb="4" eb="7">
      <t>ケッセイガク</t>
    </rPh>
    <rPh sb="8" eb="10">
      <t>ガイヨウ</t>
    </rPh>
    <phoneticPr fontId="7"/>
  </si>
  <si>
    <t>（１）抗原抗体反応の原理</t>
    <rPh sb="3" eb="5">
      <t>コウゲン</t>
    </rPh>
    <rPh sb="5" eb="7">
      <t>コウタイ</t>
    </rPh>
    <rPh sb="7" eb="9">
      <t>ハンノウ</t>
    </rPh>
    <rPh sb="10" eb="12">
      <t>ゲンリ</t>
    </rPh>
    <phoneticPr fontId="7"/>
  </si>
  <si>
    <t>（２）細胞免疫学の原理</t>
    <rPh sb="3" eb="5">
      <t>サイボウ</t>
    </rPh>
    <rPh sb="5" eb="8">
      <t>メンエキガク</t>
    </rPh>
    <rPh sb="9" eb="11">
      <t>ゲンリ</t>
    </rPh>
    <phoneticPr fontId="7"/>
  </si>
  <si>
    <t>（３）補体系</t>
    <rPh sb="3" eb="6">
      <t>ホタイケイ</t>
    </rPh>
    <phoneticPr fontId="7"/>
  </si>
  <si>
    <t>２　各種免疫</t>
    <rPh sb="2" eb="4">
      <t>カクシュ</t>
    </rPh>
    <rPh sb="4" eb="6">
      <t>メンエキ</t>
    </rPh>
    <phoneticPr fontId="7"/>
  </si>
  <si>
    <t>（１）感染免疫</t>
    <rPh sb="3" eb="5">
      <t>カンセン</t>
    </rPh>
    <rPh sb="5" eb="7">
      <t>メンエキ</t>
    </rPh>
    <phoneticPr fontId="7"/>
  </si>
  <si>
    <t>（２）自己免疫</t>
    <rPh sb="3" eb="5">
      <t>ジコ</t>
    </rPh>
    <rPh sb="5" eb="7">
      <t>メンエキ</t>
    </rPh>
    <phoneticPr fontId="7"/>
  </si>
  <si>
    <t>（３）免疫不全</t>
    <phoneticPr fontId="7"/>
  </si>
  <si>
    <t>（４）アレルギー</t>
    <phoneticPr fontId="7"/>
  </si>
  <si>
    <t>（５）移植免疫</t>
    <rPh sb="3" eb="5">
      <t>イショク</t>
    </rPh>
    <rPh sb="5" eb="7">
      <t>メンエキ</t>
    </rPh>
    <phoneticPr fontId="7"/>
  </si>
  <si>
    <t>（６）腫瘍免疫</t>
    <rPh sb="3" eb="5">
      <t>シュヨウ</t>
    </rPh>
    <rPh sb="5" eb="7">
      <t>メンエキ</t>
    </rPh>
    <phoneticPr fontId="7"/>
  </si>
  <si>
    <t>３　輸血検査</t>
    <rPh sb="2" eb="4">
      <t>ユケツ</t>
    </rPh>
    <rPh sb="4" eb="6">
      <t>ケンサ</t>
    </rPh>
    <phoneticPr fontId="7"/>
  </si>
  <si>
    <t>（１）輸血と検査</t>
    <rPh sb="3" eb="5">
      <t>ユケツ</t>
    </rPh>
    <rPh sb="6" eb="8">
      <t>ケンサ</t>
    </rPh>
    <phoneticPr fontId="7"/>
  </si>
  <si>
    <t>（２）血液型の遺伝</t>
    <rPh sb="3" eb="6">
      <t>ケツエキガタ</t>
    </rPh>
    <rPh sb="7" eb="9">
      <t>イデン</t>
    </rPh>
    <phoneticPr fontId="7"/>
  </si>
  <si>
    <t>１　呼吸器系薬剤</t>
    <rPh sb="2" eb="6">
      <t>コキュウキケイ</t>
    </rPh>
    <rPh sb="6" eb="8">
      <t>ヤクザイ</t>
    </rPh>
    <phoneticPr fontId="7"/>
  </si>
  <si>
    <t>（１）気管支拡張薬</t>
    <rPh sb="3" eb="6">
      <t>キカンシ</t>
    </rPh>
    <rPh sb="6" eb="9">
      <t>カクチョウヤク</t>
    </rPh>
    <phoneticPr fontId="7"/>
  </si>
  <si>
    <t>（２）鎮咳剤</t>
    <rPh sb="3" eb="4">
      <t>チン</t>
    </rPh>
    <rPh sb="4" eb="5">
      <t>セキ</t>
    </rPh>
    <rPh sb="5" eb="6">
      <t>ザイ</t>
    </rPh>
    <phoneticPr fontId="7"/>
  </si>
  <si>
    <t>２　循環器系薬剤</t>
    <rPh sb="2" eb="6">
      <t>ジュンカンキケイ</t>
    </rPh>
    <rPh sb="6" eb="8">
      <t>ヤクザイ</t>
    </rPh>
    <phoneticPr fontId="7"/>
  </si>
  <si>
    <t>（１）強心薬</t>
    <rPh sb="3" eb="4">
      <t>キョウ</t>
    </rPh>
    <rPh sb="4" eb="5">
      <t>シン</t>
    </rPh>
    <rPh sb="5" eb="6">
      <t>ヤク</t>
    </rPh>
    <phoneticPr fontId="7"/>
  </si>
  <si>
    <t>（２）心機能亢進薬</t>
    <rPh sb="3" eb="6">
      <t>シンキノウ</t>
    </rPh>
    <rPh sb="6" eb="8">
      <t>コウシン</t>
    </rPh>
    <rPh sb="8" eb="9">
      <t>ヤク</t>
    </rPh>
    <phoneticPr fontId="7"/>
  </si>
  <si>
    <t>（３）血管収縮薬</t>
    <rPh sb="3" eb="5">
      <t>ケッカン</t>
    </rPh>
    <rPh sb="5" eb="7">
      <t>シュウシュク</t>
    </rPh>
    <rPh sb="7" eb="8">
      <t>ヤク</t>
    </rPh>
    <phoneticPr fontId="7"/>
  </si>
  <si>
    <t>（４）血管拡張薬</t>
    <rPh sb="3" eb="5">
      <t>ケッカン</t>
    </rPh>
    <rPh sb="5" eb="8">
      <t>カクチョウヤク</t>
    </rPh>
    <phoneticPr fontId="7"/>
  </si>
  <si>
    <t>３　利尿薬</t>
    <rPh sb="2" eb="5">
      <t>リニョウヤク</t>
    </rPh>
    <phoneticPr fontId="7"/>
  </si>
  <si>
    <t>４　脳神経系薬剤</t>
    <rPh sb="2" eb="5">
      <t>ノウシンケイ</t>
    </rPh>
    <rPh sb="5" eb="6">
      <t>ケイ</t>
    </rPh>
    <rPh sb="6" eb="8">
      <t>ヤクザイ</t>
    </rPh>
    <phoneticPr fontId="7"/>
  </si>
  <si>
    <t>（１）鎮静剤</t>
    <rPh sb="3" eb="6">
      <t>チンセイザイ</t>
    </rPh>
    <phoneticPr fontId="7"/>
  </si>
  <si>
    <t>（２）鎮痛薬</t>
    <rPh sb="3" eb="6">
      <t>チンツウヤク</t>
    </rPh>
    <phoneticPr fontId="7"/>
  </si>
  <si>
    <t>（３）麻酔薬</t>
    <rPh sb="3" eb="6">
      <t>マスイヤク</t>
    </rPh>
    <phoneticPr fontId="7"/>
  </si>
  <si>
    <t>５　抗菌薬</t>
    <rPh sb="2" eb="5">
      <t>コウキンヤク</t>
    </rPh>
    <phoneticPr fontId="7"/>
  </si>
  <si>
    <t>６　抗悪性腫瘍薬</t>
    <rPh sb="2" eb="3">
      <t>コウ</t>
    </rPh>
    <rPh sb="3" eb="5">
      <t>アクセイ</t>
    </rPh>
    <rPh sb="5" eb="7">
      <t>シュヨウ</t>
    </rPh>
    <rPh sb="7" eb="8">
      <t>ヤク</t>
    </rPh>
    <phoneticPr fontId="7"/>
  </si>
  <si>
    <t>１　専門職種の理解</t>
    <rPh sb="2" eb="4">
      <t>センモン</t>
    </rPh>
    <rPh sb="4" eb="6">
      <t>ショクシュ</t>
    </rPh>
    <rPh sb="7" eb="9">
      <t>リカイ</t>
    </rPh>
    <phoneticPr fontId="7"/>
  </si>
  <si>
    <t>２　疾病と医療チーム</t>
    <rPh sb="2" eb="4">
      <t>シッペイ</t>
    </rPh>
    <rPh sb="5" eb="7">
      <t>イリョウ</t>
    </rPh>
    <phoneticPr fontId="7"/>
  </si>
  <si>
    <t>３　医療チームによる患者対応</t>
    <rPh sb="2" eb="4">
      <t>イリョウ</t>
    </rPh>
    <rPh sb="10" eb="12">
      <t>カンジャ</t>
    </rPh>
    <rPh sb="12" eb="14">
      <t>タイオウ</t>
    </rPh>
    <phoneticPr fontId="7"/>
  </si>
  <si>
    <t>４　患者の心理</t>
    <rPh sb="2" eb="4">
      <t>カンジャ</t>
    </rPh>
    <rPh sb="5" eb="7">
      <t>シンリ</t>
    </rPh>
    <phoneticPr fontId="7"/>
  </si>
  <si>
    <t>１　医事法規概説</t>
    <rPh sb="2" eb="4">
      <t>イジ</t>
    </rPh>
    <rPh sb="4" eb="6">
      <t>ホウキ</t>
    </rPh>
    <rPh sb="6" eb="8">
      <t>ガイセツ</t>
    </rPh>
    <phoneticPr fontId="7"/>
  </si>
  <si>
    <t>２　臨床工学技士法</t>
    <rPh sb="2" eb="4">
      <t>リンショウ</t>
    </rPh>
    <rPh sb="4" eb="6">
      <t>コウガク</t>
    </rPh>
    <rPh sb="6" eb="8">
      <t>ギシ</t>
    </rPh>
    <rPh sb="8" eb="9">
      <t>ホウ</t>
    </rPh>
    <phoneticPr fontId="7"/>
  </si>
  <si>
    <t>（１）免許</t>
    <rPh sb="3" eb="5">
      <t>メンキョ</t>
    </rPh>
    <phoneticPr fontId="7"/>
  </si>
  <si>
    <t>（２）業務</t>
    <rPh sb="3" eb="5">
      <t>ギョウム</t>
    </rPh>
    <phoneticPr fontId="7"/>
  </si>
  <si>
    <t>（３）遵守事項</t>
    <rPh sb="3" eb="5">
      <t>ジュンシュ</t>
    </rPh>
    <rPh sb="5" eb="7">
      <t>ジコウ</t>
    </rPh>
    <phoneticPr fontId="7"/>
  </si>
  <si>
    <t>３　関連法規</t>
    <rPh sb="2" eb="4">
      <t>カンレン</t>
    </rPh>
    <rPh sb="4" eb="6">
      <t>ホウキ</t>
    </rPh>
    <phoneticPr fontId="7"/>
  </si>
  <si>
    <t>（２）医療法</t>
    <rPh sb="3" eb="6">
      <t>イリョウホウ</t>
    </rPh>
    <phoneticPr fontId="7"/>
  </si>
  <si>
    <t>（３）医薬品医療機器等法</t>
    <rPh sb="3" eb="6">
      <t>イヤクヒン</t>
    </rPh>
    <rPh sb="6" eb="8">
      <t>イリョウ</t>
    </rPh>
    <rPh sb="8" eb="10">
      <t>キキ</t>
    </rPh>
    <rPh sb="10" eb="11">
      <t>トウ</t>
    </rPh>
    <rPh sb="11" eb="12">
      <t>ホウ</t>
    </rPh>
    <phoneticPr fontId="7"/>
  </si>
  <si>
    <t>４　医療過誤</t>
    <rPh sb="2" eb="4">
      <t>イリョウ</t>
    </rPh>
    <rPh sb="4" eb="6">
      <t>カゴ</t>
    </rPh>
    <phoneticPr fontId="7"/>
  </si>
  <si>
    <t>（１）臨床工学と電気工学</t>
    <rPh sb="3" eb="5">
      <t>リンショウ</t>
    </rPh>
    <rPh sb="5" eb="7">
      <t>コウガク</t>
    </rPh>
    <rPh sb="8" eb="10">
      <t>デンキ</t>
    </rPh>
    <rPh sb="10" eb="12">
      <t>コウガク</t>
    </rPh>
    <phoneticPr fontId="7"/>
  </si>
  <si>
    <t>（１）電荷と電界</t>
    <rPh sb="3" eb="5">
      <t>デンカ</t>
    </rPh>
    <rPh sb="6" eb="8">
      <t>デンカイ</t>
    </rPh>
    <phoneticPr fontId="7"/>
  </si>
  <si>
    <t>（２）磁気と磁界</t>
    <rPh sb="3" eb="5">
      <t>ジキ</t>
    </rPh>
    <rPh sb="6" eb="8">
      <t>ジカイ</t>
    </rPh>
    <phoneticPr fontId="7"/>
  </si>
  <si>
    <t>（３）電磁波</t>
    <rPh sb="3" eb="6">
      <t>デンジハ</t>
    </rPh>
    <phoneticPr fontId="7"/>
  </si>
  <si>
    <t>（４）直流回路</t>
    <rPh sb="3" eb="5">
      <t>チョクリュウ</t>
    </rPh>
    <rPh sb="5" eb="7">
      <t>カイロ</t>
    </rPh>
    <phoneticPr fontId="7"/>
  </si>
  <si>
    <t>（５）交流回路</t>
    <rPh sb="3" eb="5">
      <t>コウリュウ</t>
    </rPh>
    <rPh sb="5" eb="7">
      <t>カイロ</t>
    </rPh>
    <phoneticPr fontId="7"/>
  </si>
  <si>
    <t>（６）過渡現象</t>
    <rPh sb="3" eb="5">
      <t>カト</t>
    </rPh>
    <rPh sb="5" eb="7">
      <t>ゲンショウ</t>
    </rPh>
    <phoneticPr fontId="7"/>
  </si>
  <si>
    <t>（７）電力装置</t>
    <rPh sb="3" eb="5">
      <t>デンリョク</t>
    </rPh>
    <rPh sb="5" eb="7">
      <t>ソウチ</t>
    </rPh>
    <phoneticPr fontId="7"/>
  </si>
  <si>
    <t>３　実習</t>
    <rPh sb="2" eb="4">
      <t>ジッシュウ</t>
    </rPh>
    <phoneticPr fontId="7"/>
  </si>
  <si>
    <t>（１）臨床工学と電子工学</t>
    <rPh sb="3" eb="5">
      <t>リンショウ</t>
    </rPh>
    <rPh sb="5" eb="7">
      <t>コウガク</t>
    </rPh>
    <rPh sb="8" eb="10">
      <t>デンシ</t>
    </rPh>
    <rPh sb="10" eb="12">
      <t>コウガク</t>
    </rPh>
    <phoneticPr fontId="7"/>
  </si>
  <si>
    <t>（２）電子回路と通信</t>
    <rPh sb="3" eb="5">
      <t>デンシ</t>
    </rPh>
    <rPh sb="5" eb="7">
      <t>カイロ</t>
    </rPh>
    <rPh sb="8" eb="10">
      <t>ツウシン</t>
    </rPh>
    <phoneticPr fontId="7"/>
  </si>
  <si>
    <t>（１）電子回路素子・要素</t>
    <rPh sb="3" eb="5">
      <t>デンシ</t>
    </rPh>
    <rPh sb="5" eb="7">
      <t>カイロ</t>
    </rPh>
    <rPh sb="7" eb="9">
      <t>ソシ</t>
    </rPh>
    <rPh sb="10" eb="12">
      <t>ヨウソ</t>
    </rPh>
    <phoneticPr fontId="7"/>
  </si>
  <si>
    <t>（２）アナログ回路</t>
    <rPh sb="7" eb="9">
      <t>カイロ</t>
    </rPh>
    <phoneticPr fontId="7"/>
  </si>
  <si>
    <t>（３）デジタル回路と論理回路</t>
    <rPh sb="7" eb="9">
      <t>カイロ</t>
    </rPh>
    <rPh sb="10" eb="12">
      <t>ロンリ</t>
    </rPh>
    <rPh sb="12" eb="14">
      <t>カイロ</t>
    </rPh>
    <phoneticPr fontId="7"/>
  </si>
  <si>
    <t>（４）通信</t>
    <rPh sb="3" eb="5">
      <t>ツウシン</t>
    </rPh>
    <phoneticPr fontId="7"/>
  </si>
  <si>
    <t>Ⅰ　医用工学概論</t>
    <rPh sb="2" eb="4">
      <t>イヨウ</t>
    </rPh>
    <rPh sb="4" eb="6">
      <t>コウガク</t>
    </rPh>
    <rPh sb="6" eb="8">
      <t>ガイロン</t>
    </rPh>
    <phoneticPr fontId="7"/>
  </si>
  <si>
    <t>（１）生体の構造と機能と特異性</t>
    <rPh sb="3" eb="5">
      <t>セイタイ</t>
    </rPh>
    <rPh sb="6" eb="8">
      <t>コウゾウ</t>
    </rPh>
    <rPh sb="9" eb="11">
      <t>キノウ</t>
    </rPh>
    <rPh sb="12" eb="15">
      <t>トクイセイ</t>
    </rPh>
    <phoneticPr fontId="7"/>
  </si>
  <si>
    <t>（２）生体計測の特徴と方法</t>
    <rPh sb="3" eb="5">
      <t>セイタイ</t>
    </rPh>
    <rPh sb="5" eb="7">
      <t>ケイソク</t>
    </rPh>
    <rPh sb="8" eb="10">
      <t>トクチョウ</t>
    </rPh>
    <rPh sb="11" eb="13">
      <t>ホウホウ</t>
    </rPh>
    <phoneticPr fontId="7"/>
  </si>
  <si>
    <t>（３）物理エネルギーによる治療</t>
    <rPh sb="3" eb="5">
      <t>ブツリ</t>
    </rPh>
    <rPh sb="13" eb="15">
      <t>チリョウ</t>
    </rPh>
    <phoneticPr fontId="7"/>
  </si>
  <si>
    <t>（４）人工臓器</t>
    <rPh sb="3" eb="5">
      <t>ジンコウ</t>
    </rPh>
    <rPh sb="5" eb="7">
      <t>ゾウキ</t>
    </rPh>
    <phoneticPr fontId="7"/>
  </si>
  <si>
    <t>（５）生体情報の処理</t>
    <rPh sb="3" eb="5">
      <t>セイタイ</t>
    </rPh>
    <rPh sb="5" eb="7">
      <t>ジョウホウ</t>
    </rPh>
    <rPh sb="8" eb="10">
      <t>ショリ</t>
    </rPh>
    <phoneticPr fontId="7"/>
  </si>
  <si>
    <t>（６）病院管理及び地域医療</t>
    <rPh sb="3" eb="5">
      <t>ビョウイン</t>
    </rPh>
    <rPh sb="5" eb="7">
      <t>カンリ</t>
    </rPh>
    <rPh sb="7" eb="8">
      <t>オヨ</t>
    </rPh>
    <rPh sb="9" eb="11">
      <t>チイキ</t>
    </rPh>
    <rPh sb="11" eb="13">
      <t>イリョウ</t>
    </rPh>
    <phoneticPr fontId="7"/>
  </si>
  <si>
    <t>（７）生体と環境</t>
    <rPh sb="3" eb="5">
      <t>セイタイ</t>
    </rPh>
    <rPh sb="6" eb="8">
      <t>カンキョウ</t>
    </rPh>
    <phoneticPr fontId="7"/>
  </si>
  <si>
    <t>（８）医用工学と安全</t>
    <rPh sb="3" eb="5">
      <t>イヨウ</t>
    </rPh>
    <rPh sb="5" eb="7">
      <t>コウガク</t>
    </rPh>
    <rPh sb="8" eb="10">
      <t>アンゼン</t>
    </rPh>
    <phoneticPr fontId="7"/>
  </si>
  <si>
    <t>３　演習</t>
    <rPh sb="2" eb="4">
      <t>エンシュウ</t>
    </rPh>
    <phoneticPr fontId="7"/>
  </si>
  <si>
    <t>Ⅱ　システム工学</t>
    <rPh sb="6" eb="8">
      <t>コウガク</t>
    </rPh>
    <phoneticPr fontId="7"/>
  </si>
  <si>
    <t>（１）臨床工学とシステム工学</t>
    <rPh sb="3" eb="5">
      <t>リンショウ</t>
    </rPh>
    <rPh sb="5" eb="7">
      <t>コウガク</t>
    </rPh>
    <rPh sb="12" eb="14">
      <t>コウガク</t>
    </rPh>
    <phoneticPr fontId="7"/>
  </si>
  <si>
    <t>（２）システム工学総論</t>
    <rPh sb="7" eb="9">
      <t>コウガク</t>
    </rPh>
    <rPh sb="9" eb="11">
      <t>ソウロン</t>
    </rPh>
    <phoneticPr fontId="7"/>
  </si>
  <si>
    <t>（１）システムの構成要素</t>
    <rPh sb="8" eb="10">
      <t>コウセイ</t>
    </rPh>
    <rPh sb="10" eb="12">
      <t>ヨウソ</t>
    </rPh>
    <phoneticPr fontId="7"/>
  </si>
  <si>
    <t>（２）伝達関数</t>
    <rPh sb="3" eb="5">
      <t>デンタツ</t>
    </rPh>
    <rPh sb="5" eb="7">
      <t>カンスウ</t>
    </rPh>
    <phoneticPr fontId="7"/>
  </si>
  <si>
    <t>（３）システムの特性</t>
    <rPh sb="8" eb="10">
      <t>トクセイ</t>
    </rPh>
    <phoneticPr fontId="7"/>
  </si>
  <si>
    <t>（４）システムの制御</t>
    <rPh sb="8" eb="10">
      <t>セイギョ</t>
    </rPh>
    <phoneticPr fontId="7"/>
  </si>
  <si>
    <t>（５）生体システム</t>
    <rPh sb="3" eb="5">
      <t>セイタイ</t>
    </rPh>
    <phoneticPr fontId="7"/>
  </si>
  <si>
    <t>Ⅲ　情報処理工学</t>
    <rPh sb="2" eb="4">
      <t>ジョウホウ</t>
    </rPh>
    <rPh sb="4" eb="6">
      <t>ショリ</t>
    </rPh>
    <rPh sb="6" eb="8">
      <t>コウガク</t>
    </rPh>
    <phoneticPr fontId="7"/>
  </si>
  <si>
    <t>（１）臨床工学と情報処理工学</t>
    <rPh sb="3" eb="5">
      <t>リンショウ</t>
    </rPh>
    <rPh sb="5" eb="7">
      <t>コウガク</t>
    </rPh>
    <rPh sb="8" eb="10">
      <t>ジョウホウ</t>
    </rPh>
    <rPh sb="10" eb="12">
      <t>ショリ</t>
    </rPh>
    <rPh sb="12" eb="14">
      <t>コウガク</t>
    </rPh>
    <phoneticPr fontId="7"/>
  </si>
  <si>
    <t>（２）情報処理工学総論</t>
    <rPh sb="3" eb="5">
      <t>ジョウホウ</t>
    </rPh>
    <rPh sb="5" eb="7">
      <t>ショリ</t>
    </rPh>
    <rPh sb="7" eb="9">
      <t>コウガク</t>
    </rPh>
    <rPh sb="9" eb="11">
      <t>ソウロン</t>
    </rPh>
    <phoneticPr fontId="7"/>
  </si>
  <si>
    <t>（１）コンピュータの構成</t>
    <rPh sb="10" eb="12">
      <t>コウセイ</t>
    </rPh>
    <phoneticPr fontId="7"/>
  </si>
  <si>
    <t>（２）コンピュータの動作原理</t>
    <rPh sb="10" eb="12">
      <t>ドウサ</t>
    </rPh>
    <rPh sb="12" eb="14">
      <t>ゲンリ</t>
    </rPh>
    <phoneticPr fontId="7"/>
  </si>
  <si>
    <t>（３）コンピュータネットワーク</t>
    <phoneticPr fontId="7"/>
  </si>
  <si>
    <t>（４）情報セキュリティ</t>
    <rPh sb="3" eb="5">
      <t>ジョウホウ</t>
    </rPh>
    <phoneticPr fontId="7"/>
  </si>
  <si>
    <t>（５）生体信号処理</t>
    <rPh sb="3" eb="5">
      <t>セイタイ</t>
    </rPh>
    <rPh sb="5" eb="7">
      <t>シンゴウ</t>
    </rPh>
    <rPh sb="7" eb="9">
      <t>ショリ</t>
    </rPh>
    <phoneticPr fontId="7"/>
  </si>
  <si>
    <t>（６）医療機器のデータサイエンス</t>
    <rPh sb="3" eb="5">
      <t>イリョウ</t>
    </rPh>
    <rPh sb="5" eb="7">
      <t>キキ</t>
    </rPh>
    <phoneticPr fontId="7"/>
  </si>
  <si>
    <t>（７）医療情報システム</t>
    <rPh sb="3" eb="5">
      <t>イリョウ</t>
    </rPh>
    <rPh sb="5" eb="7">
      <t>ジョウホウ</t>
    </rPh>
    <phoneticPr fontId="7"/>
  </si>
  <si>
    <t>Ⅳ　システム・情報処理実習</t>
    <rPh sb="6" eb="8">
      <t>ジョウホウ</t>
    </rPh>
    <rPh sb="8" eb="10">
      <t>ショリ</t>
    </rPh>
    <rPh sb="10" eb="12">
      <t>ジッシュウ</t>
    </rPh>
    <phoneticPr fontId="7"/>
  </si>
  <si>
    <t>◎</t>
    <phoneticPr fontId="7"/>
  </si>
  <si>
    <t>1　実習課題</t>
    <rPh sb="2" eb="4">
      <t>ジッシュウ</t>
    </rPh>
    <rPh sb="4" eb="6">
      <t>カダイ</t>
    </rPh>
    <phoneticPr fontId="7"/>
  </si>
  <si>
    <t>（１）波形とスペクトル</t>
    <rPh sb="3" eb="5">
      <t>ハケイ</t>
    </rPh>
    <phoneticPr fontId="7"/>
  </si>
  <si>
    <t>（３）フィードバック制御</t>
    <rPh sb="10" eb="12">
      <t>セイギョ</t>
    </rPh>
    <phoneticPr fontId="7"/>
  </si>
  <si>
    <t>（４）プログラミング</t>
    <phoneticPr fontId="7"/>
  </si>
  <si>
    <t>（１）臨床工学と数学</t>
    <rPh sb="3" eb="5">
      <t>リンショウ</t>
    </rPh>
    <rPh sb="5" eb="7">
      <t>コウガク</t>
    </rPh>
    <rPh sb="8" eb="10">
      <t>スウガク</t>
    </rPh>
    <phoneticPr fontId="7"/>
  </si>
  <si>
    <t>（２）応用数学総論</t>
    <rPh sb="3" eb="5">
      <t>オウヨウ</t>
    </rPh>
    <rPh sb="5" eb="7">
      <t>スウガク</t>
    </rPh>
    <rPh sb="7" eb="9">
      <t>ソウロン</t>
    </rPh>
    <phoneticPr fontId="7"/>
  </si>
  <si>
    <t>（１）代数学</t>
    <rPh sb="3" eb="6">
      <t>ダイスウガク</t>
    </rPh>
    <phoneticPr fontId="7"/>
  </si>
  <si>
    <t>（２）微分積分学</t>
    <rPh sb="3" eb="5">
      <t>ビブン</t>
    </rPh>
    <rPh sb="5" eb="8">
      <t>セキブンガク</t>
    </rPh>
    <phoneticPr fontId="7"/>
  </si>
  <si>
    <t>（３）微分方程式</t>
    <rPh sb="3" eb="5">
      <t>ビブン</t>
    </rPh>
    <rPh sb="5" eb="8">
      <t>ホウテイシキ</t>
    </rPh>
    <phoneticPr fontId="7"/>
  </si>
  <si>
    <t>（４）フーリエ級数とフーリエ変換</t>
    <rPh sb="7" eb="9">
      <t>キュウスウ</t>
    </rPh>
    <rPh sb="14" eb="16">
      <t>ヘンカン</t>
    </rPh>
    <phoneticPr fontId="7"/>
  </si>
  <si>
    <t>（５）確率統計学</t>
    <rPh sb="3" eb="5">
      <t>カクリツ</t>
    </rPh>
    <rPh sb="5" eb="8">
      <t>トウケイガク</t>
    </rPh>
    <phoneticPr fontId="7"/>
  </si>
  <si>
    <t>（１）臨床工学と機械工学</t>
    <rPh sb="3" eb="5">
      <t>リンショウ</t>
    </rPh>
    <rPh sb="5" eb="7">
      <t>コウガク</t>
    </rPh>
    <rPh sb="8" eb="10">
      <t>キカイ</t>
    </rPh>
    <rPh sb="10" eb="12">
      <t>コウガク</t>
    </rPh>
    <phoneticPr fontId="7"/>
  </si>
  <si>
    <t>（２）機械工学総論</t>
    <rPh sb="3" eb="5">
      <t>キカイ</t>
    </rPh>
    <rPh sb="5" eb="7">
      <t>コウガク</t>
    </rPh>
    <rPh sb="7" eb="9">
      <t>ソウロン</t>
    </rPh>
    <phoneticPr fontId="7"/>
  </si>
  <si>
    <t>（１）機械力学</t>
    <rPh sb="3" eb="5">
      <t>キカイ</t>
    </rPh>
    <rPh sb="5" eb="7">
      <t>リキガク</t>
    </rPh>
    <phoneticPr fontId="7"/>
  </si>
  <si>
    <t>（２）生体の運動</t>
    <rPh sb="3" eb="5">
      <t>セイタイ</t>
    </rPh>
    <rPh sb="6" eb="8">
      <t>ウンドウ</t>
    </rPh>
    <phoneticPr fontId="7"/>
  </si>
  <si>
    <t>（３）流体の法則</t>
    <rPh sb="3" eb="5">
      <t>リュウタイ</t>
    </rPh>
    <rPh sb="6" eb="8">
      <t>ホウソク</t>
    </rPh>
    <phoneticPr fontId="7"/>
  </si>
  <si>
    <t>（４）生体における流れ</t>
    <rPh sb="3" eb="5">
      <t>セイタイ</t>
    </rPh>
    <rPh sb="9" eb="10">
      <t>ナガ</t>
    </rPh>
    <phoneticPr fontId="7"/>
  </si>
  <si>
    <t>（５）振動と超音波</t>
    <rPh sb="3" eb="5">
      <t>シンドウ</t>
    </rPh>
    <rPh sb="6" eb="9">
      <t>チョウオンパ</t>
    </rPh>
    <phoneticPr fontId="7"/>
  </si>
  <si>
    <t>（６）熱力学と機械</t>
    <rPh sb="3" eb="6">
      <t>ネツリキガク</t>
    </rPh>
    <rPh sb="7" eb="9">
      <t>キカイ</t>
    </rPh>
    <phoneticPr fontId="7"/>
  </si>
  <si>
    <t>（１）臨床工学と生体物性</t>
    <rPh sb="3" eb="5">
      <t>リンショウ</t>
    </rPh>
    <rPh sb="5" eb="7">
      <t>コウガク</t>
    </rPh>
    <rPh sb="8" eb="10">
      <t>セイタイ</t>
    </rPh>
    <rPh sb="10" eb="12">
      <t>ブッセイ</t>
    </rPh>
    <phoneticPr fontId="7"/>
  </si>
  <si>
    <t>（２）生体の物理的特異性</t>
    <rPh sb="3" eb="5">
      <t>セイタイ</t>
    </rPh>
    <rPh sb="6" eb="9">
      <t>ブツリテキ</t>
    </rPh>
    <rPh sb="9" eb="12">
      <t>トクイセイ</t>
    </rPh>
    <phoneticPr fontId="7"/>
  </si>
  <si>
    <t>（１）生体の受動的電気特性</t>
    <rPh sb="3" eb="5">
      <t>セイタイ</t>
    </rPh>
    <rPh sb="6" eb="9">
      <t>ジュドウテキ</t>
    </rPh>
    <rPh sb="9" eb="11">
      <t>デンキ</t>
    </rPh>
    <rPh sb="11" eb="13">
      <t>トクセイ</t>
    </rPh>
    <phoneticPr fontId="7"/>
  </si>
  <si>
    <t>（３）生体の機械的特性</t>
    <rPh sb="3" eb="5">
      <t>セイタイ</t>
    </rPh>
    <rPh sb="6" eb="9">
      <t>キカイテキ</t>
    </rPh>
    <rPh sb="9" eb="11">
      <t>トクセイ</t>
    </rPh>
    <phoneticPr fontId="7"/>
  </si>
  <si>
    <t>（４）生体の音響特性</t>
    <rPh sb="3" eb="5">
      <t>セイタイ</t>
    </rPh>
    <rPh sb="6" eb="8">
      <t>オンキョウ</t>
    </rPh>
    <rPh sb="8" eb="10">
      <t>トクセイ</t>
    </rPh>
    <phoneticPr fontId="7"/>
  </si>
  <si>
    <t>（５）生体の磁気特性</t>
    <rPh sb="3" eb="5">
      <t>セイタイ</t>
    </rPh>
    <rPh sb="6" eb="8">
      <t>ジキ</t>
    </rPh>
    <rPh sb="8" eb="10">
      <t>トクセイ</t>
    </rPh>
    <phoneticPr fontId="7"/>
  </si>
  <si>
    <t>（６）生体の熱特性</t>
    <rPh sb="3" eb="5">
      <t>セイタイ</t>
    </rPh>
    <rPh sb="6" eb="7">
      <t>ネツ</t>
    </rPh>
    <rPh sb="7" eb="9">
      <t>トクセイ</t>
    </rPh>
    <phoneticPr fontId="7"/>
  </si>
  <si>
    <t>（７）生体の光特性</t>
    <rPh sb="3" eb="5">
      <t>セイタイ</t>
    </rPh>
    <rPh sb="6" eb="7">
      <t>ヒカリ</t>
    </rPh>
    <rPh sb="7" eb="9">
      <t>トクセイ</t>
    </rPh>
    <phoneticPr fontId="7"/>
  </si>
  <si>
    <t>（８）生体における輸送現象</t>
    <rPh sb="3" eb="5">
      <t>セイタイ</t>
    </rPh>
    <rPh sb="9" eb="11">
      <t>ユソウ</t>
    </rPh>
    <rPh sb="11" eb="13">
      <t>ゲンショウ</t>
    </rPh>
    <phoneticPr fontId="7"/>
  </si>
  <si>
    <t>（９）生体の放射線特性</t>
    <rPh sb="3" eb="5">
      <t>セイタイ</t>
    </rPh>
    <rPh sb="6" eb="9">
      <t>ホウシャセン</t>
    </rPh>
    <rPh sb="9" eb="11">
      <t>トクセイ</t>
    </rPh>
    <phoneticPr fontId="7"/>
  </si>
  <si>
    <t>（１）医用材料の生体適合性</t>
    <rPh sb="3" eb="5">
      <t>イヨウ</t>
    </rPh>
    <rPh sb="5" eb="7">
      <t>ザイリョウ</t>
    </rPh>
    <rPh sb="8" eb="10">
      <t>セイタイ</t>
    </rPh>
    <rPh sb="10" eb="13">
      <t>テキゴウセイ</t>
    </rPh>
    <phoneticPr fontId="7"/>
  </si>
  <si>
    <t>（２）臨床工学と医用材料</t>
    <rPh sb="3" eb="5">
      <t>リンショウ</t>
    </rPh>
    <rPh sb="5" eb="7">
      <t>コウガク</t>
    </rPh>
    <rPh sb="8" eb="10">
      <t>イヨウ</t>
    </rPh>
    <rPh sb="10" eb="12">
      <t>ザイリョウ</t>
    </rPh>
    <phoneticPr fontId="7"/>
  </si>
  <si>
    <t>（３）安全性試験</t>
    <rPh sb="3" eb="6">
      <t>アンゼンセイ</t>
    </rPh>
    <rPh sb="6" eb="8">
      <t>シケン</t>
    </rPh>
    <phoneticPr fontId="7"/>
  </si>
  <si>
    <t>（１）金属材料</t>
    <rPh sb="3" eb="5">
      <t>キンゾク</t>
    </rPh>
    <rPh sb="5" eb="7">
      <t>ザイリョウ</t>
    </rPh>
    <phoneticPr fontId="7"/>
  </si>
  <si>
    <t>（２）セラミックス材料</t>
    <rPh sb="9" eb="11">
      <t>ザイリョウ</t>
    </rPh>
    <phoneticPr fontId="7"/>
  </si>
  <si>
    <t>（３）高分子材料</t>
    <rPh sb="3" eb="6">
      <t>コウブンシ</t>
    </rPh>
    <rPh sb="6" eb="8">
      <t>ザイリョウ</t>
    </rPh>
    <phoneticPr fontId="7"/>
  </si>
  <si>
    <t>（４）生物由来材料</t>
    <rPh sb="3" eb="5">
      <t>セイブツ</t>
    </rPh>
    <rPh sb="5" eb="7">
      <t>ユライ</t>
    </rPh>
    <rPh sb="7" eb="9">
      <t>ザイリョウ</t>
    </rPh>
    <phoneticPr fontId="7"/>
  </si>
  <si>
    <t>（１）測定値と誤差の処理</t>
    <rPh sb="3" eb="6">
      <t>ソクテイチ</t>
    </rPh>
    <rPh sb="7" eb="9">
      <t>ゴサ</t>
    </rPh>
    <rPh sb="10" eb="12">
      <t>ショリ</t>
    </rPh>
    <phoneticPr fontId="7"/>
  </si>
  <si>
    <t>（２）生体情報の性質と計測</t>
    <rPh sb="3" eb="5">
      <t>セイタイ</t>
    </rPh>
    <rPh sb="5" eb="7">
      <t>ジョウホウ</t>
    </rPh>
    <rPh sb="8" eb="10">
      <t>セイシツ</t>
    </rPh>
    <rPh sb="11" eb="13">
      <t>ケイソク</t>
    </rPh>
    <phoneticPr fontId="7"/>
  </si>
  <si>
    <t>（３）測定法総論</t>
    <rPh sb="3" eb="6">
      <t>ソクテイホウ</t>
    </rPh>
    <rPh sb="6" eb="8">
      <t>ソウロン</t>
    </rPh>
    <phoneticPr fontId="7"/>
  </si>
  <si>
    <t>（７）生体化学量の計測</t>
    <rPh sb="3" eb="5">
      <t>セイタイ</t>
    </rPh>
    <rPh sb="5" eb="7">
      <t>カガク</t>
    </rPh>
    <rPh sb="7" eb="8">
      <t>リョウ</t>
    </rPh>
    <rPh sb="9" eb="11">
      <t>ケイソク</t>
    </rPh>
    <phoneticPr fontId="7"/>
  </si>
  <si>
    <t>（８）生体情報の処理</t>
    <rPh sb="3" eb="5">
      <t>セイタイ</t>
    </rPh>
    <rPh sb="5" eb="7">
      <t>ジョウホウ</t>
    </rPh>
    <rPh sb="8" eb="10">
      <t>ショリ</t>
    </rPh>
    <phoneticPr fontId="7"/>
  </si>
  <si>
    <t>（９）画像の計測処理基礎</t>
    <rPh sb="3" eb="5">
      <t>ガゾウ</t>
    </rPh>
    <rPh sb="6" eb="8">
      <t>ケイソク</t>
    </rPh>
    <rPh sb="8" eb="10">
      <t>ショリ</t>
    </rPh>
    <rPh sb="10" eb="12">
      <t>キソ</t>
    </rPh>
    <phoneticPr fontId="7"/>
  </si>
  <si>
    <t>１　医用機器と関連技術</t>
    <rPh sb="2" eb="4">
      <t>イヨウ</t>
    </rPh>
    <rPh sb="4" eb="6">
      <t>キキ</t>
    </rPh>
    <rPh sb="7" eb="9">
      <t>カンレン</t>
    </rPh>
    <rPh sb="9" eb="11">
      <t>ギジュツ</t>
    </rPh>
    <phoneticPr fontId="7"/>
  </si>
  <si>
    <t>（１）医用工学とその臨床応用</t>
    <rPh sb="3" eb="5">
      <t>イヨウ</t>
    </rPh>
    <rPh sb="5" eb="7">
      <t>コウガク</t>
    </rPh>
    <rPh sb="10" eb="12">
      <t>リンショウ</t>
    </rPh>
    <rPh sb="12" eb="14">
      <t>オウヨウ</t>
    </rPh>
    <phoneticPr fontId="7"/>
  </si>
  <si>
    <t>（２）医用工学と臨床工学</t>
    <rPh sb="3" eb="7">
      <t>イヨウコウガク</t>
    </rPh>
    <rPh sb="8" eb="10">
      <t>リンショウ</t>
    </rPh>
    <rPh sb="10" eb="12">
      <t>コウガク</t>
    </rPh>
    <phoneticPr fontId="7"/>
  </si>
  <si>
    <t>２　医用機器の人体への適用</t>
    <rPh sb="2" eb="4">
      <t>イヨウ</t>
    </rPh>
    <rPh sb="4" eb="6">
      <t>キキ</t>
    </rPh>
    <rPh sb="7" eb="9">
      <t>ジンタイ</t>
    </rPh>
    <rPh sb="11" eb="13">
      <t>テキヨウ</t>
    </rPh>
    <phoneticPr fontId="7"/>
  </si>
  <si>
    <t>（１）安全性と信頼性</t>
    <rPh sb="3" eb="6">
      <t>アンゼンセイ</t>
    </rPh>
    <rPh sb="7" eb="10">
      <t>シンライセイ</t>
    </rPh>
    <phoneticPr fontId="7"/>
  </si>
  <si>
    <t>（２）有効性と経済性</t>
    <rPh sb="3" eb="6">
      <t>ユウコウセイ</t>
    </rPh>
    <rPh sb="7" eb="10">
      <t>ケイザイセイ</t>
    </rPh>
    <phoneticPr fontId="7"/>
  </si>
  <si>
    <t>（３）使用環境と使用条件</t>
    <rPh sb="3" eb="5">
      <t>シヨウ</t>
    </rPh>
    <rPh sb="5" eb="7">
      <t>カンキョウ</t>
    </rPh>
    <rPh sb="8" eb="10">
      <t>シヨウ</t>
    </rPh>
    <rPh sb="10" eb="12">
      <t>ジョウケン</t>
    </rPh>
    <phoneticPr fontId="7"/>
  </si>
  <si>
    <t>３　生体計測・監視用機器概論</t>
    <rPh sb="2" eb="4">
      <t>セイタイ</t>
    </rPh>
    <rPh sb="4" eb="6">
      <t>ケイソク</t>
    </rPh>
    <rPh sb="7" eb="10">
      <t>カンシヨウ</t>
    </rPh>
    <rPh sb="10" eb="12">
      <t>キキ</t>
    </rPh>
    <rPh sb="12" eb="14">
      <t>ガイロン</t>
    </rPh>
    <phoneticPr fontId="7"/>
  </si>
  <si>
    <t>（１）循環器系</t>
    <rPh sb="3" eb="7">
      <t>ジュンカンキケイ</t>
    </rPh>
    <phoneticPr fontId="7"/>
  </si>
  <si>
    <t>（２）呼吸器系</t>
    <rPh sb="3" eb="7">
      <t>コキュウキケイ</t>
    </rPh>
    <phoneticPr fontId="7"/>
  </si>
  <si>
    <t>４　治療用機器概論</t>
    <rPh sb="2" eb="5">
      <t>チリョウヨウ</t>
    </rPh>
    <rPh sb="5" eb="7">
      <t>キキ</t>
    </rPh>
    <rPh sb="7" eb="9">
      <t>ガイロン</t>
    </rPh>
    <phoneticPr fontId="7"/>
  </si>
  <si>
    <t>（１）電磁的治療用機器</t>
    <rPh sb="3" eb="6">
      <t>デンジテキ</t>
    </rPh>
    <rPh sb="6" eb="9">
      <t>チリョウヨウ</t>
    </rPh>
    <rPh sb="9" eb="11">
      <t>キキ</t>
    </rPh>
    <phoneticPr fontId="7"/>
  </si>
  <si>
    <t>（２）熱的治療用機器</t>
    <rPh sb="3" eb="4">
      <t>ネツ</t>
    </rPh>
    <rPh sb="4" eb="5">
      <t>テキ</t>
    </rPh>
    <rPh sb="5" eb="8">
      <t>チリョウヨウ</t>
    </rPh>
    <rPh sb="8" eb="10">
      <t>キキ</t>
    </rPh>
    <phoneticPr fontId="7"/>
  </si>
  <si>
    <t>（３）光学的治療用機器</t>
    <rPh sb="3" eb="6">
      <t>コウガクテキ</t>
    </rPh>
    <rPh sb="6" eb="9">
      <t>チリョウヨウ</t>
    </rPh>
    <rPh sb="9" eb="11">
      <t>キキ</t>
    </rPh>
    <phoneticPr fontId="7"/>
  </si>
  <si>
    <t>（４）機械的治療用機器</t>
    <rPh sb="3" eb="6">
      <t>キカイテキ</t>
    </rPh>
    <rPh sb="6" eb="9">
      <t>チリョウヨウ</t>
    </rPh>
    <rPh sb="9" eb="11">
      <t>キキ</t>
    </rPh>
    <phoneticPr fontId="7"/>
  </si>
  <si>
    <t>（５）手術用機器</t>
    <rPh sb="3" eb="6">
      <t>シュジュツヨウ</t>
    </rPh>
    <rPh sb="6" eb="8">
      <t>キキ</t>
    </rPh>
    <phoneticPr fontId="7"/>
  </si>
  <si>
    <t>（３）代謝系</t>
    <rPh sb="3" eb="5">
      <t>タイシャ</t>
    </rPh>
    <rPh sb="5" eb="6">
      <t>ケイ</t>
    </rPh>
    <phoneticPr fontId="7"/>
  </si>
  <si>
    <t>１　治療機器概論</t>
    <rPh sb="2" eb="4">
      <t>チリョウ</t>
    </rPh>
    <rPh sb="4" eb="6">
      <t>キキ</t>
    </rPh>
    <rPh sb="6" eb="8">
      <t>ガイロン</t>
    </rPh>
    <phoneticPr fontId="7"/>
  </si>
  <si>
    <t>（１）使用エネルギーの種類と特性</t>
    <rPh sb="3" eb="5">
      <t>シヨウ</t>
    </rPh>
    <rPh sb="11" eb="13">
      <t>シュルイ</t>
    </rPh>
    <rPh sb="14" eb="16">
      <t>トクセイ</t>
    </rPh>
    <phoneticPr fontId="7"/>
  </si>
  <si>
    <t>（２）安全性と信頼性</t>
    <rPh sb="3" eb="6">
      <t>アンゼンセイ</t>
    </rPh>
    <rPh sb="7" eb="10">
      <t>シンライセイ</t>
    </rPh>
    <phoneticPr fontId="7"/>
  </si>
  <si>
    <t>（４）安全教育</t>
    <rPh sb="3" eb="5">
      <t>アンゼン</t>
    </rPh>
    <rPh sb="5" eb="7">
      <t>キョウイク</t>
    </rPh>
    <phoneticPr fontId="7"/>
  </si>
  <si>
    <t>（５）事故事例と安全対策</t>
    <rPh sb="3" eb="5">
      <t>ジコ</t>
    </rPh>
    <rPh sb="5" eb="7">
      <t>ジレイ</t>
    </rPh>
    <rPh sb="8" eb="10">
      <t>アンゼン</t>
    </rPh>
    <rPh sb="10" eb="12">
      <t>タイサク</t>
    </rPh>
    <phoneticPr fontId="7"/>
  </si>
  <si>
    <t>（１）不整脈治療機器</t>
    <rPh sb="3" eb="6">
      <t>フセイミャク</t>
    </rPh>
    <rPh sb="6" eb="8">
      <t>チリョウ</t>
    </rPh>
    <rPh sb="8" eb="10">
      <t>キキ</t>
    </rPh>
    <phoneticPr fontId="7"/>
  </si>
  <si>
    <t>（２）除細動器・AED</t>
    <rPh sb="3" eb="6">
      <t>ジョサイドウ</t>
    </rPh>
    <rPh sb="6" eb="7">
      <t>キ</t>
    </rPh>
    <phoneticPr fontId="7"/>
  </si>
  <si>
    <t>（３）電磁波治療器</t>
    <rPh sb="3" eb="6">
      <t>デンジハ</t>
    </rPh>
    <rPh sb="6" eb="9">
      <t>チリョウキ</t>
    </rPh>
    <phoneticPr fontId="7"/>
  </si>
  <si>
    <t>（４）温熱治療器</t>
    <rPh sb="3" eb="5">
      <t>オンネツ</t>
    </rPh>
    <rPh sb="5" eb="8">
      <t>チリョウキ</t>
    </rPh>
    <phoneticPr fontId="7"/>
  </si>
  <si>
    <t>（５）アブレーション</t>
    <phoneticPr fontId="7"/>
  </si>
  <si>
    <t>（１）輸液ポンプ</t>
    <rPh sb="3" eb="5">
      <t>ユエキ</t>
    </rPh>
    <phoneticPr fontId="7"/>
  </si>
  <si>
    <t>（３）吸引器</t>
    <rPh sb="3" eb="6">
      <t>キュウインキ</t>
    </rPh>
    <phoneticPr fontId="7"/>
  </si>
  <si>
    <t>（１）電気メス</t>
    <rPh sb="3" eb="5">
      <t>デンキ</t>
    </rPh>
    <phoneticPr fontId="7"/>
  </si>
  <si>
    <t>（２）マイクロ波手術装置</t>
    <rPh sb="7" eb="8">
      <t>ハ</t>
    </rPh>
    <rPh sb="8" eb="10">
      <t>シュジュツ</t>
    </rPh>
    <rPh sb="10" eb="12">
      <t>ソウチ</t>
    </rPh>
    <phoneticPr fontId="7"/>
  </si>
  <si>
    <t>（４）超音波治療器（HIFU含む）</t>
    <rPh sb="3" eb="6">
      <t>チョウオンパ</t>
    </rPh>
    <rPh sb="6" eb="9">
      <t>チリョウキ</t>
    </rPh>
    <rPh sb="14" eb="15">
      <t>フク</t>
    </rPh>
    <phoneticPr fontId="7"/>
  </si>
  <si>
    <t>（５）冷凍手術器</t>
    <rPh sb="3" eb="5">
      <t>レイトウ</t>
    </rPh>
    <rPh sb="5" eb="7">
      <t>シュジュツ</t>
    </rPh>
    <rPh sb="7" eb="8">
      <t>キ</t>
    </rPh>
    <phoneticPr fontId="7"/>
  </si>
  <si>
    <t>（６）結石破砕器</t>
    <rPh sb="3" eb="5">
      <t>ケッセキ</t>
    </rPh>
    <rPh sb="5" eb="7">
      <t>ハサイ</t>
    </rPh>
    <rPh sb="7" eb="8">
      <t>キ</t>
    </rPh>
    <phoneticPr fontId="7"/>
  </si>
  <si>
    <t>（７）手術支援システム</t>
    <rPh sb="3" eb="5">
      <t>シュジュツ</t>
    </rPh>
    <rPh sb="5" eb="7">
      <t>シエン</t>
    </rPh>
    <phoneticPr fontId="7"/>
  </si>
  <si>
    <t>（８）内視鏡外科手術装置</t>
    <rPh sb="3" eb="6">
      <t>ナイシキョウ</t>
    </rPh>
    <rPh sb="6" eb="8">
      <t>ゲカ</t>
    </rPh>
    <rPh sb="8" eb="10">
      <t>シュジュツ</t>
    </rPh>
    <rPh sb="10" eb="12">
      <t>ソウチ</t>
    </rPh>
    <phoneticPr fontId="7"/>
  </si>
  <si>
    <t>５　保守管理技術</t>
    <rPh sb="2" eb="4">
      <t>ホシュ</t>
    </rPh>
    <rPh sb="4" eb="6">
      <t>カンリ</t>
    </rPh>
    <rPh sb="6" eb="8">
      <t>ギジュツ</t>
    </rPh>
    <phoneticPr fontId="7"/>
  </si>
  <si>
    <t>（１）保守管理上の安全確保</t>
    <rPh sb="3" eb="5">
      <t>ホシュ</t>
    </rPh>
    <rPh sb="5" eb="8">
      <t>カンリジョウ</t>
    </rPh>
    <rPh sb="9" eb="11">
      <t>アンゼン</t>
    </rPh>
    <rPh sb="11" eb="13">
      <t>カクホ</t>
    </rPh>
    <phoneticPr fontId="7"/>
  </si>
  <si>
    <t>（２）点検用測定器</t>
    <rPh sb="3" eb="6">
      <t>テンケンヨウ</t>
    </rPh>
    <rPh sb="6" eb="9">
      <t>ソクテイキ</t>
    </rPh>
    <phoneticPr fontId="7"/>
  </si>
  <si>
    <t>（３）安全点検</t>
    <rPh sb="3" eb="5">
      <t>アンゼン</t>
    </rPh>
    <rPh sb="5" eb="7">
      <t>テンケン</t>
    </rPh>
    <phoneticPr fontId="7"/>
  </si>
  <si>
    <t>（４）性能点検</t>
    <rPh sb="3" eb="5">
      <t>セイノウ</t>
    </rPh>
    <rPh sb="5" eb="7">
      <t>テンケン</t>
    </rPh>
    <phoneticPr fontId="7"/>
  </si>
  <si>
    <t>（５）保守管理技術に関する実習</t>
    <rPh sb="3" eb="5">
      <t>ホシュ</t>
    </rPh>
    <rPh sb="5" eb="7">
      <t>カンリ</t>
    </rPh>
    <rPh sb="7" eb="9">
      <t>ギジュツ</t>
    </rPh>
    <rPh sb="10" eb="11">
      <t>カン</t>
    </rPh>
    <rPh sb="13" eb="15">
      <t>ジッシュウ</t>
    </rPh>
    <phoneticPr fontId="7"/>
  </si>
  <si>
    <t>８　実習</t>
    <rPh sb="2" eb="4">
      <t>ジッシュウ</t>
    </rPh>
    <phoneticPr fontId="7"/>
  </si>
  <si>
    <t>１　生体計測の基礎</t>
    <rPh sb="2" eb="4">
      <t>セイタイ</t>
    </rPh>
    <rPh sb="4" eb="6">
      <t>ケイソク</t>
    </rPh>
    <rPh sb="7" eb="9">
      <t>キソ</t>
    </rPh>
    <phoneticPr fontId="7"/>
  </si>
  <si>
    <t>（１）計測論</t>
    <rPh sb="3" eb="5">
      <t>ケイソク</t>
    </rPh>
    <rPh sb="5" eb="6">
      <t>ロン</t>
    </rPh>
    <phoneticPr fontId="7"/>
  </si>
  <si>
    <t>（２）計測機器の基本構成</t>
    <rPh sb="3" eb="5">
      <t>ケイソク</t>
    </rPh>
    <rPh sb="5" eb="7">
      <t>キキ</t>
    </rPh>
    <rPh sb="8" eb="10">
      <t>キホン</t>
    </rPh>
    <rPh sb="10" eb="12">
      <t>コウセイ</t>
    </rPh>
    <phoneticPr fontId="7"/>
  </si>
  <si>
    <t>（３）センサ・トランスデューサ</t>
    <phoneticPr fontId="7"/>
  </si>
  <si>
    <t>（４）生体情報の計測</t>
    <rPh sb="3" eb="5">
      <t>セイタイ</t>
    </rPh>
    <rPh sb="5" eb="7">
      <t>ジョウホウ</t>
    </rPh>
    <rPh sb="8" eb="10">
      <t>ケイソク</t>
    </rPh>
    <phoneticPr fontId="7"/>
  </si>
  <si>
    <t>２　生体電気計測</t>
    <rPh sb="2" eb="4">
      <t>セイタイ</t>
    </rPh>
    <rPh sb="4" eb="6">
      <t>デンキ</t>
    </rPh>
    <rPh sb="6" eb="8">
      <t>ケイソク</t>
    </rPh>
    <phoneticPr fontId="7"/>
  </si>
  <si>
    <t>（２）脳波と脳波計測</t>
    <rPh sb="3" eb="5">
      <t>ノウハ</t>
    </rPh>
    <rPh sb="6" eb="8">
      <t>ノウハ</t>
    </rPh>
    <rPh sb="8" eb="10">
      <t>ケイソク</t>
    </rPh>
    <phoneticPr fontId="7"/>
  </si>
  <si>
    <t>（３）筋電図と筋電図計測</t>
    <rPh sb="3" eb="6">
      <t>キンデンズ</t>
    </rPh>
    <rPh sb="7" eb="10">
      <t>キンデンズ</t>
    </rPh>
    <rPh sb="10" eb="12">
      <t>ケイソク</t>
    </rPh>
    <phoneticPr fontId="7"/>
  </si>
  <si>
    <t>３　生体の物理・化学現象計測</t>
    <rPh sb="2" eb="4">
      <t>セイタイ</t>
    </rPh>
    <rPh sb="5" eb="7">
      <t>ブツリ</t>
    </rPh>
    <rPh sb="8" eb="10">
      <t>カガク</t>
    </rPh>
    <rPh sb="10" eb="12">
      <t>ゲンショウ</t>
    </rPh>
    <rPh sb="12" eb="14">
      <t>ケイソク</t>
    </rPh>
    <phoneticPr fontId="7"/>
  </si>
  <si>
    <t>（２）心拍出量計測</t>
    <rPh sb="3" eb="5">
      <t>シンパク</t>
    </rPh>
    <rPh sb="5" eb="7">
      <t>シュツリョウ</t>
    </rPh>
    <rPh sb="7" eb="9">
      <t>ケイソク</t>
    </rPh>
    <phoneticPr fontId="7"/>
  </si>
  <si>
    <t>（３）血流計測</t>
    <rPh sb="3" eb="5">
      <t>ケツリュウ</t>
    </rPh>
    <rPh sb="5" eb="7">
      <t>ケイソク</t>
    </rPh>
    <phoneticPr fontId="7"/>
  </si>
  <si>
    <t>（４）呼吸機能の計測</t>
    <rPh sb="3" eb="5">
      <t>コキュウ</t>
    </rPh>
    <rPh sb="5" eb="7">
      <t>キノウ</t>
    </rPh>
    <rPh sb="8" eb="10">
      <t>ケイソク</t>
    </rPh>
    <phoneticPr fontId="7"/>
  </si>
  <si>
    <t>（６）血液ガスモニタ</t>
    <rPh sb="3" eb="5">
      <t>ケツエキ</t>
    </rPh>
    <phoneticPr fontId="7"/>
  </si>
  <si>
    <t>（７）体温計測</t>
    <rPh sb="3" eb="5">
      <t>タイオン</t>
    </rPh>
    <rPh sb="5" eb="7">
      <t>ケイソク</t>
    </rPh>
    <phoneticPr fontId="7"/>
  </si>
  <si>
    <t>４　画像診断法</t>
    <rPh sb="2" eb="4">
      <t>ガゾウ</t>
    </rPh>
    <rPh sb="4" eb="7">
      <t>シンダンホウ</t>
    </rPh>
    <phoneticPr fontId="7"/>
  </si>
  <si>
    <t>（１）超音波画像計測</t>
    <rPh sb="3" eb="6">
      <t>チョウオンパ</t>
    </rPh>
    <rPh sb="6" eb="8">
      <t>ガゾウ</t>
    </rPh>
    <rPh sb="8" eb="10">
      <t>ケイソク</t>
    </rPh>
    <phoneticPr fontId="7"/>
  </si>
  <si>
    <t>（２）X線・X線CT</t>
    <rPh sb="4" eb="5">
      <t>セン</t>
    </rPh>
    <rPh sb="7" eb="8">
      <t>セン</t>
    </rPh>
    <phoneticPr fontId="7"/>
  </si>
  <si>
    <t>（４）MRI</t>
    <phoneticPr fontId="7"/>
  </si>
  <si>
    <t>（５）内視鏡</t>
    <rPh sb="3" eb="6">
      <t>ナイシキョウ</t>
    </rPh>
    <phoneticPr fontId="7"/>
  </si>
  <si>
    <t>７　実習</t>
    <rPh sb="2" eb="4">
      <t>ジッシュウ</t>
    </rPh>
    <phoneticPr fontId="7"/>
  </si>
  <si>
    <t>（１）臨床的な病態</t>
    <rPh sb="3" eb="6">
      <t>リンショウテキ</t>
    </rPh>
    <rPh sb="7" eb="9">
      <t>ビョウタイ</t>
    </rPh>
    <phoneticPr fontId="7"/>
  </si>
  <si>
    <t>（２）治療法の実際</t>
    <rPh sb="3" eb="6">
      <t>チリョウホウ</t>
    </rPh>
    <rPh sb="7" eb="9">
      <t>ジッサイ</t>
    </rPh>
    <phoneticPr fontId="7"/>
  </si>
  <si>
    <t>（１）内視鏡治療・検査関連機器</t>
    <rPh sb="3" eb="6">
      <t>ナイシキョウ</t>
    </rPh>
    <rPh sb="6" eb="8">
      <t>チリョウ</t>
    </rPh>
    <rPh sb="9" eb="11">
      <t>ケンサ</t>
    </rPh>
    <rPh sb="11" eb="13">
      <t>カンレン</t>
    </rPh>
    <rPh sb="13" eb="15">
      <t>キキ</t>
    </rPh>
    <phoneticPr fontId="7"/>
  </si>
  <si>
    <t>（３）心・血管カテーテル関連機器</t>
    <rPh sb="3" eb="4">
      <t>シン</t>
    </rPh>
    <rPh sb="5" eb="7">
      <t>ケッカン</t>
    </rPh>
    <rPh sb="12" eb="14">
      <t>カンレン</t>
    </rPh>
    <rPh sb="14" eb="16">
      <t>キキ</t>
    </rPh>
    <phoneticPr fontId="7"/>
  </si>
  <si>
    <t>３　各種治療・検査法の実際</t>
    <rPh sb="2" eb="4">
      <t>カクシュ</t>
    </rPh>
    <rPh sb="4" eb="6">
      <t>チリョウ</t>
    </rPh>
    <rPh sb="7" eb="10">
      <t>ケンサホウ</t>
    </rPh>
    <rPh sb="11" eb="13">
      <t>ジッサイ</t>
    </rPh>
    <phoneticPr fontId="7"/>
  </si>
  <si>
    <t>（１）内視鏡治療・検査法の手技</t>
    <rPh sb="3" eb="6">
      <t>ナイシキョウ</t>
    </rPh>
    <rPh sb="6" eb="8">
      <t>チリョウ</t>
    </rPh>
    <rPh sb="9" eb="12">
      <t>ケンサホウ</t>
    </rPh>
    <rPh sb="13" eb="15">
      <t>シュギ</t>
    </rPh>
    <phoneticPr fontId="7"/>
  </si>
  <si>
    <t>４　演習・実習</t>
    <rPh sb="2" eb="4">
      <t>エンシュウ</t>
    </rPh>
    <rPh sb="5" eb="7">
      <t>ジッシュウ</t>
    </rPh>
    <phoneticPr fontId="7"/>
  </si>
  <si>
    <t>１　呼吸療法装置</t>
    <rPh sb="2" eb="4">
      <t>コキュウ</t>
    </rPh>
    <rPh sb="4" eb="6">
      <t>リョウホウ</t>
    </rPh>
    <rPh sb="6" eb="8">
      <t>ソウチ</t>
    </rPh>
    <phoneticPr fontId="7"/>
  </si>
  <si>
    <t>（１）臨床的意義</t>
    <rPh sb="3" eb="6">
      <t>リンショウテキ</t>
    </rPh>
    <rPh sb="6" eb="8">
      <t>イギ</t>
    </rPh>
    <phoneticPr fontId="7"/>
  </si>
  <si>
    <t>（２）呼吸系の生理と病態</t>
    <rPh sb="3" eb="6">
      <t>コキュウケイ</t>
    </rPh>
    <rPh sb="7" eb="9">
      <t>セイリ</t>
    </rPh>
    <rPh sb="10" eb="12">
      <t>ビョウタイ</t>
    </rPh>
    <phoneticPr fontId="7"/>
  </si>
  <si>
    <t>（３）種類・原理・構造</t>
    <rPh sb="3" eb="5">
      <t>シュルイ</t>
    </rPh>
    <rPh sb="6" eb="8">
      <t>ゲンリ</t>
    </rPh>
    <rPh sb="9" eb="11">
      <t>コウゾウ</t>
    </rPh>
    <phoneticPr fontId="7"/>
  </si>
  <si>
    <t>（４）医用ガスの物性と気体力学</t>
    <rPh sb="3" eb="5">
      <t>イヨウ</t>
    </rPh>
    <rPh sb="8" eb="10">
      <t>ブッセイ</t>
    </rPh>
    <rPh sb="11" eb="13">
      <t>キタイ</t>
    </rPh>
    <rPh sb="13" eb="15">
      <t>リキガク</t>
    </rPh>
    <phoneticPr fontId="7"/>
  </si>
  <si>
    <t>（７）患者管理</t>
    <rPh sb="3" eb="5">
      <t>カンジャ</t>
    </rPh>
    <rPh sb="5" eb="7">
      <t>カンリ</t>
    </rPh>
    <phoneticPr fontId="7"/>
  </si>
  <si>
    <t>（８）事故事例と安全対策</t>
    <rPh sb="3" eb="5">
      <t>ジコ</t>
    </rPh>
    <rPh sb="5" eb="7">
      <t>ジレイ</t>
    </rPh>
    <rPh sb="8" eb="10">
      <t>アンゼン</t>
    </rPh>
    <rPh sb="10" eb="12">
      <t>タイサク</t>
    </rPh>
    <phoneticPr fontId="7"/>
  </si>
  <si>
    <t>（９）新しい機器・技術</t>
    <rPh sb="3" eb="4">
      <t>アタラ</t>
    </rPh>
    <rPh sb="6" eb="8">
      <t>キキ</t>
    </rPh>
    <rPh sb="9" eb="11">
      <t>ギジュツ</t>
    </rPh>
    <phoneticPr fontId="7"/>
  </si>
  <si>
    <t>（10）保守点検技術</t>
    <rPh sb="4" eb="6">
      <t>ホシュ</t>
    </rPh>
    <rPh sb="6" eb="8">
      <t>テンケン</t>
    </rPh>
    <rPh sb="8" eb="10">
      <t>ギジュツ</t>
    </rPh>
    <phoneticPr fontId="7"/>
  </si>
  <si>
    <t>（11）高気圧酸素治療</t>
    <rPh sb="4" eb="7">
      <t>コウキアツ</t>
    </rPh>
    <rPh sb="7" eb="9">
      <t>サンソ</t>
    </rPh>
    <rPh sb="9" eb="11">
      <t>チリョウ</t>
    </rPh>
    <phoneticPr fontId="7"/>
  </si>
  <si>
    <t>（12）在宅酸素療法</t>
    <rPh sb="4" eb="6">
      <t>ザイタク</t>
    </rPh>
    <rPh sb="6" eb="8">
      <t>サンソ</t>
    </rPh>
    <rPh sb="8" eb="10">
      <t>リョウホウ</t>
    </rPh>
    <phoneticPr fontId="7"/>
  </si>
  <si>
    <t>（13）ECMO</t>
    <phoneticPr fontId="7"/>
  </si>
  <si>
    <t>（14）実習</t>
    <rPh sb="4" eb="6">
      <t>ジッシュウ</t>
    </rPh>
    <phoneticPr fontId="7"/>
  </si>
  <si>
    <t>２　体外循環装置</t>
    <rPh sb="2" eb="4">
      <t>タイガイ</t>
    </rPh>
    <rPh sb="4" eb="6">
      <t>ジュンカン</t>
    </rPh>
    <rPh sb="6" eb="8">
      <t>ソウチ</t>
    </rPh>
    <phoneticPr fontId="7"/>
  </si>
  <si>
    <t>（２）循環系の生理と病態</t>
    <rPh sb="3" eb="6">
      <t>ジュンカンケイ</t>
    </rPh>
    <rPh sb="7" eb="9">
      <t>セイリ</t>
    </rPh>
    <rPh sb="10" eb="12">
      <t>ビョウタイ</t>
    </rPh>
    <phoneticPr fontId="7"/>
  </si>
  <si>
    <t>（４）血液物性と流体力学</t>
    <rPh sb="3" eb="5">
      <t>ケツエキ</t>
    </rPh>
    <rPh sb="5" eb="7">
      <t>ブッセイ</t>
    </rPh>
    <rPh sb="8" eb="10">
      <t>リュウタイ</t>
    </rPh>
    <rPh sb="10" eb="12">
      <t>リキガク</t>
    </rPh>
    <phoneticPr fontId="7"/>
  </si>
  <si>
    <t>（５）人工肺の物理</t>
    <rPh sb="3" eb="6">
      <t>ジンコウハイ</t>
    </rPh>
    <rPh sb="7" eb="9">
      <t>ブツリ</t>
    </rPh>
    <phoneticPr fontId="7"/>
  </si>
  <si>
    <t>（６）体外循環技術</t>
    <rPh sb="3" eb="5">
      <t>タイガイ</t>
    </rPh>
    <rPh sb="5" eb="7">
      <t>ジュンカン</t>
    </rPh>
    <rPh sb="7" eb="9">
      <t>ギジュツ</t>
    </rPh>
    <phoneticPr fontId="7"/>
  </si>
  <si>
    <t>（７）補助人工心臓</t>
    <rPh sb="3" eb="5">
      <t>ホジョ</t>
    </rPh>
    <rPh sb="5" eb="7">
      <t>ジンコウ</t>
    </rPh>
    <rPh sb="7" eb="9">
      <t>シンゾウ</t>
    </rPh>
    <phoneticPr fontId="7"/>
  </si>
  <si>
    <t>（９）患者管理</t>
    <rPh sb="3" eb="5">
      <t>カンジャ</t>
    </rPh>
    <rPh sb="5" eb="7">
      <t>カンリ</t>
    </rPh>
    <phoneticPr fontId="7"/>
  </si>
  <si>
    <t>（10）事故事例と安全対策</t>
    <rPh sb="4" eb="6">
      <t>ジコ</t>
    </rPh>
    <rPh sb="6" eb="8">
      <t>ジレイ</t>
    </rPh>
    <rPh sb="9" eb="11">
      <t>アンゼン</t>
    </rPh>
    <rPh sb="11" eb="13">
      <t>タイサク</t>
    </rPh>
    <phoneticPr fontId="7"/>
  </si>
  <si>
    <t>（11）新しい機器・技術</t>
    <rPh sb="4" eb="5">
      <t>アタラ</t>
    </rPh>
    <rPh sb="7" eb="9">
      <t>キキ</t>
    </rPh>
    <rPh sb="10" eb="12">
      <t>ギジュツ</t>
    </rPh>
    <phoneticPr fontId="7"/>
  </si>
  <si>
    <t>（12）保守点検技術</t>
    <rPh sb="4" eb="6">
      <t>ホシュ</t>
    </rPh>
    <rPh sb="6" eb="8">
      <t>テンケン</t>
    </rPh>
    <rPh sb="8" eb="10">
      <t>ギジュツ</t>
    </rPh>
    <phoneticPr fontId="7"/>
  </si>
  <si>
    <t>（13）実習</t>
    <rPh sb="4" eb="6">
      <t>ジッシュウ</t>
    </rPh>
    <phoneticPr fontId="7"/>
  </si>
  <si>
    <t>（２）代謝系の生理と病態</t>
    <rPh sb="3" eb="5">
      <t>タイシャ</t>
    </rPh>
    <rPh sb="5" eb="6">
      <t>ケイ</t>
    </rPh>
    <rPh sb="7" eb="9">
      <t>セイリ</t>
    </rPh>
    <rPh sb="10" eb="12">
      <t>ビョウタイ</t>
    </rPh>
    <phoneticPr fontId="7"/>
  </si>
  <si>
    <t>（４）流体力学と物質輸送論</t>
    <rPh sb="3" eb="5">
      <t>リュウタイ</t>
    </rPh>
    <rPh sb="5" eb="7">
      <t>リキガク</t>
    </rPh>
    <rPh sb="8" eb="10">
      <t>ブッシツ</t>
    </rPh>
    <rPh sb="10" eb="12">
      <t>ユソウ</t>
    </rPh>
    <rPh sb="12" eb="13">
      <t>ロン</t>
    </rPh>
    <phoneticPr fontId="7"/>
  </si>
  <si>
    <t>（５）血液浄化の物理</t>
    <rPh sb="3" eb="5">
      <t>ケツエキ</t>
    </rPh>
    <rPh sb="5" eb="7">
      <t>ジョウカ</t>
    </rPh>
    <rPh sb="8" eb="10">
      <t>ブツリ</t>
    </rPh>
    <phoneticPr fontId="7"/>
  </si>
  <si>
    <t>（８）水質管理</t>
    <rPh sb="3" eb="5">
      <t>スイシツ</t>
    </rPh>
    <rPh sb="5" eb="7">
      <t>カンリ</t>
    </rPh>
    <phoneticPr fontId="7"/>
  </si>
  <si>
    <t>（10）バスキュラ-アクセスの管理</t>
    <rPh sb="15" eb="17">
      <t>カンリ</t>
    </rPh>
    <phoneticPr fontId="7"/>
  </si>
  <si>
    <t>（11）事故事例と安全対策</t>
    <rPh sb="4" eb="6">
      <t>ジコ</t>
    </rPh>
    <rPh sb="6" eb="8">
      <t>ジレイ</t>
    </rPh>
    <rPh sb="9" eb="11">
      <t>アンゼン</t>
    </rPh>
    <rPh sb="11" eb="13">
      <t>タイサク</t>
    </rPh>
    <phoneticPr fontId="7"/>
  </si>
  <si>
    <t>（12）新しい機器・技術</t>
    <rPh sb="4" eb="5">
      <t>アタラ</t>
    </rPh>
    <rPh sb="7" eb="9">
      <t>キキ</t>
    </rPh>
    <rPh sb="10" eb="12">
      <t>ギジュツ</t>
    </rPh>
    <phoneticPr fontId="7"/>
  </si>
  <si>
    <t>（13）保守点検技術</t>
    <rPh sb="4" eb="6">
      <t>ホシュ</t>
    </rPh>
    <rPh sb="6" eb="8">
      <t>テンケン</t>
    </rPh>
    <rPh sb="8" eb="10">
      <t>ギジュツ</t>
    </rPh>
    <phoneticPr fontId="7"/>
  </si>
  <si>
    <t xml:space="preserve">１　臨床工学の概念 </t>
    <rPh sb="2" eb="4">
      <t>リンショウ</t>
    </rPh>
    <rPh sb="4" eb="6">
      <t>コウガク</t>
    </rPh>
    <rPh sb="7" eb="9">
      <t>ガイネン</t>
    </rPh>
    <phoneticPr fontId="7"/>
  </si>
  <si>
    <t>（１）安全限界エネルギー</t>
    <rPh sb="3" eb="5">
      <t>アンゼン</t>
    </rPh>
    <rPh sb="5" eb="7">
      <t>ゲンカイ</t>
    </rPh>
    <phoneticPr fontId="7"/>
  </si>
  <si>
    <t>（２）電撃に対する人体反応</t>
    <rPh sb="3" eb="5">
      <t>デンゲキ</t>
    </rPh>
    <rPh sb="6" eb="7">
      <t>タイ</t>
    </rPh>
    <rPh sb="9" eb="11">
      <t>ジンタイ</t>
    </rPh>
    <rPh sb="11" eb="13">
      <t>ハンノウ</t>
    </rPh>
    <phoneticPr fontId="7"/>
  </si>
  <si>
    <t>（３）事故事例と安全対策</t>
    <rPh sb="3" eb="5">
      <t>ジコ</t>
    </rPh>
    <rPh sb="5" eb="7">
      <t>ジレイ</t>
    </rPh>
    <rPh sb="8" eb="10">
      <t>アンゼン</t>
    </rPh>
    <rPh sb="10" eb="12">
      <t>タイサク</t>
    </rPh>
    <phoneticPr fontId="7"/>
  </si>
  <si>
    <t>３　安全基準</t>
    <rPh sb="2" eb="4">
      <t>アンゼン</t>
    </rPh>
    <rPh sb="4" eb="6">
      <t>キジュン</t>
    </rPh>
    <phoneticPr fontId="7"/>
  </si>
  <si>
    <t>（１）機器の規格</t>
    <rPh sb="3" eb="5">
      <t>キキ</t>
    </rPh>
    <rPh sb="6" eb="8">
      <t>キカク</t>
    </rPh>
    <phoneticPr fontId="7"/>
  </si>
  <si>
    <t>（２）設備の規格</t>
    <rPh sb="3" eb="5">
      <t>セツビ</t>
    </rPh>
    <rPh sb="6" eb="8">
      <t>キカク</t>
    </rPh>
    <phoneticPr fontId="7"/>
  </si>
  <si>
    <t>４　電気的安全性の測定</t>
    <rPh sb="2" eb="5">
      <t>デンキテキ</t>
    </rPh>
    <rPh sb="5" eb="8">
      <t>アンゼンセイ</t>
    </rPh>
    <rPh sb="9" eb="11">
      <t>ソクテイ</t>
    </rPh>
    <phoneticPr fontId="7"/>
  </si>
  <si>
    <t>（１）漏れ電流</t>
    <rPh sb="3" eb="4">
      <t>モ</t>
    </rPh>
    <rPh sb="5" eb="7">
      <t>デンリュウ</t>
    </rPh>
    <phoneticPr fontId="7"/>
  </si>
  <si>
    <t>（２）接地線抵抗</t>
    <rPh sb="3" eb="5">
      <t>セッチ</t>
    </rPh>
    <rPh sb="5" eb="6">
      <t>セン</t>
    </rPh>
    <rPh sb="6" eb="8">
      <t>テイコウ</t>
    </rPh>
    <phoneticPr fontId="7"/>
  </si>
  <si>
    <t>（３）実習</t>
    <rPh sb="3" eb="5">
      <t>ジッシュウ</t>
    </rPh>
    <phoneticPr fontId="7"/>
  </si>
  <si>
    <t>５　安全管理技術</t>
    <rPh sb="2" eb="4">
      <t>アンゼン</t>
    </rPh>
    <rPh sb="4" eb="6">
      <t>カンリ</t>
    </rPh>
    <rPh sb="6" eb="8">
      <t>ギジュツ</t>
    </rPh>
    <phoneticPr fontId="7"/>
  </si>
  <si>
    <t>（１）導入技術評価と安全教育</t>
    <rPh sb="3" eb="5">
      <t>ドウニュウ</t>
    </rPh>
    <rPh sb="5" eb="7">
      <t>ギジュツ</t>
    </rPh>
    <rPh sb="7" eb="9">
      <t>ヒョウカ</t>
    </rPh>
    <rPh sb="10" eb="12">
      <t>アンゼン</t>
    </rPh>
    <rPh sb="12" eb="14">
      <t>キョウイク</t>
    </rPh>
    <phoneticPr fontId="7"/>
  </si>
  <si>
    <t>（２）日常点検</t>
    <rPh sb="3" eb="5">
      <t>ニチジョウ</t>
    </rPh>
    <rPh sb="5" eb="7">
      <t>テンケン</t>
    </rPh>
    <phoneticPr fontId="7"/>
  </si>
  <si>
    <t>（３）定期点検</t>
    <rPh sb="3" eb="5">
      <t>テイキ</t>
    </rPh>
    <rPh sb="5" eb="7">
      <t>テンケン</t>
    </rPh>
    <phoneticPr fontId="7"/>
  </si>
  <si>
    <t>（４）修理</t>
    <rPh sb="3" eb="5">
      <t>シュウリ</t>
    </rPh>
    <phoneticPr fontId="7"/>
  </si>
  <si>
    <t>（５）安全管理体制</t>
    <rPh sb="3" eb="5">
      <t>アンゼン</t>
    </rPh>
    <rPh sb="5" eb="7">
      <t>カンリ</t>
    </rPh>
    <rPh sb="7" eb="9">
      <t>タイセイ</t>
    </rPh>
    <phoneticPr fontId="7"/>
  </si>
  <si>
    <t>（６）医療設備管理</t>
    <rPh sb="3" eb="5">
      <t>イリョウ</t>
    </rPh>
    <rPh sb="5" eb="7">
      <t>セツビ</t>
    </rPh>
    <rPh sb="7" eb="9">
      <t>カンリ</t>
    </rPh>
    <phoneticPr fontId="7"/>
  </si>
  <si>
    <t>（７）安全確保と倫理</t>
    <rPh sb="3" eb="5">
      <t>アンゼン</t>
    </rPh>
    <rPh sb="5" eb="7">
      <t>カクホ</t>
    </rPh>
    <rPh sb="8" eb="10">
      <t>リンリ</t>
    </rPh>
    <phoneticPr fontId="7"/>
  </si>
  <si>
    <t>（９）安全文化の醸成</t>
    <rPh sb="3" eb="5">
      <t>アンゼン</t>
    </rPh>
    <rPh sb="5" eb="7">
      <t>ブンカ</t>
    </rPh>
    <rPh sb="8" eb="10">
      <t>ジョウセイ</t>
    </rPh>
    <phoneticPr fontId="7"/>
  </si>
  <si>
    <t>（11）実習</t>
    <rPh sb="4" eb="6">
      <t>ジッシュウ</t>
    </rPh>
    <phoneticPr fontId="7"/>
  </si>
  <si>
    <t>６　システム安全</t>
    <rPh sb="6" eb="8">
      <t>アンゼン</t>
    </rPh>
    <phoneticPr fontId="7"/>
  </si>
  <si>
    <t>（１）信頼性工学の基礎</t>
    <rPh sb="3" eb="6">
      <t>シンライセイ</t>
    </rPh>
    <rPh sb="6" eb="8">
      <t>コウガク</t>
    </rPh>
    <rPh sb="9" eb="11">
      <t>キソ</t>
    </rPh>
    <phoneticPr fontId="7"/>
  </si>
  <si>
    <t>（２）システム安全の手法</t>
    <rPh sb="7" eb="9">
      <t>アンゼン</t>
    </rPh>
    <rPh sb="10" eb="12">
      <t>シュホウ</t>
    </rPh>
    <phoneticPr fontId="7"/>
  </si>
  <si>
    <t>（３）ヒューマンファクタ科学概要</t>
    <rPh sb="12" eb="14">
      <t>カガク</t>
    </rPh>
    <rPh sb="14" eb="16">
      <t>ガイヨウ</t>
    </rPh>
    <phoneticPr fontId="7"/>
  </si>
  <si>
    <t>（４）医療事故分析手法</t>
    <rPh sb="3" eb="5">
      <t>イリョウ</t>
    </rPh>
    <rPh sb="5" eb="7">
      <t>ジコ</t>
    </rPh>
    <rPh sb="7" eb="9">
      <t>ブンセキ</t>
    </rPh>
    <rPh sb="9" eb="11">
      <t>シュホウ</t>
    </rPh>
    <phoneticPr fontId="7"/>
  </si>
  <si>
    <t>（５）演習・実習</t>
    <rPh sb="3" eb="5">
      <t>エンシュウ</t>
    </rPh>
    <rPh sb="6" eb="8">
      <t>ジッシュウ</t>
    </rPh>
    <phoneticPr fontId="7"/>
  </si>
  <si>
    <t>（２）実習</t>
    <rPh sb="3" eb="5">
      <t>ジッシュウ</t>
    </rPh>
    <phoneticPr fontId="7"/>
  </si>
  <si>
    <t>８　医療安全と患者急変時対応</t>
    <rPh sb="2" eb="4">
      <t>イリョウ</t>
    </rPh>
    <rPh sb="4" eb="6">
      <t>アンゼン</t>
    </rPh>
    <rPh sb="7" eb="9">
      <t>カンジャ</t>
    </rPh>
    <rPh sb="9" eb="11">
      <t>キュウヘン</t>
    </rPh>
    <rPh sb="11" eb="12">
      <t>ジ</t>
    </rPh>
    <rPh sb="12" eb="14">
      <t>タイオウ</t>
    </rPh>
    <phoneticPr fontId="7"/>
  </si>
  <si>
    <t>（６）鏡視下手術時の操作</t>
    <rPh sb="3" eb="4">
      <t>カガミ</t>
    </rPh>
    <rPh sb="4" eb="5">
      <t>ミ</t>
    </rPh>
    <rPh sb="5" eb="6">
      <t>シタ</t>
    </rPh>
    <rPh sb="6" eb="9">
      <t>シュジュツジ</t>
    </rPh>
    <rPh sb="10" eb="12">
      <t>ソウサ</t>
    </rPh>
    <phoneticPr fontId="7"/>
  </si>
  <si>
    <t>（９）上記以外の医療機器の操作</t>
    <rPh sb="3" eb="5">
      <t>ジョウキ</t>
    </rPh>
    <rPh sb="5" eb="7">
      <t>イガイ</t>
    </rPh>
    <rPh sb="8" eb="10">
      <t>イリョウ</t>
    </rPh>
    <rPh sb="10" eb="12">
      <t>キキ</t>
    </rPh>
    <rPh sb="13" eb="15">
      <t>ソウサ</t>
    </rPh>
    <phoneticPr fontId="7"/>
  </si>
  <si>
    <t>10　感染対策</t>
    <rPh sb="3" eb="5">
      <t>カンセン</t>
    </rPh>
    <rPh sb="5" eb="7">
      <t>タイサク</t>
    </rPh>
    <phoneticPr fontId="7"/>
  </si>
  <si>
    <t>（１）感染管理</t>
    <rPh sb="3" eb="5">
      <t>カンセン</t>
    </rPh>
    <rPh sb="5" eb="7">
      <t>カンリ</t>
    </rPh>
    <phoneticPr fontId="7"/>
  </si>
  <si>
    <t>（２）感染制御</t>
    <rPh sb="3" eb="5">
      <t>カンセン</t>
    </rPh>
    <rPh sb="5" eb="7">
      <t>セイギョ</t>
    </rPh>
    <phoneticPr fontId="7"/>
  </si>
  <si>
    <t>（３）洗浄・消毒・滅菌</t>
    <rPh sb="3" eb="5">
      <t>センジョウ</t>
    </rPh>
    <rPh sb="6" eb="8">
      <t>ショウドク</t>
    </rPh>
    <rPh sb="9" eb="11">
      <t>メッキン</t>
    </rPh>
    <phoneticPr fontId="7"/>
  </si>
  <si>
    <t>11　医療電磁環境と電波管理</t>
    <rPh sb="3" eb="5">
      <t>イリョウ</t>
    </rPh>
    <rPh sb="5" eb="7">
      <t>デンジ</t>
    </rPh>
    <rPh sb="7" eb="9">
      <t>カンキョウ</t>
    </rPh>
    <rPh sb="10" eb="12">
      <t>デンパ</t>
    </rPh>
    <rPh sb="12" eb="14">
      <t>カンリ</t>
    </rPh>
    <phoneticPr fontId="7"/>
  </si>
  <si>
    <t>12　災害対策と事業継続</t>
    <rPh sb="3" eb="5">
      <t>サイガイ</t>
    </rPh>
    <rPh sb="5" eb="7">
      <t>タイサク</t>
    </rPh>
    <rPh sb="8" eb="10">
      <t>ジギョウ</t>
    </rPh>
    <rPh sb="10" eb="12">
      <t>ケイゾク</t>
    </rPh>
    <phoneticPr fontId="7"/>
  </si>
  <si>
    <t>13　医療安全に関する関係法規</t>
    <rPh sb="3" eb="5">
      <t>イリョウ</t>
    </rPh>
    <rPh sb="5" eb="7">
      <t>アンゼン</t>
    </rPh>
    <rPh sb="8" eb="9">
      <t>カン</t>
    </rPh>
    <rPh sb="11" eb="13">
      <t>カンケイ</t>
    </rPh>
    <rPh sb="13" eb="15">
      <t>ホウキ</t>
    </rPh>
    <phoneticPr fontId="7"/>
  </si>
  <si>
    <t>１　内科学概論</t>
    <rPh sb="2" eb="5">
      <t>ナイカガク</t>
    </rPh>
    <rPh sb="5" eb="7">
      <t>ガイロン</t>
    </rPh>
    <phoneticPr fontId="7"/>
  </si>
  <si>
    <t>（１）内科学の歴史</t>
    <rPh sb="3" eb="6">
      <t>ナイカガク</t>
    </rPh>
    <rPh sb="7" eb="9">
      <t>レキシ</t>
    </rPh>
    <phoneticPr fontId="7"/>
  </si>
  <si>
    <t>（２）内科学的疾病へのアプローチ</t>
    <rPh sb="3" eb="6">
      <t>ナイカガク</t>
    </rPh>
    <rPh sb="6" eb="7">
      <t>テキ</t>
    </rPh>
    <rPh sb="7" eb="9">
      <t>シッペイ</t>
    </rPh>
    <phoneticPr fontId="7"/>
  </si>
  <si>
    <t>（３）内科学的治療法の概要</t>
    <rPh sb="3" eb="6">
      <t>ナイカガク</t>
    </rPh>
    <rPh sb="6" eb="7">
      <t>テキ</t>
    </rPh>
    <rPh sb="7" eb="10">
      <t>チリョウホウ</t>
    </rPh>
    <rPh sb="11" eb="13">
      <t>ガイヨウ</t>
    </rPh>
    <phoneticPr fontId="7"/>
  </si>
  <si>
    <t>２　外科学概論</t>
    <rPh sb="2" eb="5">
      <t>ゲカガク</t>
    </rPh>
    <rPh sb="5" eb="7">
      <t>ガイロン</t>
    </rPh>
    <phoneticPr fontId="7"/>
  </si>
  <si>
    <t>（１）外科学の歴史</t>
    <rPh sb="3" eb="6">
      <t>ゲカガク</t>
    </rPh>
    <rPh sb="7" eb="9">
      <t>レキシ</t>
    </rPh>
    <phoneticPr fontId="7"/>
  </si>
  <si>
    <t>（２）外科手術概論</t>
    <rPh sb="3" eb="5">
      <t>ゲカ</t>
    </rPh>
    <rPh sb="5" eb="7">
      <t>シュジュツ</t>
    </rPh>
    <rPh sb="7" eb="9">
      <t>ガイロン</t>
    </rPh>
    <phoneticPr fontId="7"/>
  </si>
  <si>
    <t>（３）創傷治癒</t>
    <rPh sb="3" eb="5">
      <t>ソウショウ</t>
    </rPh>
    <rPh sb="5" eb="7">
      <t>チユ</t>
    </rPh>
    <phoneticPr fontId="7"/>
  </si>
  <si>
    <t>（４）消毒、滅菌</t>
    <rPh sb="3" eb="5">
      <t>ショウドク</t>
    </rPh>
    <rPh sb="6" eb="8">
      <t>メッキン</t>
    </rPh>
    <phoneticPr fontId="7"/>
  </si>
  <si>
    <t>（５）患者管理</t>
    <rPh sb="3" eb="5">
      <t>カンジャ</t>
    </rPh>
    <rPh sb="5" eb="7">
      <t>カンリ</t>
    </rPh>
    <phoneticPr fontId="7"/>
  </si>
  <si>
    <t>３　呼吸器系</t>
    <rPh sb="2" eb="6">
      <t>コキュウキケイ</t>
    </rPh>
    <phoneticPr fontId="7"/>
  </si>
  <si>
    <t>（１）感染症</t>
    <rPh sb="3" eb="6">
      <t>カンセンショウ</t>
    </rPh>
    <phoneticPr fontId="7"/>
  </si>
  <si>
    <t>（２）新生物</t>
    <rPh sb="3" eb="6">
      <t>シンセイブツ</t>
    </rPh>
    <phoneticPr fontId="7"/>
  </si>
  <si>
    <t>（３）喘息</t>
    <rPh sb="3" eb="5">
      <t>ゼンソク</t>
    </rPh>
    <phoneticPr fontId="7"/>
  </si>
  <si>
    <t>（４）呼吸不全</t>
    <rPh sb="3" eb="5">
      <t>コキュウ</t>
    </rPh>
    <rPh sb="5" eb="7">
      <t>フゼン</t>
    </rPh>
    <phoneticPr fontId="7"/>
  </si>
  <si>
    <t>１）新生児呼吸不全</t>
    <rPh sb="2" eb="5">
      <t>シンセイジ</t>
    </rPh>
    <rPh sb="5" eb="7">
      <t>コキュウ</t>
    </rPh>
    <rPh sb="7" eb="9">
      <t>フゼン</t>
    </rPh>
    <phoneticPr fontId="7"/>
  </si>
  <si>
    <t>２）慢性呼吸不全</t>
    <rPh sb="2" eb="4">
      <t>マンセイ</t>
    </rPh>
    <rPh sb="4" eb="6">
      <t>コキュウ</t>
    </rPh>
    <rPh sb="6" eb="8">
      <t>フゼン</t>
    </rPh>
    <phoneticPr fontId="7"/>
  </si>
  <si>
    <t>３）急性呼吸促迫（窮迫）症候群</t>
    <rPh sb="2" eb="4">
      <t>キュウセイ</t>
    </rPh>
    <rPh sb="4" eb="6">
      <t>コキュウ</t>
    </rPh>
    <rPh sb="6" eb="8">
      <t>ソクハク</t>
    </rPh>
    <rPh sb="9" eb="11">
      <t>キュウハク</t>
    </rPh>
    <rPh sb="12" eb="15">
      <t>ショウコウグン</t>
    </rPh>
    <phoneticPr fontId="7"/>
  </si>
  <si>
    <t>（５）肺の手術</t>
    <rPh sb="3" eb="4">
      <t>ハイ</t>
    </rPh>
    <rPh sb="5" eb="7">
      <t>シュジュツ</t>
    </rPh>
    <phoneticPr fontId="7"/>
  </si>
  <si>
    <t>４　循環器系</t>
    <rPh sb="2" eb="6">
      <t>ジュンカンキケイ</t>
    </rPh>
    <phoneticPr fontId="7"/>
  </si>
  <si>
    <t>（１）血管病学</t>
    <rPh sb="3" eb="6">
      <t>ケッカンビョウ</t>
    </rPh>
    <rPh sb="6" eb="7">
      <t>ガク</t>
    </rPh>
    <phoneticPr fontId="7"/>
  </si>
  <si>
    <t>１）血圧異常</t>
    <rPh sb="2" eb="4">
      <t>ケツアツ</t>
    </rPh>
    <rPh sb="4" eb="6">
      <t>イジョウ</t>
    </rPh>
    <phoneticPr fontId="7"/>
  </si>
  <si>
    <t>２）閉塞性疾患</t>
    <rPh sb="2" eb="5">
      <t>ヘイソクセイ</t>
    </rPh>
    <rPh sb="5" eb="7">
      <t>シッカン</t>
    </rPh>
    <phoneticPr fontId="7"/>
  </si>
  <si>
    <t>３）大動脈瘤</t>
    <rPh sb="2" eb="6">
      <t>ダイドウミャクリュウ</t>
    </rPh>
    <phoneticPr fontId="7"/>
  </si>
  <si>
    <t>（２）心臓病学</t>
    <rPh sb="3" eb="6">
      <t>シンゾウビョウ</t>
    </rPh>
    <rPh sb="6" eb="7">
      <t>ガク</t>
    </rPh>
    <phoneticPr fontId="7"/>
  </si>
  <si>
    <t>１）先天性心疾患</t>
    <rPh sb="2" eb="5">
      <t>センテンセイ</t>
    </rPh>
    <rPh sb="5" eb="8">
      <t>シンシッカン</t>
    </rPh>
    <phoneticPr fontId="7"/>
  </si>
  <si>
    <t>２）弁膜症</t>
    <rPh sb="2" eb="5">
      <t>ベンマクショウ</t>
    </rPh>
    <phoneticPr fontId="7"/>
  </si>
  <si>
    <t>３）虚血性心疾患</t>
    <rPh sb="2" eb="5">
      <t>キョケツセイ</t>
    </rPh>
    <rPh sb="5" eb="8">
      <t>シンシッカン</t>
    </rPh>
    <phoneticPr fontId="7"/>
  </si>
  <si>
    <t>４）不整脈</t>
    <rPh sb="2" eb="5">
      <t>フセイミャク</t>
    </rPh>
    <phoneticPr fontId="7"/>
  </si>
  <si>
    <t>（３）体外循環</t>
    <rPh sb="3" eb="5">
      <t>タイガイ</t>
    </rPh>
    <rPh sb="5" eb="7">
      <t>ジュンカン</t>
    </rPh>
    <phoneticPr fontId="7"/>
  </si>
  <si>
    <t>（４）ペースメーカ</t>
    <phoneticPr fontId="7"/>
  </si>
  <si>
    <t>５　内分泌系</t>
    <rPh sb="2" eb="5">
      <t>ナイブンピツ</t>
    </rPh>
    <rPh sb="5" eb="6">
      <t>ケイ</t>
    </rPh>
    <phoneticPr fontId="7"/>
  </si>
  <si>
    <t>（１）下垂体疾患</t>
    <rPh sb="3" eb="6">
      <t>カスイタイ</t>
    </rPh>
    <rPh sb="6" eb="8">
      <t>シッカン</t>
    </rPh>
    <phoneticPr fontId="7"/>
  </si>
  <si>
    <t>（２）甲状腺疾患</t>
    <rPh sb="3" eb="6">
      <t>コウジョウセン</t>
    </rPh>
    <rPh sb="6" eb="8">
      <t>シッカン</t>
    </rPh>
    <phoneticPr fontId="7"/>
  </si>
  <si>
    <t>（３）副甲状腺疾患</t>
    <rPh sb="3" eb="4">
      <t>フク</t>
    </rPh>
    <rPh sb="4" eb="7">
      <t>コウジョウセン</t>
    </rPh>
    <rPh sb="7" eb="9">
      <t>シッカン</t>
    </rPh>
    <phoneticPr fontId="7"/>
  </si>
  <si>
    <t>（４）副腎疾患</t>
    <rPh sb="3" eb="5">
      <t>フクジン</t>
    </rPh>
    <rPh sb="5" eb="7">
      <t>シッカン</t>
    </rPh>
    <phoneticPr fontId="7"/>
  </si>
  <si>
    <t>６　代謝系</t>
    <rPh sb="2" eb="4">
      <t>タイシャ</t>
    </rPh>
    <rPh sb="4" eb="5">
      <t>ケイ</t>
    </rPh>
    <phoneticPr fontId="7"/>
  </si>
  <si>
    <t>（１）先天性代謝疾患</t>
    <rPh sb="3" eb="6">
      <t>センテンセイ</t>
    </rPh>
    <rPh sb="6" eb="8">
      <t>タイシャ</t>
    </rPh>
    <rPh sb="8" eb="10">
      <t>シッカン</t>
    </rPh>
    <phoneticPr fontId="7"/>
  </si>
  <si>
    <t>（２）後天性代謝疾患</t>
    <rPh sb="3" eb="6">
      <t>コウテンセイ</t>
    </rPh>
    <rPh sb="6" eb="8">
      <t>タイシャ</t>
    </rPh>
    <rPh sb="8" eb="10">
      <t>シッカン</t>
    </rPh>
    <phoneticPr fontId="7"/>
  </si>
  <si>
    <t>１）糖尿病</t>
    <rPh sb="2" eb="5">
      <t>トウニョウビョウ</t>
    </rPh>
    <phoneticPr fontId="7"/>
  </si>
  <si>
    <t>２）痛風</t>
    <rPh sb="2" eb="4">
      <t>ツウフウ</t>
    </rPh>
    <phoneticPr fontId="7"/>
  </si>
  <si>
    <t>７　神経・筋肉系</t>
    <rPh sb="2" eb="4">
      <t>シンケイ</t>
    </rPh>
    <rPh sb="5" eb="8">
      <t>キンニクケイ</t>
    </rPh>
    <phoneticPr fontId="7"/>
  </si>
  <si>
    <t>（１）脳血管障害</t>
    <rPh sb="3" eb="6">
      <t>ノウケッカン</t>
    </rPh>
    <rPh sb="6" eb="8">
      <t>ショウガイ</t>
    </rPh>
    <phoneticPr fontId="7"/>
  </si>
  <si>
    <t>（２）脳腫瘍</t>
    <rPh sb="3" eb="6">
      <t>ノウシュヨウ</t>
    </rPh>
    <phoneticPr fontId="7"/>
  </si>
  <si>
    <t>（３）アルツハイマー病</t>
    <rPh sb="10" eb="11">
      <t>ビョウ</t>
    </rPh>
    <phoneticPr fontId="7"/>
  </si>
  <si>
    <t>（４）パーキンソン病</t>
    <rPh sb="9" eb="10">
      <t>ビョウ</t>
    </rPh>
    <phoneticPr fontId="7"/>
  </si>
  <si>
    <t>８　感染症</t>
    <rPh sb="2" eb="5">
      <t>カンセンショウ</t>
    </rPh>
    <phoneticPr fontId="7"/>
  </si>
  <si>
    <t>（１）病原微生物学の概要</t>
    <rPh sb="3" eb="5">
      <t>ビョウゲン</t>
    </rPh>
    <rPh sb="5" eb="8">
      <t>ビセイブツ</t>
    </rPh>
    <rPh sb="8" eb="9">
      <t>ガク</t>
    </rPh>
    <rPh sb="10" eb="12">
      <t>ガイヨウ</t>
    </rPh>
    <phoneticPr fontId="7"/>
  </si>
  <si>
    <t>１）分類</t>
    <rPh sb="2" eb="4">
      <t>ブンルイ</t>
    </rPh>
    <phoneticPr fontId="7"/>
  </si>
  <si>
    <t>２）微細構造と機能</t>
    <rPh sb="2" eb="4">
      <t>ビサイ</t>
    </rPh>
    <rPh sb="4" eb="6">
      <t>コウゾウ</t>
    </rPh>
    <rPh sb="7" eb="9">
      <t>キノウ</t>
    </rPh>
    <phoneticPr fontId="7"/>
  </si>
  <si>
    <t>３）遺伝子と微生物</t>
    <rPh sb="2" eb="5">
      <t>イデンシ</t>
    </rPh>
    <rPh sb="6" eb="9">
      <t>ビセイブツ</t>
    </rPh>
    <phoneticPr fontId="7"/>
  </si>
  <si>
    <t>４）変異と遺伝</t>
    <rPh sb="2" eb="4">
      <t>ヘンイ</t>
    </rPh>
    <rPh sb="5" eb="7">
      <t>イデン</t>
    </rPh>
    <phoneticPr fontId="7"/>
  </si>
  <si>
    <t>５）耐性と感受性</t>
    <rPh sb="2" eb="4">
      <t>タイセイ</t>
    </rPh>
    <rPh sb="5" eb="8">
      <t>カンジュセイ</t>
    </rPh>
    <phoneticPr fontId="7"/>
  </si>
  <si>
    <t>６）化学療法剤</t>
    <rPh sb="2" eb="4">
      <t>カガク</t>
    </rPh>
    <rPh sb="4" eb="7">
      <t>リョウホウザイ</t>
    </rPh>
    <phoneticPr fontId="7"/>
  </si>
  <si>
    <t>７）ワクチン</t>
    <phoneticPr fontId="7"/>
  </si>
  <si>
    <t>８）滅菌と消毒</t>
    <rPh sb="2" eb="4">
      <t>メッキン</t>
    </rPh>
    <rPh sb="5" eb="7">
      <t>ショウドク</t>
    </rPh>
    <phoneticPr fontId="7"/>
  </si>
  <si>
    <t>（２）病原微生物の特徴</t>
    <rPh sb="3" eb="5">
      <t>ビョウゲン</t>
    </rPh>
    <rPh sb="5" eb="8">
      <t>ビセイブツ</t>
    </rPh>
    <rPh sb="9" eb="11">
      <t>トクチョウ</t>
    </rPh>
    <phoneticPr fontId="7"/>
  </si>
  <si>
    <t>１）感染性微生物</t>
    <rPh sb="2" eb="5">
      <t>カンセンセイ</t>
    </rPh>
    <rPh sb="5" eb="8">
      <t>ビセイブツ</t>
    </rPh>
    <phoneticPr fontId="7"/>
  </si>
  <si>
    <t>２）細菌の性質</t>
    <rPh sb="2" eb="4">
      <t>サイキン</t>
    </rPh>
    <rPh sb="5" eb="7">
      <t>セイシツ</t>
    </rPh>
    <phoneticPr fontId="7"/>
  </si>
  <si>
    <t>３）抗菌療法と薬剤耐性菌</t>
    <rPh sb="2" eb="4">
      <t>コウキン</t>
    </rPh>
    <rPh sb="4" eb="6">
      <t>リョウホウ</t>
    </rPh>
    <rPh sb="7" eb="9">
      <t>ヤクザイ</t>
    </rPh>
    <rPh sb="9" eb="12">
      <t>タイセイキン</t>
    </rPh>
    <phoneticPr fontId="7"/>
  </si>
  <si>
    <t>９　腎臓・泌尿器・生殖器系</t>
    <rPh sb="2" eb="4">
      <t>ジンゾウ</t>
    </rPh>
    <rPh sb="5" eb="6">
      <t>ピツ</t>
    </rPh>
    <rPh sb="6" eb="8">
      <t>ニョウキ</t>
    </rPh>
    <rPh sb="9" eb="12">
      <t>セイショクキ</t>
    </rPh>
    <rPh sb="12" eb="13">
      <t>ケイ</t>
    </rPh>
    <phoneticPr fontId="7"/>
  </si>
  <si>
    <t>（１）腎炎</t>
    <rPh sb="3" eb="5">
      <t>ジンエン</t>
    </rPh>
    <phoneticPr fontId="7"/>
  </si>
  <si>
    <t>１）腎孟腎炎</t>
    <rPh sb="2" eb="3">
      <t>ジン</t>
    </rPh>
    <rPh sb="3" eb="4">
      <t>モウ</t>
    </rPh>
    <rPh sb="4" eb="6">
      <t>ジンエン</t>
    </rPh>
    <phoneticPr fontId="7"/>
  </si>
  <si>
    <t>２）糸球体腎炎</t>
    <rPh sb="2" eb="5">
      <t>シキュウタイ</t>
    </rPh>
    <rPh sb="5" eb="7">
      <t>ジンエン</t>
    </rPh>
    <phoneticPr fontId="7"/>
  </si>
  <si>
    <t>３）急性腎炎</t>
    <rPh sb="2" eb="4">
      <t>キュウセイ</t>
    </rPh>
    <rPh sb="4" eb="6">
      <t>ジンエン</t>
    </rPh>
    <phoneticPr fontId="7"/>
  </si>
  <si>
    <t>４）慢性腎炎</t>
    <rPh sb="2" eb="4">
      <t>マンセイ</t>
    </rPh>
    <rPh sb="4" eb="6">
      <t>ジンエン</t>
    </rPh>
    <phoneticPr fontId="7"/>
  </si>
  <si>
    <t>（２）ネフローゼ</t>
    <phoneticPr fontId="7"/>
  </si>
  <si>
    <t>（３）腎・尿路結石</t>
    <rPh sb="3" eb="4">
      <t>ジン</t>
    </rPh>
    <rPh sb="5" eb="7">
      <t>ニョウロ</t>
    </rPh>
    <rPh sb="7" eb="9">
      <t>ケッセキ</t>
    </rPh>
    <phoneticPr fontId="7"/>
  </si>
  <si>
    <t>（４）腎泌尿生殖器外傷</t>
    <rPh sb="3" eb="4">
      <t>ジン</t>
    </rPh>
    <rPh sb="4" eb="6">
      <t>ヒニョウ</t>
    </rPh>
    <rPh sb="6" eb="9">
      <t>セイショクキ</t>
    </rPh>
    <rPh sb="9" eb="11">
      <t>ガイショウ</t>
    </rPh>
    <phoneticPr fontId="7"/>
  </si>
  <si>
    <t>（５）腎泌尿生殖器腫瘍</t>
    <rPh sb="3" eb="4">
      <t>ジン</t>
    </rPh>
    <rPh sb="4" eb="6">
      <t>ヒニョウ</t>
    </rPh>
    <rPh sb="6" eb="9">
      <t>セイショクキ</t>
    </rPh>
    <rPh sb="9" eb="11">
      <t>シュヨウ</t>
    </rPh>
    <phoneticPr fontId="7"/>
  </si>
  <si>
    <t>（６）腎不全の治療</t>
    <rPh sb="3" eb="6">
      <t>ジンフゼン</t>
    </rPh>
    <rPh sb="7" eb="9">
      <t>チリョウ</t>
    </rPh>
    <phoneticPr fontId="7"/>
  </si>
  <si>
    <t>１）慢性腎臓病</t>
    <rPh sb="2" eb="4">
      <t>マンセイ</t>
    </rPh>
    <rPh sb="4" eb="7">
      <t>ジンゾウビョウ</t>
    </rPh>
    <phoneticPr fontId="7"/>
  </si>
  <si>
    <t>２）急性腎障害</t>
    <rPh sb="2" eb="4">
      <t>キュウセイ</t>
    </rPh>
    <rPh sb="4" eb="7">
      <t>ジンショウガイ</t>
    </rPh>
    <phoneticPr fontId="7"/>
  </si>
  <si>
    <t>（７）電解質異常</t>
    <rPh sb="3" eb="6">
      <t>デンカイシツ</t>
    </rPh>
    <rPh sb="6" eb="8">
      <t>イジョウ</t>
    </rPh>
    <phoneticPr fontId="7"/>
  </si>
  <si>
    <t>（８）男性生殖器疾患</t>
    <rPh sb="3" eb="5">
      <t>ダンセイ</t>
    </rPh>
    <rPh sb="5" eb="8">
      <t>セイショクキ</t>
    </rPh>
    <rPh sb="8" eb="10">
      <t>シッカン</t>
    </rPh>
    <phoneticPr fontId="7"/>
  </si>
  <si>
    <t>（９）女性生殖器疾患</t>
    <rPh sb="3" eb="5">
      <t>ジョセイ</t>
    </rPh>
    <rPh sb="5" eb="8">
      <t>セイショクキ</t>
    </rPh>
    <rPh sb="8" eb="10">
      <t>シッカン</t>
    </rPh>
    <phoneticPr fontId="7"/>
  </si>
  <si>
    <t>10　消化器系の疾患</t>
    <rPh sb="3" eb="7">
      <t>ショウカキケイ</t>
    </rPh>
    <rPh sb="8" eb="10">
      <t>シッカン</t>
    </rPh>
    <phoneticPr fontId="7"/>
  </si>
  <si>
    <t>（１）胃</t>
    <rPh sb="3" eb="4">
      <t>イ</t>
    </rPh>
    <phoneticPr fontId="7"/>
  </si>
  <si>
    <t>（２）小腸</t>
    <rPh sb="3" eb="5">
      <t>ショウチョウ</t>
    </rPh>
    <phoneticPr fontId="7"/>
  </si>
  <si>
    <t>（３）大腸</t>
    <rPh sb="3" eb="5">
      <t>ダイチョウ</t>
    </rPh>
    <phoneticPr fontId="7"/>
  </si>
  <si>
    <t>（４）肝胆道</t>
    <rPh sb="3" eb="6">
      <t>カンタンドウ</t>
    </rPh>
    <phoneticPr fontId="7"/>
  </si>
  <si>
    <t>（５）膵臓</t>
    <rPh sb="3" eb="5">
      <t>スイゾウ</t>
    </rPh>
    <phoneticPr fontId="7"/>
  </si>
  <si>
    <t>（６）食道</t>
    <rPh sb="3" eb="5">
      <t>ショクドウ</t>
    </rPh>
    <phoneticPr fontId="7"/>
  </si>
  <si>
    <t>（７）その他</t>
    <rPh sb="5" eb="6">
      <t>タ</t>
    </rPh>
    <phoneticPr fontId="7"/>
  </si>
  <si>
    <t>11　血液系</t>
    <rPh sb="3" eb="5">
      <t>ケツエキ</t>
    </rPh>
    <rPh sb="5" eb="6">
      <t>ケイ</t>
    </rPh>
    <phoneticPr fontId="7"/>
  </si>
  <si>
    <t>（１）赤血球</t>
    <rPh sb="3" eb="6">
      <t>セッケッキュウ</t>
    </rPh>
    <phoneticPr fontId="7"/>
  </si>
  <si>
    <t>（２）白血球</t>
    <rPh sb="3" eb="6">
      <t>ハッケッキュウ</t>
    </rPh>
    <phoneticPr fontId="7"/>
  </si>
  <si>
    <t>（３）輸血</t>
    <rPh sb="3" eb="5">
      <t>ユケツ</t>
    </rPh>
    <phoneticPr fontId="7"/>
  </si>
  <si>
    <t>（４）その他</t>
    <rPh sb="5" eb="6">
      <t>タ</t>
    </rPh>
    <phoneticPr fontId="7"/>
  </si>
  <si>
    <t>12　麻酔科学</t>
    <rPh sb="3" eb="5">
      <t>マスイ</t>
    </rPh>
    <rPh sb="5" eb="7">
      <t>カガク</t>
    </rPh>
    <phoneticPr fontId="7"/>
  </si>
  <si>
    <t>（１）麻酔科学の歴史</t>
    <rPh sb="3" eb="5">
      <t>マスイ</t>
    </rPh>
    <rPh sb="5" eb="7">
      <t>カガク</t>
    </rPh>
    <rPh sb="8" eb="10">
      <t>レキシ</t>
    </rPh>
    <phoneticPr fontId="7"/>
  </si>
  <si>
    <t>（２）手術室での麻酔</t>
    <rPh sb="3" eb="6">
      <t>シュジュツシツ</t>
    </rPh>
    <rPh sb="8" eb="10">
      <t>マスイ</t>
    </rPh>
    <phoneticPr fontId="7"/>
  </si>
  <si>
    <t>１）全身麻酔</t>
    <rPh sb="2" eb="4">
      <t>ゼンシン</t>
    </rPh>
    <rPh sb="4" eb="6">
      <t>マスイ</t>
    </rPh>
    <phoneticPr fontId="7"/>
  </si>
  <si>
    <t>２）脊髄くも膜下麻酔</t>
    <rPh sb="2" eb="4">
      <t>セキズイ</t>
    </rPh>
    <rPh sb="6" eb="8">
      <t>マッカ</t>
    </rPh>
    <rPh sb="8" eb="10">
      <t>マスイ</t>
    </rPh>
    <phoneticPr fontId="7"/>
  </si>
  <si>
    <t>３）硬膜外麻酔</t>
    <rPh sb="2" eb="5">
      <t>コウマクガイ</t>
    </rPh>
    <rPh sb="5" eb="7">
      <t>マスイ</t>
    </rPh>
    <phoneticPr fontId="7"/>
  </si>
  <si>
    <t>４）局所麻酔、伝達麻酔</t>
    <rPh sb="2" eb="4">
      <t>キョクショ</t>
    </rPh>
    <rPh sb="4" eb="6">
      <t>マスイ</t>
    </rPh>
    <rPh sb="7" eb="9">
      <t>デンタツ</t>
    </rPh>
    <rPh sb="9" eb="11">
      <t>マスイ</t>
    </rPh>
    <phoneticPr fontId="7"/>
  </si>
  <si>
    <t>５）麻酔器</t>
    <rPh sb="2" eb="5">
      <t>マスイキ</t>
    </rPh>
    <phoneticPr fontId="7"/>
  </si>
  <si>
    <t>６）術中モニタ</t>
    <rPh sb="2" eb="3">
      <t>ジュツ</t>
    </rPh>
    <rPh sb="3" eb="4">
      <t>チュウ</t>
    </rPh>
    <phoneticPr fontId="7"/>
  </si>
  <si>
    <t>（３）ペインクリニック</t>
    <phoneticPr fontId="7"/>
  </si>
  <si>
    <t>１）各種神経ブロック</t>
    <rPh sb="2" eb="4">
      <t>カクシュ</t>
    </rPh>
    <rPh sb="4" eb="6">
      <t>シンケイ</t>
    </rPh>
    <phoneticPr fontId="7"/>
  </si>
  <si>
    <t>２）対象疾患</t>
    <rPh sb="2" eb="4">
      <t>タイショウ</t>
    </rPh>
    <rPh sb="4" eb="6">
      <t>シッカン</t>
    </rPh>
    <phoneticPr fontId="7"/>
  </si>
  <si>
    <t>（４）心肺脳蘇生</t>
    <rPh sb="3" eb="5">
      <t>シンパイ</t>
    </rPh>
    <rPh sb="5" eb="8">
      <t>ノウソセイ</t>
    </rPh>
    <phoneticPr fontId="7"/>
  </si>
  <si>
    <t>（５）集中治療での役割</t>
    <rPh sb="3" eb="5">
      <t>シュウチュウ</t>
    </rPh>
    <rPh sb="5" eb="7">
      <t>チリョウ</t>
    </rPh>
    <rPh sb="9" eb="11">
      <t>ヤクワリ</t>
    </rPh>
    <phoneticPr fontId="7"/>
  </si>
  <si>
    <t>１）呼吸管理</t>
    <rPh sb="2" eb="4">
      <t>コキュウ</t>
    </rPh>
    <rPh sb="4" eb="6">
      <t>カンリ</t>
    </rPh>
    <phoneticPr fontId="7"/>
  </si>
  <si>
    <t>２）循環管理</t>
    <rPh sb="2" eb="4">
      <t>ジュンカン</t>
    </rPh>
    <rPh sb="4" eb="6">
      <t>カンリ</t>
    </rPh>
    <phoneticPr fontId="7"/>
  </si>
  <si>
    <t>３）術後管理</t>
    <rPh sb="2" eb="4">
      <t>ジュツゴ</t>
    </rPh>
    <rPh sb="4" eb="6">
      <t>カンリ</t>
    </rPh>
    <phoneticPr fontId="7"/>
  </si>
  <si>
    <t>13　集中治療・救急医学</t>
    <rPh sb="3" eb="5">
      <t>シュウチュウ</t>
    </rPh>
    <rPh sb="5" eb="7">
      <t>チリョウ</t>
    </rPh>
    <rPh sb="8" eb="10">
      <t>キュウキュウ</t>
    </rPh>
    <rPh sb="10" eb="12">
      <t>イガク</t>
    </rPh>
    <phoneticPr fontId="7"/>
  </si>
  <si>
    <t>（１）集中治療の体制と特徴</t>
    <rPh sb="3" eb="5">
      <t>シュウチュウ</t>
    </rPh>
    <rPh sb="5" eb="7">
      <t>チリョウ</t>
    </rPh>
    <rPh sb="8" eb="10">
      <t>タイセイ</t>
    </rPh>
    <rPh sb="11" eb="13">
      <t>トクチョウ</t>
    </rPh>
    <phoneticPr fontId="7"/>
  </si>
  <si>
    <t>１）ICU</t>
    <phoneticPr fontId="7"/>
  </si>
  <si>
    <t>２）CCU</t>
    <phoneticPr fontId="7"/>
  </si>
  <si>
    <t>３）NICU</t>
    <phoneticPr fontId="7"/>
  </si>
  <si>
    <t>（２）患者管理</t>
    <rPh sb="3" eb="5">
      <t>カンジャ</t>
    </rPh>
    <rPh sb="5" eb="7">
      <t>カンリ</t>
    </rPh>
    <phoneticPr fontId="7"/>
  </si>
  <si>
    <t>（３）一般的救急措置</t>
    <rPh sb="3" eb="6">
      <t>イッパンテキ</t>
    </rPh>
    <rPh sb="6" eb="8">
      <t>キュウキュウ</t>
    </rPh>
    <rPh sb="8" eb="10">
      <t>ソチ</t>
    </rPh>
    <phoneticPr fontId="7"/>
  </si>
  <si>
    <t>（４）救急医療体制</t>
    <rPh sb="3" eb="5">
      <t>キュウキュウ</t>
    </rPh>
    <rPh sb="5" eb="7">
      <t>イリョウ</t>
    </rPh>
    <rPh sb="7" eb="9">
      <t>タイセイ</t>
    </rPh>
    <phoneticPr fontId="7"/>
  </si>
  <si>
    <t>14　手術医学</t>
    <rPh sb="3" eb="5">
      <t>シュジュツ</t>
    </rPh>
    <rPh sb="5" eb="7">
      <t>イガク</t>
    </rPh>
    <phoneticPr fontId="7"/>
  </si>
  <si>
    <t>（１）感染防止</t>
    <rPh sb="3" eb="5">
      <t>カンセン</t>
    </rPh>
    <rPh sb="5" eb="7">
      <t>ボウシ</t>
    </rPh>
    <phoneticPr fontId="7"/>
  </si>
  <si>
    <t>（２）手術用機器</t>
    <rPh sb="3" eb="6">
      <t>シュジュツヨウ</t>
    </rPh>
    <rPh sb="6" eb="8">
      <t>キキ</t>
    </rPh>
    <phoneticPr fontId="7"/>
  </si>
  <si>
    <t>（３）麻酔関連機器</t>
    <rPh sb="3" eb="5">
      <t>マスイ</t>
    </rPh>
    <rPh sb="5" eb="7">
      <t>カンレン</t>
    </rPh>
    <rPh sb="7" eb="9">
      <t>キキ</t>
    </rPh>
    <phoneticPr fontId="7"/>
  </si>
  <si>
    <t>（４）モニタ機器</t>
    <rPh sb="6" eb="8">
      <t>キキ</t>
    </rPh>
    <phoneticPr fontId="7"/>
  </si>
  <si>
    <t>15　臨床生理学検査</t>
    <rPh sb="3" eb="5">
      <t>リンショウ</t>
    </rPh>
    <rPh sb="5" eb="8">
      <t>セイリガク</t>
    </rPh>
    <rPh sb="8" eb="10">
      <t>ケンサ</t>
    </rPh>
    <phoneticPr fontId="7"/>
  </si>
  <si>
    <t>（１）呼吸器系検査</t>
    <rPh sb="3" eb="7">
      <t>コキュウキケイ</t>
    </rPh>
    <rPh sb="7" eb="9">
      <t>ケンサ</t>
    </rPh>
    <phoneticPr fontId="7"/>
  </si>
  <si>
    <t>（２）循環器系検査</t>
    <rPh sb="3" eb="7">
      <t>ジュンカンキケイ</t>
    </rPh>
    <rPh sb="7" eb="9">
      <t>ケンサ</t>
    </rPh>
    <phoneticPr fontId="7"/>
  </si>
  <si>
    <t>（３）代謝・腎臓系検査</t>
    <rPh sb="3" eb="5">
      <t>タイシャ</t>
    </rPh>
    <rPh sb="6" eb="8">
      <t>ジンゾウ</t>
    </rPh>
    <rPh sb="8" eb="9">
      <t>ケイ</t>
    </rPh>
    <rPh sb="9" eb="11">
      <t>ケンサ</t>
    </rPh>
    <phoneticPr fontId="7"/>
  </si>
  <si>
    <t>（４）神経・筋機能検査</t>
    <rPh sb="3" eb="5">
      <t>シンケイ</t>
    </rPh>
    <rPh sb="6" eb="7">
      <t>キン</t>
    </rPh>
    <rPh sb="7" eb="9">
      <t>キノウ</t>
    </rPh>
    <rPh sb="9" eb="11">
      <t>ケンサ</t>
    </rPh>
    <phoneticPr fontId="7"/>
  </si>
  <si>
    <t>１　血液浄化療法関連実習</t>
    <rPh sb="2" eb="4">
      <t>ケツエキ</t>
    </rPh>
    <rPh sb="4" eb="6">
      <t>ジョウカ</t>
    </rPh>
    <rPh sb="6" eb="8">
      <t>リョウホウ</t>
    </rPh>
    <rPh sb="8" eb="10">
      <t>カンレン</t>
    </rPh>
    <rPh sb="10" eb="12">
      <t>ジッシュウ</t>
    </rPh>
    <phoneticPr fontId="7"/>
  </si>
  <si>
    <t>（臨床実習において学生に実施させる行為及び、臨床実習指導者の要件については、指定規則、指導ガイドラインに準ずる）</t>
    <rPh sb="1" eb="3">
      <t>リンショウ</t>
    </rPh>
    <rPh sb="3" eb="5">
      <t>ジッシュウ</t>
    </rPh>
    <rPh sb="9" eb="11">
      <t>ガクセイ</t>
    </rPh>
    <rPh sb="12" eb="14">
      <t>ジッシ</t>
    </rPh>
    <rPh sb="17" eb="19">
      <t>コウイ</t>
    </rPh>
    <rPh sb="19" eb="20">
      <t>オヨ</t>
    </rPh>
    <rPh sb="22" eb="24">
      <t>リンショウ</t>
    </rPh>
    <rPh sb="24" eb="26">
      <t>ジッシュウ</t>
    </rPh>
    <rPh sb="26" eb="29">
      <t>シドウシャ</t>
    </rPh>
    <rPh sb="30" eb="32">
      <t>ヨウケン</t>
    </rPh>
    <rPh sb="38" eb="40">
      <t>シテイ</t>
    </rPh>
    <rPh sb="40" eb="42">
      <t>キソク</t>
    </rPh>
    <rPh sb="43" eb="45">
      <t>シドウ</t>
    </rPh>
    <rPh sb="52" eb="53">
      <t>ジュン</t>
    </rPh>
    <phoneticPr fontId="7"/>
  </si>
  <si>
    <t>４　治療機器関連実習</t>
    <rPh sb="2" eb="4">
      <t>チリョウ</t>
    </rPh>
    <rPh sb="4" eb="6">
      <t>キキ</t>
    </rPh>
    <rPh sb="6" eb="8">
      <t>カンレン</t>
    </rPh>
    <rPh sb="8" eb="10">
      <t>ジッシュウ</t>
    </rPh>
    <phoneticPr fontId="7"/>
  </si>
  <si>
    <t>５　医療機器管理業務実習</t>
    <rPh sb="2" eb="4">
      <t>イリョウ</t>
    </rPh>
    <rPh sb="4" eb="6">
      <t>キキ</t>
    </rPh>
    <rPh sb="6" eb="8">
      <t>カンリ</t>
    </rPh>
    <rPh sb="8" eb="10">
      <t>ギョウム</t>
    </rPh>
    <rPh sb="10" eb="12">
      <t>ジッシュウ</t>
    </rPh>
    <phoneticPr fontId="7"/>
  </si>
  <si>
    <t>臨床実習に関する留意事項について</t>
    <rPh sb="0" eb="2">
      <t>リンショウ</t>
    </rPh>
    <rPh sb="2" eb="4">
      <t>ジッシュウ</t>
    </rPh>
    <rPh sb="5" eb="6">
      <t>カン</t>
    </rPh>
    <rPh sb="8" eb="10">
      <t>リュウイ</t>
    </rPh>
    <rPh sb="10" eb="12">
      <t>ジコウ</t>
    </rPh>
    <phoneticPr fontId="7"/>
  </si>
  <si>
    <t>留意事項</t>
    <rPh sb="0" eb="2">
      <t>リュウイ</t>
    </rPh>
    <rPh sb="2" eb="4">
      <t>ジコウ</t>
    </rPh>
    <phoneticPr fontId="7"/>
  </si>
  <si>
    <t>チェック欄</t>
    <rPh sb="4" eb="5">
      <t>ラン</t>
    </rPh>
    <phoneticPr fontId="7"/>
  </si>
  <si>
    <t>以下のいずれの要件も満たす適当な実習指導者を１名以上配置する予定の施設であることを確認し、臨床実習施設としているか。
（１）各指導内容に対する専門的な知識に優れ、臨床工学技士として５年以上の実務経験を有すること。
（２）厚生労働省が定める基準を満たす臨床実習指導者講習会を修了していること。</t>
    <rPh sb="0" eb="2">
      <t>イカ</t>
    </rPh>
    <rPh sb="7" eb="9">
      <t>ヨウケン</t>
    </rPh>
    <rPh sb="10" eb="11">
      <t>ミ</t>
    </rPh>
    <rPh sb="23" eb="24">
      <t>メイ</t>
    </rPh>
    <rPh sb="24" eb="26">
      <t>イジョウ</t>
    </rPh>
    <rPh sb="26" eb="28">
      <t>ハイチ</t>
    </rPh>
    <rPh sb="30" eb="32">
      <t>ヨテイ</t>
    </rPh>
    <rPh sb="33" eb="35">
      <t>シセツ</t>
    </rPh>
    <rPh sb="41" eb="43">
      <t>カクニン</t>
    </rPh>
    <rPh sb="45" eb="47">
      <t>リンショウ</t>
    </rPh>
    <rPh sb="62" eb="63">
      <t>カク</t>
    </rPh>
    <rPh sb="63" eb="65">
      <t>シドウ</t>
    </rPh>
    <rPh sb="65" eb="67">
      <t>ナイヨウ</t>
    </rPh>
    <rPh sb="68" eb="69">
      <t>タイ</t>
    </rPh>
    <rPh sb="71" eb="74">
      <t>センモンテキ</t>
    </rPh>
    <rPh sb="75" eb="77">
      <t>チシキ</t>
    </rPh>
    <rPh sb="78" eb="79">
      <t>スグ</t>
    </rPh>
    <rPh sb="81" eb="83">
      <t>リンショウ</t>
    </rPh>
    <rPh sb="83" eb="85">
      <t>コウガク</t>
    </rPh>
    <rPh sb="85" eb="87">
      <t>ギシ</t>
    </rPh>
    <rPh sb="125" eb="127">
      <t>リンショウ</t>
    </rPh>
    <phoneticPr fontId="7"/>
  </si>
  <si>
    <t>単位数の計算方法について</t>
    <rPh sb="0" eb="3">
      <t>タンイスウ</t>
    </rPh>
    <rPh sb="4" eb="6">
      <t>ケイサン</t>
    </rPh>
    <rPh sb="6" eb="8">
      <t>ホウホウ</t>
    </rPh>
    <phoneticPr fontId="7"/>
  </si>
  <si>
    <t>１単位の授業科目を45時間の学修を必要とする内容をもって構成することを標準とし、授業の方法に応じ、当該授業による教育効果、授業時間外に必要な学修等を考慮して、１単位の授業時間数は、講義及び演習については15時間から30時間、実験、実習及び実技については30時間から45時間の範囲で定めること。</t>
    <rPh sb="1" eb="3">
      <t>タンイ</t>
    </rPh>
    <rPh sb="4" eb="6">
      <t>ジュギョウ</t>
    </rPh>
    <rPh sb="6" eb="8">
      <t>カモク</t>
    </rPh>
    <rPh sb="11" eb="13">
      <t>ジカン</t>
    </rPh>
    <rPh sb="14" eb="16">
      <t>ガクシュウ</t>
    </rPh>
    <rPh sb="17" eb="19">
      <t>ヒツヨウ</t>
    </rPh>
    <rPh sb="22" eb="24">
      <t>ナイヨウ</t>
    </rPh>
    <rPh sb="28" eb="30">
      <t>コウセイ</t>
    </rPh>
    <rPh sb="35" eb="37">
      <t>ヒョウジュン</t>
    </rPh>
    <rPh sb="40" eb="42">
      <t>ジュギョウ</t>
    </rPh>
    <rPh sb="43" eb="45">
      <t>ホウホウ</t>
    </rPh>
    <rPh sb="46" eb="47">
      <t>オウ</t>
    </rPh>
    <rPh sb="49" eb="51">
      <t>トウガイ</t>
    </rPh>
    <rPh sb="51" eb="53">
      <t>ジュギョウ</t>
    </rPh>
    <rPh sb="56" eb="58">
      <t>キョウイク</t>
    </rPh>
    <rPh sb="58" eb="60">
      <t>コウカ</t>
    </rPh>
    <rPh sb="61" eb="63">
      <t>ジュギョウ</t>
    </rPh>
    <rPh sb="63" eb="65">
      <t>ジカン</t>
    </rPh>
    <rPh sb="65" eb="66">
      <t>ガイ</t>
    </rPh>
    <rPh sb="67" eb="69">
      <t>ヒツヨウ</t>
    </rPh>
    <rPh sb="70" eb="72">
      <t>ガクシュウ</t>
    </rPh>
    <rPh sb="72" eb="73">
      <t>トウ</t>
    </rPh>
    <rPh sb="74" eb="76">
      <t>コウリョ</t>
    </rPh>
    <rPh sb="80" eb="82">
      <t>タンイ</t>
    </rPh>
    <rPh sb="83" eb="85">
      <t>ジュギョウ</t>
    </rPh>
    <rPh sb="85" eb="88">
      <t>ジカンスウ</t>
    </rPh>
    <rPh sb="90" eb="92">
      <t>コウギ</t>
    </rPh>
    <rPh sb="92" eb="93">
      <t>オヨ</t>
    </rPh>
    <rPh sb="94" eb="96">
      <t>エンシュウ</t>
    </rPh>
    <rPh sb="103" eb="105">
      <t>ジカン</t>
    </rPh>
    <rPh sb="109" eb="111">
      <t>ジカン</t>
    </rPh>
    <rPh sb="112" eb="114">
      <t>ジッケン</t>
    </rPh>
    <rPh sb="115" eb="117">
      <t>ジッシュウ</t>
    </rPh>
    <rPh sb="117" eb="118">
      <t>オヨ</t>
    </rPh>
    <rPh sb="119" eb="121">
      <t>ジツギ</t>
    </rPh>
    <rPh sb="128" eb="130">
      <t>ジカン</t>
    </rPh>
    <rPh sb="134" eb="136">
      <t>ジカン</t>
    </rPh>
    <rPh sb="137" eb="139">
      <t>ハンイ</t>
    </rPh>
    <rPh sb="140" eb="141">
      <t>サダ</t>
    </rPh>
    <phoneticPr fontId="7"/>
  </si>
  <si>
    <t>様式５
臨　床　実　習　確　認　表</t>
    <rPh sb="0" eb="2">
      <t>ヨウシキ</t>
    </rPh>
    <rPh sb="4" eb="5">
      <t>リン</t>
    </rPh>
    <rPh sb="6" eb="7">
      <t>ユカ</t>
    </rPh>
    <rPh sb="8" eb="9">
      <t>ジツ</t>
    </rPh>
    <rPh sb="10" eb="11">
      <t>シュウ</t>
    </rPh>
    <rPh sb="12" eb="13">
      <t>アキラ</t>
    </rPh>
    <rPh sb="14" eb="15">
      <t>ニン</t>
    </rPh>
    <rPh sb="16" eb="17">
      <t>ヒョウ</t>
    </rPh>
    <phoneticPr fontId="7"/>
  </si>
  <si>
    <t>臨床実習施設において、実施又は見学させる行為について、シラバス記載の授業計画に明示的に記載されていること。</t>
    <rPh sb="0" eb="2">
      <t>リンショウ</t>
    </rPh>
    <rPh sb="2" eb="4">
      <t>ジッシュウ</t>
    </rPh>
    <rPh sb="4" eb="6">
      <t>シセツ</t>
    </rPh>
    <rPh sb="11" eb="13">
      <t>ジッシ</t>
    </rPh>
    <rPh sb="13" eb="14">
      <t>マタ</t>
    </rPh>
    <rPh sb="15" eb="17">
      <t>ケンガク</t>
    </rPh>
    <rPh sb="20" eb="22">
      <t>コウイ</t>
    </rPh>
    <rPh sb="31" eb="33">
      <t>キサイ</t>
    </rPh>
    <rPh sb="34" eb="36">
      <t>ジュギョウ</t>
    </rPh>
    <rPh sb="36" eb="38">
      <t>ケイカク</t>
    </rPh>
    <rPh sb="39" eb="42">
      <t>メイジテキ</t>
    </rPh>
    <rPh sb="43" eb="45">
      <t>キサイ</t>
    </rPh>
    <phoneticPr fontId="7"/>
  </si>
  <si>
    <t>実習内容</t>
    <rPh sb="0" eb="2">
      <t>ジッシュウ</t>
    </rPh>
    <rPh sb="2" eb="4">
      <t>ナイヨウ</t>
    </rPh>
    <phoneticPr fontId="7"/>
  </si>
  <si>
    <t>実施させる行為</t>
    <rPh sb="0" eb="2">
      <t>ジッシ</t>
    </rPh>
    <rPh sb="5" eb="7">
      <t>コウイ</t>
    </rPh>
    <phoneticPr fontId="7"/>
  </si>
  <si>
    <t>シラバス
記載ページ</t>
    <rPh sb="5" eb="7">
      <t>キサイ</t>
    </rPh>
    <phoneticPr fontId="7"/>
  </si>
  <si>
    <t>チェック
欄</t>
    <rPh sb="5" eb="6">
      <t>ラン</t>
    </rPh>
    <phoneticPr fontId="7"/>
  </si>
  <si>
    <t>見学させる行為</t>
    <rPh sb="0" eb="2">
      <t>ケンガク</t>
    </rPh>
    <rPh sb="5" eb="7">
      <t>コウイ</t>
    </rPh>
    <phoneticPr fontId="7"/>
  </si>
  <si>
    <t>D列</t>
    <rPh sb="1" eb="2">
      <t>レツ</t>
    </rPh>
    <phoneticPr fontId="7"/>
  </si>
  <si>
    <t>I列</t>
    <rPh sb="1" eb="2">
      <t>レツ</t>
    </rPh>
    <phoneticPr fontId="7"/>
  </si>
  <si>
    <t>呼吸療法関連</t>
    <rPh sb="0" eb="2">
      <t>コキュウ</t>
    </rPh>
    <rPh sb="2" eb="4">
      <t>リョウホウ</t>
    </rPh>
    <rPh sb="4" eb="6">
      <t>カンレン</t>
    </rPh>
    <phoneticPr fontId="7"/>
  </si>
  <si>
    <t>人工呼吸装置の点検</t>
    <rPh sb="0" eb="2">
      <t>ジンコウ</t>
    </rPh>
    <rPh sb="2" eb="4">
      <t>コキュウ</t>
    </rPh>
    <rPh sb="4" eb="6">
      <t>ソウチ</t>
    </rPh>
    <rPh sb="7" eb="9">
      <t>テンケン</t>
    </rPh>
    <phoneticPr fontId="7"/>
  </si>
  <si>
    <t>呼吸療法に使用する機器及び回路、呼吸療法の実施に必要な薬剤並びに当該機器の運転条件並びに監視条件に関する医師の指示の確認</t>
  </si>
  <si>
    <t>人工心肺関連</t>
  </si>
  <si>
    <t>人工心肺装置の点検</t>
  </si>
  <si>
    <t>呼吸療法に使用する機器及び薬剤の準備</t>
  </si>
  <si>
    <t>補助循環関連</t>
  </si>
  <si>
    <t>補助循環装置の点検</t>
  </si>
  <si>
    <t>人工呼吸装置の組立</t>
  </si>
  <si>
    <t>血液浄化関連</t>
  </si>
  <si>
    <t>血液浄化装置の点検</t>
  </si>
  <si>
    <t>人工呼吸装置の運転条件及び監視条件の設定並びに変更</t>
  </si>
  <si>
    <t>ぺースメーカ関連</t>
    <phoneticPr fontId="7"/>
  </si>
  <si>
    <t>ペースメーカ等の点検</t>
    <phoneticPr fontId="7"/>
  </si>
  <si>
    <t>呼吸療法における監視機器を用いた患者観察</t>
  </si>
  <si>
    <t>集中治療関連</t>
  </si>
  <si>
    <t>生命維持管理装置の点検</t>
  </si>
  <si>
    <t>呼吸療法に使用する機器及び物品の消毒並びに使用した物品の廃棄</t>
  </si>
  <si>
    <t>手術関連
（周術期を含む）</t>
    <phoneticPr fontId="7"/>
  </si>
  <si>
    <t>手術関連機器の点検</t>
  </si>
  <si>
    <t>血液浄化療法に使用する機器及び回路、血液浄化療法の実施に必要な薬剤並びに当該機器の運転条件並びに監視条件に関する医師の指示の確認</t>
    <phoneticPr fontId="7"/>
  </si>
  <si>
    <t>鏡視下手術における視野確保関連</t>
  </si>
  <si>
    <t>内視鏡手術システムの点検</t>
  </si>
  <si>
    <t>血液浄化療法に使用する機器の準備</t>
  </si>
  <si>
    <t>心・血管カテーテル治療関連</t>
  </si>
  <si>
    <t>カテーテル関連機器の点検</t>
  </si>
  <si>
    <t>血液浄化装置の組立並びに回路の洗浄及び充填</t>
  </si>
  <si>
    <t>保守点検関連</t>
  </si>
  <si>
    <t>点検の実施</t>
  </si>
  <si>
    <t>血液浄化装置の先端部（穿刺針）のシャント若しくは表在化された動脈若しくは表在静脈ヘの穿刺及び抜去、止血</t>
  </si>
  <si>
    <t>血液浄化装置の運転条件及び監視条件の設定並びに変更</t>
  </si>
  <si>
    <t>血液浄化療法に使用する機器を用いた血液浄化療法の実施に必要な採血</t>
  </si>
  <si>
    <t>血液浄化療法における血液、補液及び薬剤の投与量の設定並びに変更</t>
  </si>
  <si>
    <t>血液浄化療法における監視機器を用いた患者観察</t>
  </si>
  <si>
    <t>血液浄化療法に使用する機器及び物品の消毒並びに使用した機器及び物品の廃棄</t>
  </si>
  <si>
    <t>生命維持管理装置の点検生命維持管理装置、集中治療に使用する機器及び回路並びに集中治療の実施に必要な薬剤の準備</t>
    <phoneticPr fontId="7"/>
  </si>
  <si>
    <t>生命維持管理装置の組立並びに回路の洗浄及び充填</t>
  </si>
  <si>
    <r>
      <t>01</t>
    </r>
    <r>
      <rPr>
        <b/>
        <sz val="10"/>
        <color rgb="FFC00000"/>
        <rFont val="ＭＳ Ｐ明朝"/>
        <family val="1"/>
        <charset val="128"/>
      </rPr>
      <t>（学校名入力）</t>
    </r>
    <phoneticPr fontId="7"/>
  </si>
  <si>
    <r>
      <t>05</t>
    </r>
    <r>
      <rPr>
        <b/>
        <sz val="10"/>
        <color rgb="FFC00000"/>
        <rFont val="ＭＳ Ｐ明朝"/>
        <family val="1"/>
        <charset val="128"/>
      </rPr>
      <t>（別紙４様式４）単位・時間数の新旧対照表</t>
    </r>
    <r>
      <rPr>
        <b/>
        <sz val="10"/>
        <color rgb="FFC00000"/>
        <rFont val="Times New Roman"/>
        <family val="1"/>
      </rPr>
      <t xml:space="preserve"> </t>
    </r>
    <phoneticPr fontId="7"/>
  </si>
  <si>
    <r>
      <t>06</t>
    </r>
    <r>
      <rPr>
        <b/>
        <sz val="10"/>
        <color rgb="FFC00000"/>
        <rFont val="ＭＳ Ｐ明朝"/>
        <family val="1"/>
        <charset val="128"/>
      </rPr>
      <t>（別紙５様式５）教科内容対比表</t>
    </r>
    <phoneticPr fontId="7"/>
  </si>
  <si>
    <t>C7</t>
    <phoneticPr fontId="7"/>
  </si>
  <si>
    <t>C8</t>
    <phoneticPr fontId="7"/>
  </si>
  <si>
    <t>C9</t>
    <phoneticPr fontId="7"/>
  </si>
  <si>
    <t>C10</t>
    <phoneticPr fontId="7"/>
  </si>
  <si>
    <t>D5</t>
    <phoneticPr fontId="7"/>
  </si>
  <si>
    <t>P1</t>
    <phoneticPr fontId="7"/>
  </si>
  <si>
    <t>K1</t>
    <phoneticPr fontId="7"/>
  </si>
  <si>
    <t>P12</t>
  </si>
  <si>
    <t>P39</t>
    <phoneticPr fontId="7"/>
  </si>
  <si>
    <t>P47</t>
    <phoneticPr fontId="7"/>
  </si>
  <si>
    <t>P55</t>
    <phoneticPr fontId="7"/>
  </si>
  <si>
    <t>P63</t>
    <phoneticPr fontId="7"/>
  </si>
  <si>
    <t>P71</t>
    <phoneticPr fontId="7"/>
  </si>
  <si>
    <t>P77</t>
    <phoneticPr fontId="7"/>
  </si>
  <si>
    <t>P85</t>
    <phoneticPr fontId="7"/>
  </si>
  <si>
    <t>P95</t>
    <phoneticPr fontId="7"/>
  </si>
  <si>
    <t>P101</t>
    <phoneticPr fontId="7"/>
  </si>
  <si>
    <t>P109</t>
    <phoneticPr fontId="7"/>
  </si>
  <si>
    <t>P117</t>
    <phoneticPr fontId="7"/>
  </si>
  <si>
    <t>P132</t>
    <phoneticPr fontId="7"/>
  </si>
  <si>
    <t>P141</t>
    <phoneticPr fontId="7"/>
  </si>
  <si>
    <t>P157</t>
    <phoneticPr fontId="7"/>
  </si>
  <si>
    <t>P158</t>
    <phoneticPr fontId="7"/>
  </si>
  <si>
    <t>P159</t>
    <phoneticPr fontId="7"/>
  </si>
  <si>
    <t>①
病態学</t>
    <phoneticPr fontId="7"/>
  </si>
  <si>
    <t>②
公衆衛生学</t>
    <phoneticPr fontId="7"/>
  </si>
  <si>
    <t>③
医用工学概論</t>
    <phoneticPr fontId="7"/>
  </si>
  <si>
    <t>④
血液検査学</t>
    <phoneticPr fontId="7"/>
  </si>
  <si>
    <t>⑤
病理検査学</t>
    <phoneticPr fontId="7"/>
  </si>
  <si>
    <t>⑥
尿・糞便等一般検査学</t>
    <phoneticPr fontId="7"/>
  </si>
  <si>
    <t>⑦
生化学検査学</t>
    <phoneticPr fontId="7"/>
  </si>
  <si>
    <t>⑧
免疫検査学</t>
    <phoneticPr fontId="7"/>
  </si>
  <si>
    <t>⑨
遺伝子関連・染色体検査学</t>
    <phoneticPr fontId="7"/>
  </si>
  <si>
    <t>⑩
輸血・移植検査学</t>
    <phoneticPr fontId="7"/>
  </si>
  <si>
    <t>⑪
微生物検査学</t>
    <phoneticPr fontId="7"/>
  </si>
  <si>
    <t>⑫
生理検査学</t>
    <phoneticPr fontId="7"/>
  </si>
  <si>
    <t>⑬
臨床検査総合管理学</t>
    <phoneticPr fontId="7"/>
  </si>
  <si>
    <t>⑭
医療安全管理学</t>
    <phoneticPr fontId="7"/>
  </si>
  <si>
    <t>⑮－２
臨地実習
臨地実習前評価</t>
    <rPh sb="4" eb="6">
      <t>リンチ</t>
    </rPh>
    <rPh sb="6" eb="8">
      <t>ジッシュウ</t>
    </rPh>
    <rPh sb="9" eb="11">
      <t>リンチ</t>
    </rPh>
    <rPh sb="11" eb="13">
      <t>ジッシュウ</t>
    </rPh>
    <rPh sb="13" eb="14">
      <t>マエ</t>
    </rPh>
    <rPh sb="14" eb="16">
      <t>ヒョウカ</t>
    </rPh>
    <phoneticPr fontId="7"/>
  </si>
  <si>
    <t>⑮－２
臨地実習
生理検査学</t>
    <rPh sb="4" eb="6">
      <t>リンチ</t>
    </rPh>
    <rPh sb="6" eb="8">
      <t>ジッシュウ</t>
    </rPh>
    <rPh sb="9" eb="14">
      <t>セイリケンサガク</t>
    </rPh>
    <phoneticPr fontId="7"/>
  </si>
  <si>
    <t>⑮－３
臨地実習
その他</t>
    <rPh sb="4" eb="6">
      <t>リンチ</t>
    </rPh>
    <rPh sb="6" eb="8">
      <t>ジッシュウ</t>
    </rPh>
    <rPh sb="11" eb="12">
      <t>タ</t>
    </rPh>
    <phoneticPr fontId="7"/>
  </si>
  <si>
    <t>照合コード</t>
    <rPh sb="0" eb="2">
      <t>ショウゴウ</t>
    </rPh>
    <phoneticPr fontId="7"/>
  </si>
  <si>
    <t>学部名</t>
    <rPh sb="0" eb="3">
      <t>ガクブメイ</t>
    </rPh>
    <phoneticPr fontId="7"/>
  </si>
  <si>
    <t>０５判定</t>
    <rPh sb="2" eb="4">
      <t>ハンテイ</t>
    </rPh>
    <phoneticPr fontId="7"/>
  </si>
  <si>
    <t>０６判定</t>
    <rPh sb="2" eb="4">
      <t>ハンテイ</t>
    </rPh>
    <phoneticPr fontId="7"/>
  </si>
  <si>
    <t>申請
単位数</t>
    <rPh sb="0" eb="2">
      <t>シンセイ</t>
    </rPh>
    <rPh sb="3" eb="6">
      <t>タンイスウ</t>
    </rPh>
    <phoneticPr fontId="7"/>
  </si>
  <si>
    <r>
      <t>　　　　</t>
    </r>
    <r>
      <rPr>
        <b/>
        <sz val="14"/>
        <color rgb="FFFF0000"/>
        <rFont val="ＭＳ 明朝"/>
        <family val="1"/>
        <charset val="128"/>
      </rPr>
      <t>新規の場合も、下表に入力して下さい</t>
    </r>
    <rPh sb="4" eb="6">
      <t>シンキ</t>
    </rPh>
    <rPh sb="7" eb="9">
      <t>バアイ</t>
    </rPh>
    <rPh sb="11" eb="13">
      <t>カヒョウ</t>
    </rPh>
    <rPh sb="14" eb="16">
      <t>ニュウリョク</t>
    </rPh>
    <rPh sb="18" eb="19">
      <t>クダ</t>
    </rPh>
    <phoneticPr fontId="7"/>
  </si>
  <si>
    <r>
      <rPr>
        <b/>
        <sz val="12"/>
        <color rgb="FFFF0000"/>
        <rFont val="ＭＳ ゴシック"/>
        <family val="3"/>
        <charset val="128"/>
      </rPr>
      <t>06</t>
    </r>
    <r>
      <rPr>
        <sz val="12"/>
        <rFont val="ＭＳ ゴシック"/>
        <family val="3"/>
        <charset val="128"/>
      </rPr>
      <t>（様式５）臨床実習確認表</t>
    </r>
    <rPh sb="7" eb="9">
      <t>リンショウ</t>
    </rPh>
    <rPh sb="9" eb="11">
      <t>ジッシュウ</t>
    </rPh>
    <rPh sb="11" eb="14">
      <t>カクニンヒョウ</t>
    </rPh>
    <phoneticPr fontId="7"/>
  </si>
  <si>
    <r>
      <rPr>
        <b/>
        <sz val="12"/>
        <color rgb="FFFF0000"/>
        <rFont val="ＭＳ ゴシック"/>
        <family val="3"/>
        <charset val="128"/>
      </rPr>
      <t>02</t>
    </r>
    <r>
      <rPr>
        <sz val="12"/>
        <rFont val="ＭＳ ゴシック"/>
        <family val="3"/>
        <charset val="128"/>
      </rPr>
      <t>（様式１）法第４号の規定に基づき定める科目に関する協議申請書</t>
    </r>
    <rPh sb="7" eb="8">
      <t>ホウ</t>
    </rPh>
    <phoneticPr fontId="7"/>
  </si>
  <si>
    <r>
      <rPr>
        <b/>
        <sz val="12"/>
        <color rgb="FFFF0000"/>
        <rFont val="ＭＳ ゴシック"/>
        <family val="3"/>
        <charset val="128"/>
      </rPr>
      <t>03</t>
    </r>
    <r>
      <rPr>
        <sz val="12"/>
        <rFont val="ＭＳ ゴシック"/>
        <family val="3"/>
        <charset val="128"/>
      </rPr>
      <t>（様式２）履修証明書</t>
    </r>
    <phoneticPr fontId="7"/>
  </si>
  <si>
    <t>４　臨床実習確認表（様式５）</t>
    <rPh sb="2" eb="4">
      <t>リンショウ</t>
    </rPh>
    <rPh sb="4" eb="6">
      <t>ジッシュウ</t>
    </rPh>
    <rPh sb="6" eb="9">
      <t>カクニンヒョウ</t>
    </rPh>
    <rPh sb="10" eb="12">
      <t>ヨウシキ</t>
    </rPh>
    <phoneticPr fontId="7"/>
  </si>
  <si>
    <t>（１）医師法、保健師助産師看護師
　　その他の医療関係職種資格制度</t>
    <rPh sb="3" eb="6">
      <t>イシホウ</t>
    </rPh>
    <rPh sb="7" eb="10">
      <t>ホケンシ</t>
    </rPh>
    <rPh sb="10" eb="13">
      <t>ジョサンシ</t>
    </rPh>
    <rPh sb="13" eb="16">
      <t>カンゴシ</t>
    </rPh>
    <rPh sb="21" eb="22">
      <t>タ</t>
    </rPh>
    <rPh sb="23" eb="25">
      <t>イリョウ</t>
    </rPh>
    <rPh sb="25" eb="27">
      <t>カンケイ</t>
    </rPh>
    <rPh sb="27" eb="29">
      <t>ショクシュ</t>
    </rPh>
    <rPh sb="29" eb="31">
      <t>シカク</t>
    </rPh>
    <rPh sb="31" eb="33">
      <t>セイド</t>
    </rPh>
    <phoneticPr fontId="7"/>
  </si>
  <si>
    <t>（２）電磁気学・電気回路と電力
　　装置</t>
    <rPh sb="3" eb="6">
      <t>デンジキ</t>
    </rPh>
    <rPh sb="6" eb="7">
      <t>ガク</t>
    </rPh>
    <rPh sb="8" eb="10">
      <t>デンキ</t>
    </rPh>
    <rPh sb="10" eb="12">
      <t>カイロ</t>
    </rPh>
    <rPh sb="13" eb="15">
      <t>デンリョク</t>
    </rPh>
    <rPh sb="18" eb="20">
      <t>ソウチ</t>
    </rPh>
    <phoneticPr fontId="7"/>
  </si>
  <si>
    <t>（１）人体、人体模型による各部
　　の観察</t>
    <rPh sb="3" eb="5">
      <t>ジンタイ</t>
    </rPh>
    <rPh sb="6" eb="8">
      <t>ジンタイ</t>
    </rPh>
    <rPh sb="8" eb="10">
      <t>モケイ</t>
    </rPh>
    <rPh sb="13" eb="15">
      <t>カクブ</t>
    </rPh>
    <rPh sb="19" eb="21">
      <t>カンサツ</t>
    </rPh>
    <phoneticPr fontId="7"/>
  </si>
  <si>
    <t>（８）医療機器の電気安全試験に
　　必要な電気回路基礎</t>
    <rPh sb="3" eb="5">
      <t>イリョウ</t>
    </rPh>
    <rPh sb="5" eb="7">
      <t>キキ</t>
    </rPh>
    <rPh sb="8" eb="10">
      <t>デンキ</t>
    </rPh>
    <rPh sb="10" eb="12">
      <t>アンゼン</t>
    </rPh>
    <rPh sb="12" eb="14">
      <t>シケン</t>
    </rPh>
    <rPh sb="18" eb="20">
      <t>ヒツヨウ</t>
    </rPh>
    <rPh sb="21" eb="23">
      <t>デンキ</t>
    </rPh>
    <rPh sb="23" eb="25">
      <t>カイロ</t>
    </rPh>
    <rPh sb="25" eb="27">
      <t>キソ</t>
    </rPh>
    <phoneticPr fontId="7"/>
  </si>
  <si>
    <t>（５）医療機器の電気安全試験に
　　必要な電子回路基礎</t>
    <rPh sb="3" eb="5">
      <t>イリョウ</t>
    </rPh>
    <rPh sb="5" eb="7">
      <t>キキ</t>
    </rPh>
    <rPh sb="8" eb="10">
      <t>デンキ</t>
    </rPh>
    <rPh sb="10" eb="12">
      <t>アンゼン</t>
    </rPh>
    <rPh sb="12" eb="14">
      <t>シケン</t>
    </rPh>
    <rPh sb="18" eb="20">
      <t>ヒツヨウ</t>
    </rPh>
    <rPh sb="21" eb="23">
      <t>デンシ</t>
    </rPh>
    <rPh sb="23" eb="25">
      <t>カイロ</t>
    </rPh>
    <rPh sb="25" eb="27">
      <t>キソ</t>
    </rPh>
    <phoneticPr fontId="7"/>
  </si>
  <si>
    <t>（２）生体の物理・化学特性と
　　特異性</t>
    <rPh sb="3" eb="5">
      <t>セイタイ</t>
    </rPh>
    <rPh sb="6" eb="8">
      <t>ブツリ</t>
    </rPh>
    <rPh sb="9" eb="11">
      <t>カガク</t>
    </rPh>
    <rPh sb="11" eb="13">
      <t>トクセイ</t>
    </rPh>
    <rPh sb="17" eb="20">
      <t>トクイセイ</t>
    </rPh>
    <phoneticPr fontId="7"/>
  </si>
  <si>
    <t>（１）生体システムの解析と
　　シミュレーション</t>
    <rPh sb="3" eb="5">
      <t>セイタイ</t>
    </rPh>
    <rPh sb="10" eb="12">
      <t>カイセキ</t>
    </rPh>
    <phoneticPr fontId="7"/>
  </si>
  <si>
    <t>（２）システム応答のシミュレー
　　ション</t>
    <rPh sb="7" eb="9">
      <t>オウトウ</t>
    </rPh>
    <phoneticPr fontId="7"/>
  </si>
  <si>
    <t>（７）医療機器の機械的安全試験
　　に必要な基礎</t>
    <rPh sb="3" eb="5">
      <t>イリョウ</t>
    </rPh>
    <rPh sb="5" eb="7">
      <t>キキ</t>
    </rPh>
    <rPh sb="8" eb="11">
      <t>キカイテキ</t>
    </rPh>
    <rPh sb="11" eb="13">
      <t>アンゼン</t>
    </rPh>
    <rPh sb="13" eb="15">
      <t>シケン</t>
    </rPh>
    <rPh sb="19" eb="21">
      <t>ヒツヨウ</t>
    </rPh>
    <rPh sb="22" eb="24">
      <t>キソ</t>
    </rPh>
    <phoneticPr fontId="7"/>
  </si>
  <si>
    <t>（２）生体の能動的電気特性
　　（刺激と興奮）</t>
    <rPh sb="3" eb="5">
      <t>セイタイ</t>
    </rPh>
    <rPh sb="6" eb="9">
      <t>ノウドウテキ</t>
    </rPh>
    <rPh sb="9" eb="11">
      <t>デンキ</t>
    </rPh>
    <rPh sb="11" eb="13">
      <t>トクセイ</t>
    </rPh>
    <rPh sb="17" eb="19">
      <t>シゲキ</t>
    </rPh>
    <rPh sb="20" eb="22">
      <t>コウフン</t>
    </rPh>
    <phoneticPr fontId="7"/>
  </si>
  <si>
    <t>（１）生体の電気磁気特性を利用
　　した計測</t>
    <rPh sb="3" eb="5">
      <t>セイタイ</t>
    </rPh>
    <rPh sb="6" eb="8">
      <t>デンキ</t>
    </rPh>
    <rPh sb="8" eb="10">
      <t>ジキ</t>
    </rPh>
    <rPh sb="10" eb="12">
      <t>トクセイ</t>
    </rPh>
    <rPh sb="13" eb="15">
      <t>リヨウ</t>
    </rPh>
    <rPh sb="20" eb="22">
      <t>ケイソク</t>
    </rPh>
    <phoneticPr fontId="7"/>
  </si>
  <si>
    <t>（２）生体の機械的特性を利用した
　　計測</t>
    <rPh sb="3" eb="5">
      <t>セイタイ</t>
    </rPh>
    <rPh sb="6" eb="9">
      <t>キカイテキ</t>
    </rPh>
    <rPh sb="9" eb="11">
      <t>トクセイ</t>
    </rPh>
    <rPh sb="12" eb="14">
      <t>リヨウ</t>
    </rPh>
    <rPh sb="19" eb="21">
      <t>ケイソク</t>
    </rPh>
    <phoneticPr fontId="7"/>
  </si>
  <si>
    <t>（３）生体の熱的特性を利用した
　　計測</t>
    <rPh sb="3" eb="5">
      <t>セイタイ</t>
    </rPh>
    <rPh sb="6" eb="7">
      <t>ネツ</t>
    </rPh>
    <rPh sb="7" eb="8">
      <t>テキ</t>
    </rPh>
    <rPh sb="8" eb="10">
      <t>トクセイ</t>
    </rPh>
    <rPh sb="11" eb="13">
      <t>リヨウ</t>
    </rPh>
    <rPh sb="18" eb="20">
      <t>ケイソク</t>
    </rPh>
    <phoneticPr fontId="7"/>
  </si>
  <si>
    <t>（４）生体の光学特性を利用した
　　計測</t>
    <rPh sb="3" eb="5">
      <t>セイタイ</t>
    </rPh>
    <rPh sb="6" eb="8">
      <t>コウガク</t>
    </rPh>
    <rPh sb="8" eb="10">
      <t>トクセイ</t>
    </rPh>
    <rPh sb="11" eb="13">
      <t>リヨウ</t>
    </rPh>
    <rPh sb="18" eb="20">
      <t>ケイソク</t>
    </rPh>
    <phoneticPr fontId="7"/>
  </si>
  <si>
    <t>（５）生体と放射線の相互作用を
　　利用した計測</t>
    <rPh sb="3" eb="5">
      <t>セイタイ</t>
    </rPh>
    <rPh sb="6" eb="9">
      <t>ホウシャセン</t>
    </rPh>
    <rPh sb="10" eb="12">
      <t>ソウゴ</t>
    </rPh>
    <rPh sb="12" eb="14">
      <t>サヨウ</t>
    </rPh>
    <rPh sb="18" eb="20">
      <t>リヨウ</t>
    </rPh>
    <rPh sb="22" eb="24">
      <t>ケイソク</t>
    </rPh>
    <phoneticPr fontId="7"/>
  </si>
  <si>
    <t>（６）生体の超音波特性を利用した
　　計測</t>
    <rPh sb="3" eb="5">
      <t>セイタイ</t>
    </rPh>
    <rPh sb="6" eb="9">
      <t>チョウオンパ</t>
    </rPh>
    <rPh sb="9" eb="11">
      <t>トクセイ</t>
    </rPh>
    <rPh sb="12" eb="14">
      <t>リヨウ</t>
    </rPh>
    <rPh sb="19" eb="21">
      <t>ケイソク</t>
    </rPh>
    <phoneticPr fontId="7"/>
  </si>
  <si>
    <t>５　生体機能代行補助機器の構成
　　と原理</t>
    <rPh sb="2" eb="4">
      <t>セイタイ</t>
    </rPh>
    <rPh sb="4" eb="6">
      <t>キノウ</t>
    </rPh>
    <rPh sb="6" eb="8">
      <t>ダイコウ</t>
    </rPh>
    <rPh sb="8" eb="10">
      <t>ホジョ</t>
    </rPh>
    <rPh sb="10" eb="12">
      <t>キキ</t>
    </rPh>
    <rPh sb="13" eb="15">
      <t>コウセイ</t>
    </rPh>
    <rPh sb="19" eb="21">
      <t>ゲンリ</t>
    </rPh>
    <phoneticPr fontId="7"/>
  </si>
  <si>
    <t>２　電気的治療機器の原理・構造・
　　操作・保守</t>
    <rPh sb="2" eb="5">
      <t>デンキテキ</t>
    </rPh>
    <rPh sb="5" eb="7">
      <t>チリョウ</t>
    </rPh>
    <rPh sb="7" eb="9">
      <t>キキ</t>
    </rPh>
    <rPh sb="10" eb="12">
      <t>ゲンリ</t>
    </rPh>
    <rPh sb="13" eb="15">
      <t>コウゾウ</t>
    </rPh>
    <rPh sb="19" eb="21">
      <t>ソウサ</t>
    </rPh>
    <rPh sb="22" eb="24">
      <t>ホシュ</t>
    </rPh>
    <phoneticPr fontId="7"/>
  </si>
  <si>
    <t>３　機械的治療機器の原理・構造・
　　操作・保守</t>
    <rPh sb="2" eb="5">
      <t>キカイテキ</t>
    </rPh>
    <rPh sb="5" eb="7">
      <t>チリョウ</t>
    </rPh>
    <rPh sb="7" eb="9">
      <t>キキ</t>
    </rPh>
    <rPh sb="10" eb="12">
      <t>ゲンリ</t>
    </rPh>
    <rPh sb="13" eb="15">
      <t>コウゾウ</t>
    </rPh>
    <rPh sb="19" eb="21">
      <t>ソウサ</t>
    </rPh>
    <rPh sb="22" eb="24">
      <t>ホシュ</t>
    </rPh>
    <phoneticPr fontId="7"/>
  </si>
  <si>
    <t>（２）経皮的冠動脈インターベン
　　ション</t>
    <rPh sb="3" eb="6">
      <t>ケイヒテキ</t>
    </rPh>
    <rPh sb="6" eb="9">
      <t>カンドウミャク</t>
    </rPh>
    <phoneticPr fontId="7"/>
  </si>
  <si>
    <t>４　手術用機器の原理・構造・
　　操作・保守</t>
    <rPh sb="2" eb="7">
      <t>シュジュツヨウキキ</t>
    </rPh>
    <phoneticPr fontId="7"/>
  </si>
  <si>
    <t>（３）レーザー手術装置・光線治
　　療器</t>
    <rPh sb="7" eb="9">
      <t>シュジュツ</t>
    </rPh>
    <rPh sb="9" eb="11">
      <t>ソウチ</t>
    </rPh>
    <rPh sb="12" eb="14">
      <t>コウセン</t>
    </rPh>
    <rPh sb="14" eb="15">
      <t>オサム</t>
    </rPh>
    <rPh sb="18" eb="19">
      <t>リョウ</t>
    </rPh>
    <rPh sb="19" eb="20">
      <t>キ</t>
    </rPh>
    <phoneticPr fontId="7"/>
  </si>
  <si>
    <t>６　在宅医療等で用いられる治療
　　機器</t>
    <rPh sb="2" eb="4">
      <t>ザイタク</t>
    </rPh>
    <rPh sb="4" eb="6">
      <t>イリョウ</t>
    </rPh>
    <rPh sb="6" eb="7">
      <t>トウ</t>
    </rPh>
    <rPh sb="8" eb="9">
      <t>モチ</t>
    </rPh>
    <rPh sb="13" eb="15">
      <t>チリョウ</t>
    </rPh>
    <rPh sb="18" eb="20">
      <t>キキ</t>
    </rPh>
    <phoneticPr fontId="7"/>
  </si>
  <si>
    <t>７　治療機器を用いた臨床支援
　　技術の実際</t>
    <rPh sb="2" eb="4">
      <t>チリョウ</t>
    </rPh>
    <rPh sb="4" eb="6">
      <t>キキ</t>
    </rPh>
    <rPh sb="7" eb="8">
      <t>モチ</t>
    </rPh>
    <rPh sb="10" eb="12">
      <t>リンショウ</t>
    </rPh>
    <rPh sb="12" eb="14">
      <t>シエン</t>
    </rPh>
    <rPh sb="17" eb="19">
      <t>ギジュツ</t>
    </rPh>
    <rPh sb="20" eb="22">
      <t>ジッサイジッサイ</t>
    </rPh>
    <phoneticPr fontId="7"/>
  </si>
  <si>
    <t>（１）心電図・心電図モニタと医用
　　テレメータ</t>
    <rPh sb="3" eb="6">
      <t>シンデンズ</t>
    </rPh>
    <rPh sb="7" eb="10">
      <t>シンデンズ</t>
    </rPh>
    <rPh sb="14" eb="16">
      <t>イヨウ</t>
    </rPh>
    <phoneticPr fontId="7"/>
  </si>
  <si>
    <t>（１）血圧計測（観血式、非観血
　　式）</t>
    <rPh sb="3" eb="5">
      <t>ケツアツ</t>
    </rPh>
    <rPh sb="5" eb="7">
      <t>ケイソク</t>
    </rPh>
    <rPh sb="8" eb="9">
      <t>カン</t>
    </rPh>
    <rPh sb="9" eb="10">
      <t>チ</t>
    </rPh>
    <rPh sb="10" eb="11">
      <t>シキ</t>
    </rPh>
    <rPh sb="12" eb="13">
      <t>ヒ</t>
    </rPh>
    <rPh sb="13" eb="14">
      <t>カン</t>
    </rPh>
    <rPh sb="14" eb="15">
      <t>ケツ</t>
    </rPh>
    <rPh sb="18" eb="19">
      <t>シキ</t>
    </rPh>
    <phoneticPr fontId="7"/>
  </si>
  <si>
    <t>（５）呼吸モニタ（パルスオキシ
　　メータ、カプノメータ）</t>
    <rPh sb="3" eb="5">
      <t>コキュウ</t>
    </rPh>
    <phoneticPr fontId="7"/>
  </si>
  <si>
    <t>（３）ラジオアイソトープ（RI）に
　　よる画像計測（SPECT、PET等）</t>
    <rPh sb="22" eb="24">
      <t>ガゾウ</t>
    </rPh>
    <rPh sb="24" eb="26">
      <t>ケイソク</t>
    </rPh>
    <rPh sb="36" eb="37">
      <t>トウ</t>
    </rPh>
    <phoneticPr fontId="7"/>
  </si>
  <si>
    <t>５　在宅医療等で用いられる生体
　　計測機器</t>
    <rPh sb="2" eb="4">
      <t>ザイタク</t>
    </rPh>
    <rPh sb="4" eb="6">
      <t>イリョウ</t>
    </rPh>
    <rPh sb="6" eb="7">
      <t>トウ</t>
    </rPh>
    <rPh sb="8" eb="9">
      <t>モチ</t>
    </rPh>
    <rPh sb="13" eb="15">
      <t>セイタイ</t>
    </rPh>
    <rPh sb="18" eb="20">
      <t>ケイソク</t>
    </rPh>
    <rPh sb="20" eb="22">
      <t>キキ</t>
    </rPh>
    <phoneticPr fontId="7"/>
  </si>
  <si>
    <t>６　計測機器を用いた臨床支援技術
　　の実際</t>
    <rPh sb="2" eb="4">
      <t>ケイソク</t>
    </rPh>
    <rPh sb="4" eb="6">
      <t>キキ</t>
    </rPh>
    <rPh sb="7" eb="8">
      <t>モチ</t>
    </rPh>
    <rPh sb="10" eb="12">
      <t>リンショウ</t>
    </rPh>
    <rPh sb="12" eb="14">
      <t>シエン</t>
    </rPh>
    <rPh sb="14" eb="16">
      <t>ギジュツ</t>
    </rPh>
    <rPh sb="20" eb="22">
      <t>ジッサイ</t>
    </rPh>
    <phoneticPr fontId="7"/>
  </si>
  <si>
    <t>１　臨床支援技術に必要な実践的
　　知識の基礎</t>
    <rPh sb="2" eb="4">
      <t>リンショウ</t>
    </rPh>
    <rPh sb="4" eb="6">
      <t>シエン</t>
    </rPh>
    <rPh sb="6" eb="8">
      <t>ギジュツ</t>
    </rPh>
    <rPh sb="9" eb="11">
      <t>ヒツヨウ</t>
    </rPh>
    <rPh sb="12" eb="15">
      <t>ジッセンテキ</t>
    </rPh>
    <rPh sb="18" eb="20">
      <t>チシキ</t>
    </rPh>
    <rPh sb="21" eb="23">
      <t>キソ</t>
    </rPh>
    <phoneticPr fontId="7"/>
  </si>
  <si>
    <t>２　臨床支援技術に必要な医工学
　　の基礎</t>
    <rPh sb="2" eb="4">
      <t>リンショウ</t>
    </rPh>
    <rPh sb="4" eb="6">
      <t>シエン</t>
    </rPh>
    <rPh sb="6" eb="8">
      <t>ギジュツ</t>
    </rPh>
    <rPh sb="9" eb="11">
      <t>ヒツヨウ</t>
    </rPh>
    <rPh sb="12" eb="13">
      <t>イ</t>
    </rPh>
    <rPh sb="13" eb="15">
      <t>コウガク</t>
    </rPh>
    <rPh sb="19" eb="21">
      <t>キソ</t>
    </rPh>
    <phoneticPr fontId="7"/>
  </si>
  <si>
    <t>（２）内視鏡による外科的治療関連
　　機器</t>
    <rPh sb="3" eb="6">
      <t>ナイシキョウ</t>
    </rPh>
    <rPh sb="9" eb="12">
      <t>ゲカテキ</t>
    </rPh>
    <rPh sb="12" eb="14">
      <t>チリョウ</t>
    </rPh>
    <rPh sb="14" eb="16">
      <t>カンレン</t>
    </rPh>
    <rPh sb="19" eb="21">
      <t>キキ</t>
    </rPh>
    <phoneticPr fontId="7"/>
  </si>
  <si>
    <t>（２）心・血管カテーテル治療・
　　検査の手技</t>
    <rPh sb="3" eb="4">
      <t>シン</t>
    </rPh>
    <rPh sb="5" eb="7">
      <t>ケッカン</t>
    </rPh>
    <rPh sb="12" eb="14">
      <t>チリョウ</t>
    </rPh>
    <rPh sb="18" eb="20">
      <t>ケンサ</t>
    </rPh>
    <rPh sb="21" eb="23">
      <t>シュギ</t>
    </rPh>
    <phoneticPr fontId="7"/>
  </si>
  <si>
    <t>（５）呼吸療法技術（酸素療法
　　含む）</t>
    <rPh sb="3" eb="5">
      <t>コキュウ</t>
    </rPh>
    <rPh sb="5" eb="7">
      <t>リョウホウ</t>
    </rPh>
    <rPh sb="7" eb="9">
      <t>ギジュツ</t>
    </rPh>
    <rPh sb="10" eb="12">
      <t>サンソ</t>
    </rPh>
    <rPh sb="12" eb="14">
      <t>リョウホウ</t>
    </rPh>
    <rPh sb="17" eb="18">
      <t>フク</t>
    </rPh>
    <phoneticPr fontId="7"/>
  </si>
  <si>
    <t>（６）周辺医用機器の原理と取り
　　扱い</t>
    <rPh sb="3" eb="5">
      <t>シュウヘン</t>
    </rPh>
    <rPh sb="5" eb="7">
      <t>イヨウ</t>
    </rPh>
    <rPh sb="7" eb="9">
      <t>キキ</t>
    </rPh>
    <rPh sb="10" eb="12">
      <t>ゲンリ</t>
    </rPh>
    <rPh sb="13" eb="14">
      <t>ト</t>
    </rPh>
    <rPh sb="18" eb="19">
      <t>アツカ</t>
    </rPh>
    <phoneticPr fontId="7"/>
  </si>
  <si>
    <t>（８）周辺医用機器の原理と取り　　
　　扱い</t>
    <rPh sb="3" eb="5">
      <t>シュウヘン</t>
    </rPh>
    <rPh sb="5" eb="7">
      <t>イヨウ</t>
    </rPh>
    <rPh sb="7" eb="9">
      <t>キキ</t>
    </rPh>
    <rPh sb="10" eb="12">
      <t>ゲンリ</t>
    </rPh>
    <rPh sb="13" eb="14">
      <t>ト</t>
    </rPh>
    <rPh sb="20" eb="21">
      <t>アツカ</t>
    </rPh>
    <phoneticPr fontId="7"/>
  </si>
  <si>
    <t>３　血液浄化装置（人工透析装置
　　を含む）</t>
    <rPh sb="2" eb="4">
      <t>ケツエキ</t>
    </rPh>
    <rPh sb="4" eb="6">
      <t>ジョウカ</t>
    </rPh>
    <rPh sb="6" eb="8">
      <t>ソウチ</t>
    </rPh>
    <rPh sb="9" eb="11">
      <t>ジンコウ</t>
    </rPh>
    <rPh sb="11" eb="13">
      <t>トウセキ</t>
    </rPh>
    <rPh sb="13" eb="15">
      <t>ソウチ</t>
    </rPh>
    <rPh sb="19" eb="20">
      <t>フク</t>
    </rPh>
    <phoneticPr fontId="7"/>
  </si>
  <si>
    <t>（６）血液浄化技術（アフェレー
　　シス、腹膜透析、腹水濾過濃縮
　　含む）</t>
    <rPh sb="3" eb="5">
      <t>ケツエキ</t>
    </rPh>
    <rPh sb="5" eb="7">
      <t>ジョウカ</t>
    </rPh>
    <rPh sb="7" eb="9">
      <t>ギジュツ</t>
    </rPh>
    <rPh sb="21" eb="23">
      <t>フクマク</t>
    </rPh>
    <rPh sb="23" eb="25">
      <t>トウセキ</t>
    </rPh>
    <rPh sb="26" eb="28">
      <t>フクスイ</t>
    </rPh>
    <rPh sb="28" eb="30">
      <t>ロカ</t>
    </rPh>
    <rPh sb="30" eb="32">
      <t>ノウシュク</t>
    </rPh>
    <rPh sb="35" eb="36">
      <t>フク</t>
    </rPh>
    <phoneticPr fontId="7"/>
  </si>
  <si>
    <t>（７）水処理装置・周辺医用機器
　　の原理と取り扱い</t>
    <rPh sb="3" eb="4">
      <t>ミズ</t>
    </rPh>
    <rPh sb="4" eb="6">
      <t>ショリ</t>
    </rPh>
    <rPh sb="6" eb="8">
      <t>ソウチ</t>
    </rPh>
    <rPh sb="9" eb="11">
      <t>シュウヘン</t>
    </rPh>
    <rPh sb="11" eb="13">
      <t>イヨウ</t>
    </rPh>
    <rPh sb="13" eb="15">
      <t>キキ</t>
    </rPh>
    <rPh sb="19" eb="21">
      <t>ゲンリ</t>
    </rPh>
    <rPh sb="22" eb="23">
      <t>ト</t>
    </rPh>
    <rPh sb="24" eb="25">
      <t>アツカ</t>
    </rPh>
    <phoneticPr fontId="7"/>
  </si>
  <si>
    <t>２　各種エネルギーの人体への危険
　　性</t>
    <rPh sb="2" eb="4">
      <t>カクシュ</t>
    </rPh>
    <rPh sb="10" eb="12">
      <t>ジンタイ</t>
    </rPh>
    <rPh sb="14" eb="16">
      <t>キケン</t>
    </rPh>
    <rPh sb="19" eb="20">
      <t>セイ</t>
    </rPh>
    <phoneticPr fontId="7"/>
  </si>
  <si>
    <t>（８）医療安全管理者、医療機器
　　安全管理責任者の役割</t>
    <rPh sb="3" eb="5">
      <t>イリョウ</t>
    </rPh>
    <rPh sb="5" eb="7">
      <t>アンゼン</t>
    </rPh>
    <rPh sb="7" eb="10">
      <t>カンリシャ</t>
    </rPh>
    <rPh sb="11" eb="13">
      <t>イリョウ</t>
    </rPh>
    <rPh sb="13" eb="15">
      <t>キキ</t>
    </rPh>
    <rPh sb="18" eb="20">
      <t>アンゼン</t>
    </rPh>
    <rPh sb="20" eb="22">
      <t>カンリ</t>
    </rPh>
    <rPh sb="22" eb="25">
      <t>セキニンシャ</t>
    </rPh>
    <rPh sb="26" eb="28">
      <t>ヤクワリ</t>
    </rPh>
    <phoneticPr fontId="7"/>
  </si>
  <si>
    <t>（10）医療機器・医療情報システム
　　とセキュリティ</t>
    <rPh sb="4" eb="6">
      <t>イリョウ</t>
    </rPh>
    <rPh sb="6" eb="8">
      <t>キキ</t>
    </rPh>
    <rPh sb="9" eb="11">
      <t>イリョウ</t>
    </rPh>
    <rPh sb="11" eb="13">
      <t>ジョウホウ</t>
    </rPh>
    <phoneticPr fontId="7"/>
  </si>
  <si>
    <t>７　高圧医用ガス、可燃性医用ガス
　　の安全</t>
    <rPh sb="2" eb="4">
      <t>コウアツ</t>
    </rPh>
    <rPh sb="4" eb="6">
      <t>イヨウ</t>
    </rPh>
    <rPh sb="9" eb="12">
      <t>カネンセイ</t>
    </rPh>
    <rPh sb="12" eb="14">
      <t>イヨウ</t>
    </rPh>
    <rPh sb="20" eb="22">
      <t>アンゼン</t>
    </rPh>
    <phoneticPr fontId="7"/>
  </si>
  <si>
    <t>（１）高圧医用ガス、可燃性医用
　　ガスの安全</t>
    <rPh sb="3" eb="5">
      <t>コウアツ</t>
    </rPh>
    <rPh sb="5" eb="7">
      <t>イヨウ</t>
    </rPh>
    <rPh sb="10" eb="13">
      <t>カネンセイ</t>
    </rPh>
    <rPh sb="13" eb="15">
      <t>イヨウ</t>
    </rPh>
    <rPh sb="21" eb="23">
      <t>アンゼン</t>
    </rPh>
    <phoneticPr fontId="7"/>
  </si>
  <si>
    <t xml:space="preserve">９　各種医療機器の操作に伴う危険
　　因子の認識と対処 </t>
    <rPh sb="2" eb="4">
      <t>カクシュ</t>
    </rPh>
    <rPh sb="4" eb="6">
      <t>イリョウ</t>
    </rPh>
    <rPh sb="6" eb="8">
      <t>キキ</t>
    </rPh>
    <rPh sb="9" eb="11">
      <t>ソウサ</t>
    </rPh>
    <rPh sb="12" eb="13">
      <t>トモナ</t>
    </rPh>
    <rPh sb="14" eb="16">
      <t>キケン</t>
    </rPh>
    <rPh sb="19" eb="21">
      <t>インシ</t>
    </rPh>
    <rPh sb="22" eb="24">
      <t>ニンシキ</t>
    </rPh>
    <rPh sb="25" eb="27">
      <t>タイショ</t>
    </rPh>
    <phoneticPr fontId="7"/>
  </si>
  <si>
    <t>（１）体外循環装置を用いた治療中
　　の操作</t>
    <rPh sb="3" eb="5">
      <t>タイガイ</t>
    </rPh>
    <rPh sb="5" eb="7">
      <t>ジュンカン</t>
    </rPh>
    <rPh sb="7" eb="9">
      <t>ソウチ</t>
    </rPh>
    <rPh sb="10" eb="11">
      <t>モチ</t>
    </rPh>
    <rPh sb="13" eb="16">
      <t>チリョウチュウ</t>
    </rPh>
    <rPh sb="20" eb="22">
      <t>ソウサ</t>
    </rPh>
    <phoneticPr fontId="7"/>
  </si>
  <si>
    <t>（２）人工呼吸器を用いた治療中
　　の操作</t>
    <rPh sb="3" eb="5">
      <t>ジンコウ</t>
    </rPh>
    <rPh sb="5" eb="8">
      <t>コキュウキ</t>
    </rPh>
    <rPh sb="9" eb="10">
      <t>モチ</t>
    </rPh>
    <rPh sb="12" eb="15">
      <t>チリョウチュウ</t>
    </rPh>
    <rPh sb="19" eb="21">
      <t>ソウサ</t>
    </rPh>
    <phoneticPr fontId="7"/>
  </si>
  <si>
    <t>（３）血液浄化療法装置を用いた
　　治療中の操作</t>
    <rPh sb="3" eb="5">
      <t>ケツエキ</t>
    </rPh>
    <rPh sb="5" eb="7">
      <t>ジョウカ</t>
    </rPh>
    <rPh sb="7" eb="9">
      <t>リョウホウ</t>
    </rPh>
    <rPh sb="9" eb="11">
      <t>ソウチ</t>
    </rPh>
    <rPh sb="12" eb="13">
      <t>モチ</t>
    </rPh>
    <rPh sb="18" eb="21">
      <t>チリョウチュウ</t>
    </rPh>
    <rPh sb="22" eb="24">
      <t>ソウサ</t>
    </rPh>
    <phoneticPr fontId="7"/>
  </si>
  <si>
    <t>（４）血液浄化療法における表在化
　　動脈への穿刺針の接続・抜去</t>
    <rPh sb="3" eb="5">
      <t>ケツエキ</t>
    </rPh>
    <rPh sb="5" eb="7">
      <t>ジョウカ</t>
    </rPh>
    <rPh sb="7" eb="9">
      <t>リョウホウ</t>
    </rPh>
    <rPh sb="13" eb="15">
      <t>ヒョウザイ</t>
    </rPh>
    <rPh sb="15" eb="16">
      <t>カ</t>
    </rPh>
    <rPh sb="19" eb="21">
      <t>ドウミャク</t>
    </rPh>
    <rPh sb="23" eb="24">
      <t>ウガ</t>
    </rPh>
    <rPh sb="24" eb="25">
      <t>サ</t>
    </rPh>
    <rPh sb="25" eb="26">
      <t>ハリ</t>
    </rPh>
    <rPh sb="27" eb="29">
      <t>セツゾク</t>
    </rPh>
    <rPh sb="30" eb="32">
      <t>バッキョ</t>
    </rPh>
    <phoneticPr fontId="7"/>
  </si>
  <si>
    <t>（５）高気圧酸素治療装置を用いた
　　治療中の操作</t>
    <rPh sb="3" eb="6">
      <t>コウキアツ</t>
    </rPh>
    <rPh sb="6" eb="8">
      <t>サンソ</t>
    </rPh>
    <rPh sb="8" eb="10">
      <t>チリョウ</t>
    </rPh>
    <rPh sb="10" eb="12">
      <t>ソウチ</t>
    </rPh>
    <rPh sb="13" eb="14">
      <t>モチ</t>
    </rPh>
    <rPh sb="19" eb="22">
      <t>チリョウチュウ</t>
    </rPh>
    <rPh sb="23" eb="25">
      <t>ソウサ</t>
    </rPh>
    <phoneticPr fontId="7"/>
  </si>
  <si>
    <t>（７）心・血管カテーテル治療に
　　おける電気的負荷装置の操作</t>
    <rPh sb="3" eb="4">
      <t>シン</t>
    </rPh>
    <rPh sb="21" eb="24">
      <t>デンキテキ</t>
    </rPh>
    <rPh sb="24" eb="26">
      <t>フカ</t>
    </rPh>
    <rPh sb="26" eb="28">
      <t>ソウチ</t>
    </rPh>
    <rPh sb="29" eb="31">
      <t>ソウサ</t>
    </rPh>
    <phoneticPr fontId="7"/>
  </si>
  <si>
    <t>（８）輸液ポンプやシリンジポンプ
　　を用いた薬剤投与、静脈路の
　　確保・抜針</t>
    <rPh sb="3" eb="5">
      <t>ユエキ</t>
    </rPh>
    <rPh sb="20" eb="21">
      <t>モチ</t>
    </rPh>
    <rPh sb="23" eb="25">
      <t>ヤクザイ</t>
    </rPh>
    <rPh sb="25" eb="27">
      <t>トウヨ</t>
    </rPh>
    <rPh sb="28" eb="30">
      <t>ジョウミャク</t>
    </rPh>
    <rPh sb="30" eb="31">
      <t>ロ</t>
    </rPh>
    <rPh sb="35" eb="37">
      <t>カクホ</t>
    </rPh>
    <rPh sb="38" eb="40">
      <t>バッシン</t>
    </rPh>
    <phoneticPr fontId="7"/>
  </si>
  <si>
    <t>２　呼吸療法関連実習（集中治療室
　　と手術室での実習を含む）</t>
    <rPh sb="2" eb="4">
      <t>コキュウ</t>
    </rPh>
    <rPh sb="4" eb="6">
      <t>リョウホウ</t>
    </rPh>
    <rPh sb="6" eb="8">
      <t>カンレン</t>
    </rPh>
    <rPh sb="8" eb="10">
      <t>ジッシュウ</t>
    </rPh>
    <rPh sb="11" eb="13">
      <t>シュウチュウ</t>
    </rPh>
    <rPh sb="13" eb="16">
      <t>チリョウシツ</t>
    </rPh>
    <rPh sb="20" eb="23">
      <t>シュジュツシツ</t>
    </rPh>
    <rPh sb="25" eb="27">
      <t>ジッシュウ</t>
    </rPh>
    <rPh sb="28" eb="29">
      <t>フク</t>
    </rPh>
    <phoneticPr fontId="7"/>
  </si>
  <si>
    <t>３　循環器関連実習（集中治療室と
　　手術室での実習及び人工心肺
　　装置の実習を含む）</t>
    <rPh sb="2" eb="5">
      <t>ジュンカンキ</t>
    </rPh>
    <rPh sb="5" eb="7">
      <t>カンレン</t>
    </rPh>
    <rPh sb="7" eb="9">
      <t>ジッシュウ</t>
    </rPh>
    <rPh sb="10" eb="12">
      <t>シュウチュウ</t>
    </rPh>
    <rPh sb="12" eb="15">
      <t>チリョウシツ</t>
    </rPh>
    <rPh sb="19" eb="22">
      <t>シュジュツシツ</t>
    </rPh>
    <rPh sb="24" eb="26">
      <t>ジッシュウ</t>
    </rPh>
    <rPh sb="26" eb="27">
      <t>オヨ</t>
    </rPh>
    <rPh sb="28" eb="30">
      <t>ジンコウ</t>
    </rPh>
    <rPh sb="30" eb="32">
      <t>シンパイ</t>
    </rPh>
    <rPh sb="35" eb="37">
      <t>ソウチ</t>
    </rPh>
    <rPh sb="38" eb="40">
      <t>ジッシュウ</t>
    </rPh>
    <rPh sb="41" eb="42">
      <t>フク</t>
    </rPh>
    <phoneticPr fontId="7"/>
  </si>
  <si>
    <t>６　その他臨床での実習（医療機関
　　各部門の見学実習、臨床支援
　　技術実習、振り返り等）</t>
    <rPh sb="4" eb="5">
      <t>タ</t>
    </rPh>
    <rPh sb="5" eb="7">
      <t>リンショウ</t>
    </rPh>
    <rPh sb="9" eb="11">
      <t>ジッシュウ</t>
    </rPh>
    <rPh sb="12" eb="14">
      <t>イリョウ</t>
    </rPh>
    <rPh sb="14" eb="16">
      <t>キカン</t>
    </rPh>
    <rPh sb="19" eb="22">
      <t>カクブモン</t>
    </rPh>
    <rPh sb="23" eb="25">
      <t>ケンガク</t>
    </rPh>
    <rPh sb="25" eb="27">
      <t>ジッシュウ</t>
    </rPh>
    <rPh sb="28" eb="30">
      <t>リンショウ</t>
    </rPh>
    <rPh sb="30" eb="32">
      <t>シエン</t>
    </rPh>
    <rPh sb="35" eb="37">
      <t>ギジュツ</t>
    </rPh>
    <rPh sb="37" eb="39">
      <t>ジッシュウ</t>
    </rPh>
    <rPh sb="40" eb="41">
      <t>フ</t>
    </rPh>
    <rPh sb="42" eb="43">
      <t>カエ</t>
    </rPh>
    <rPh sb="44" eb="45">
      <t>トウ</t>
    </rPh>
    <phoneticPr fontId="7"/>
  </si>
  <si>
    <t>７　学内実習（臨床実習前後の
　　技術・知識の到達度評価）</t>
    <rPh sb="2" eb="4">
      <t>ガクナイ</t>
    </rPh>
    <rPh sb="4" eb="6">
      <t>ジッシュウ</t>
    </rPh>
    <rPh sb="7" eb="9">
      <t>リンショウ</t>
    </rPh>
    <rPh sb="9" eb="11">
      <t>ジッシュウ</t>
    </rPh>
    <rPh sb="11" eb="13">
      <t>ゼンゴ</t>
    </rPh>
    <rPh sb="17" eb="19">
      <t>ギジュツ</t>
    </rPh>
    <rPh sb="20" eb="22">
      <t>チシキ</t>
    </rPh>
    <rPh sb="23" eb="26">
      <t>トウタツド</t>
    </rPh>
    <rPh sb="26" eb="28">
      <t>ヒョウカ</t>
    </rPh>
    <phoneticPr fontId="7"/>
  </si>
  <si>
    <t>８　学内実習（実習中後の振り返り
　　等）</t>
    <rPh sb="2" eb="4">
      <t>ガクナイ</t>
    </rPh>
    <rPh sb="4" eb="6">
      <t>ジッシュウ</t>
    </rPh>
    <rPh sb="7" eb="9">
      <t>ジッシュウ</t>
    </rPh>
    <rPh sb="9" eb="10">
      <t>チュウ</t>
    </rPh>
    <rPh sb="10" eb="11">
      <t>ゴ</t>
    </rPh>
    <rPh sb="12" eb="13">
      <t>フ</t>
    </rPh>
    <rPh sb="14" eb="15">
      <t>カエ</t>
    </rPh>
    <rPh sb="19" eb="20">
      <t>トウ</t>
    </rPh>
    <phoneticPr fontId="7"/>
  </si>
  <si>
    <r>
      <t xml:space="preserve">授業内容
（シラバス記載の授業計画
にある各講義タイトル）
</t>
    </r>
    <r>
      <rPr>
        <b/>
        <sz val="11"/>
        <color rgb="FFFF0000"/>
        <rFont val="ＭＳ 明朝"/>
        <family val="1"/>
        <charset val="128"/>
      </rPr>
      <t>※明示的にわかるタイトルとして記載</t>
    </r>
    <rPh sb="0" eb="2">
      <t>ジュギョウ</t>
    </rPh>
    <rPh sb="2" eb="4">
      <t>ナイヨウ</t>
    </rPh>
    <rPh sb="10" eb="12">
      <t>キサイ</t>
    </rPh>
    <rPh sb="13" eb="15">
      <t>ジュギョウ</t>
    </rPh>
    <rPh sb="15" eb="17">
      <t>ケイカク</t>
    </rPh>
    <rPh sb="21" eb="22">
      <t>カク</t>
    </rPh>
    <rPh sb="22" eb="24">
      <t>コウギ</t>
    </rPh>
    <rPh sb="31" eb="34">
      <t>メイジテキ</t>
    </rPh>
    <rPh sb="45" eb="47">
      <t>キサイ</t>
    </rPh>
    <phoneticPr fontId="7"/>
  </si>
  <si>
    <r>
      <t>授業科目名、単位数</t>
    </r>
    <r>
      <rPr>
        <sz val="12"/>
        <rFont val="ＭＳ ゴシック"/>
        <family val="3"/>
        <charset val="128"/>
      </rPr>
      <t>を入力して下さい</t>
    </r>
    <rPh sb="0" eb="5">
      <t>ジュギョウカモクメイ</t>
    </rPh>
    <rPh sb="6" eb="9">
      <t>タンイスウ</t>
    </rPh>
    <rPh sb="10" eb="12">
      <t>ニュウリョク</t>
    </rPh>
    <rPh sb="14" eb="15">
      <t>クダ</t>
    </rPh>
    <phoneticPr fontId="7"/>
  </si>
  <si>
    <r>
      <t>授業科目名、授業内容、シラバス記載ページ、チェック欄</t>
    </r>
    <r>
      <rPr>
        <sz val="12"/>
        <rFont val="ＭＳ ゴシック"/>
        <family val="3"/>
        <charset val="128"/>
      </rPr>
      <t>を入力して下さい</t>
    </r>
    <rPh sb="0" eb="5">
      <t>ジュギョウカモクメイ</t>
    </rPh>
    <rPh sb="6" eb="8">
      <t>ジュギョウ</t>
    </rPh>
    <rPh sb="8" eb="10">
      <t>ナイヨウ</t>
    </rPh>
    <rPh sb="15" eb="17">
      <t>キサイ</t>
    </rPh>
    <rPh sb="25" eb="26">
      <t>ラン</t>
    </rPh>
    <rPh sb="27" eb="29">
      <t>ニュウリョク</t>
    </rPh>
    <rPh sb="31" eb="32">
      <t>クダ</t>
    </rPh>
    <phoneticPr fontId="7"/>
  </si>
  <si>
    <r>
      <t>シラバス記載ページ、チェック欄</t>
    </r>
    <r>
      <rPr>
        <sz val="12"/>
        <rFont val="ＭＳ ゴシック"/>
        <family val="3"/>
        <charset val="128"/>
      </rPr>
      <t>を入力して下さい</t>
    </r>
    <rPh sb="4" eb="6">
      <t>キサイ</t>
    </rPh>
    <rPh sb="14" eb="15">
      <t>ラン</t>
    </rPh>
    <rPh sb="16" eb="18">
      <t>ニュウリョク</t>
    </rPh>
    <rPh sb="20" eb="21">
      <t>クダ</t>
    </rPh>
    <phoneticPr fontId="7"/>
  </si>
  <si>
    <t>５　協議概要（様式６）</t>
    <rPh sb="2" eb="4">
      <t>キョウギ</t>
    </rPh>
    <rPh sb="4" eb="6">
      <t>ガイヨウ</t>
    </rPh>
    <rPh sb="7" eb="9">
      <t>ヨウシキ</t>
    </rPh>
    <phoneticPr fontId="7"/>
  </si>
  <si>
    <t>６　対象年度入学生の学生便覧（履修要綱・シラバスを含む）</t>
    <phoneticPr fontId="7"/>
  </si>
  <si>
    <t>７　対象年度入学生の入学試験における学生募集要領</t>
    <phoneticPr fontId="7"/>
  </si>
  <si>
    <t>８  その他</t>
    <phoneticPr fontId="7"/>
  </si>
  <si>
    <t>集中治療関連</t>
    <rPh sb="0" eb="2">
      <t>シュウチュウ</t>
    </rPh>
    <rPh sb="2" eb="4">
      <t>チリョウ</t>
    </rPh>
    <rPh sb="4" eb="6">
      <t>カンレン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</si>
</sst>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6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b/>
      <sz val="14"/>
      <color rgb="FFC00000"/>
      <name val="ＭＳ Ｐゴシック"/>
      <family val="3"/>
      <charset val="128"/>
    </font>
    <font>
      <sz val="20"/>
      <color indexed="8"/>
      <name val="ＭＳ 明朝"/>
      <family val="1"/>
      <charset val="128"/>
    </font>
    <font>
      <sz val="14"/>
      <color indexed="8"/>
      <name val="ＭＳ 明朝"/>
      <family val="1"/>
      <charset val="128"/>
    </font>
    <font>
      <sz val="26"/>
      <color indexed="8"/>
      <name val="ＭＳ 明朝"/>
      <family val="1"/>
      <charset val="128"/>
    </font>
    <font>
      <sz val="12"/>
      <color indexed="8"/>
      <name val="ＭＳ 明朝"/>
      <family val="1"/>
      <charset val="128"/>
    </font>
    <font>
      <sz val="16"/>
      <color indexed="8"/>
      <name val="ＭＳ 明朝"/>
      <family val="1"/>
      <charset val="128"/>
    </font>
    <font>
      <sz val="16"/>
      <name val="ＭＳ Ｐゴシック"/>
      <family val="3"/>
      <charset val="128"/>
    </font>
    <font>
      <sz val="16"/>
      <name val="ＭＳ 明朝"/>
      <family val="1"/>
      <charset val="128"/>
    </font>
    <font>
      <b/>
      <sz val="14"/>
      <color theme="4" tint="-0.249977111117893"/>
      <name val="ＭＳ Ｐゴシック"/>
      <family val="3"/>
      <charset val="128"/>
    </font>
    <font>
      <sz val="16"/>
      <color rgb="FF000000"/>
      <name val="ＭＳ 明朝"/>
      <family val="1"/>
      <charset val="128"/>
    </font>
    <font>
      <b/>
      <sz val="11"/>
      <color rgb="FFC00000"/>
      <name val="游ゴシック"/>
      <family val="3"/>
      <charset val="128"/>
      <scheme val="minor"/>
    </font>
    <font>
      <b/>
      <sz val="16"/>
      <color rgb="FFFF0000"/>
      <name val="ＭＳ Ｐゴシック"/>
      <family val="3"/>
      <charset val="128"/>
    </font>
    <font>
      <sz val="14"/>
      <color theme="4" tint="-0.249977111117893"/>
      <name val="ＭＳ Ｐゴシック"/>
      <family val="3"/>
      <charset val="128"/>
    </font>
    <font>
      <sz val="14"/>
      <color theme="4" tint="-0.249977111117893"/>
      <name val="ＭＳ 明朝"/>
      <family val="1"/>
      <charset val="128"/>
    </font>
    <font>
      <b/>
      <sz val="12"/>
      <name val="ＭＳ 明朝"/>
      <family val="1"/>
      <charset val="128"/>
    </font>
    <font>
      <sz val="14"/>
      <name val="ＭＳ 明朝"/>
      <family val="1"/>
      <charset val="128"/>
    </font>
    <font>
      <sz val="16"/>
      <color theme="4" tint="-0.249977111117893"/>
      <name val="ＭＳ 明朝"/>
      <family val="1"/>
      <charset val="128"/>
    </font>
    <font>
      <sz val="12"/>
      <color theme="1"/>
      <name val="ＭＳ 明朝"/>
      <family val="1"/>
      <charset val="128"/>
    </font>
    <font>
      <sz val="12"/>
      <color rgb="FF000000"/>
      <name val="ＭＳ 明朝"/>
      <family val="1"/>
      <charset val="128"/>
    </font>
    <font>
      <sz val="14"/>
      <color rgb="FF000000"/>
      <name val="ＭＳ 明朝"/>
      <family val="1"/>
      <charset val="128"/>
    </font>
    <font>
      <sz val="10.5"/>
      <color rgb="FF000000"/>
      <name val="ＭＳ 明朝"/>
      <family val="1"/>
      <charset val="128"/>
    </font>
    <font>
      <sz val="10.5"/>
      <name val="ＭＳ 明朝"/>
      <family val="1"/>
      <charset val="128"/>
    </font>
    <font>
      <sz val="10.5"/>
      <color theme="1"/>
      <name val="Times New Roman"/>
      <family val="1"/>
    </font>
    <font>
      <sz val="11"/>
      <color rgb="FF000000"/>
      <name val="ＭＳ 明朝"/>
      <family val="1"/>
      <charset val="128"/>
    </font>
    <font>
      <sz val="12"/>
      <name val="ＭＳ ゴシック"/>
      <family val="3"/>
      <charset val="128"/>
    </font>
    <font>
      <b/>
      <sz val="12"/>
      <color rgb="FFFF0000"/>
      <name val="ＭＳ ゴシック"/>
      <family val="3"/>
      <charset val="128"/>
    </font>
    <font>
      <sz val="11"/>
      <color theme="1"/>
      <name val="ＭＳ 明朝"/>
      <family val="1"/>
      <charset val="128"/>
    </font>
    <font>
      <sz val="11"/>
      <name val="ＭＳ 明朝"/>
      <family val="1"/>
      <charset val="128"/>
    </font>
    <font>
      <sz val="3"/>
      <name val="ＭＳ Ｐゴシック"/>
      <family val="3"/>
      <charset val="128"/>
    </font>
    <font>
      <sz val="14"/>
      <name val="ＭＳ ゴシック"/>
      <family val="3"/>
      <charset val="128"/>
    </font>
    <font>
      <b/>
      <sz val="14"/>
      <name val="ＭＳ ゴシック"/>
      <family val="3"/>
      <charset val="128"/>
    </font>
    <font>
      <sz val="20"/>
      <name val="ＭＳ ゴシック"/>
      <family val="3"/>
      <charset val="128"/>
    </font>
    <font>
      <b/>
      <sz val="12"/>
      <color theme="4" tint="-0.249977111117893"/>
      <name val="ＭＳ ゴシック"/>
      <family val="3"/>
      <charset val="128"/>
    </font>
    <font>
      <b/>
      <sz val="3"/>
      <color theme="4" tint="-0.249977111117893"/>
      <name val="ＭＳ Ｐゴシック"/>
      <family val="3"/>
      <charset val="128"/>
    </font>
    <font>
      <b/>
      <sz val="11"/>
      <color theme="4" tint="-0.249977111117893"/>
      <name val="ＭＳ Ｐゴシック"/>
      <family val="3"/>
      <charset val="128"/>
    </font>
    <font>
      <sz val="11"/>
      <color theme="4" tint="-0.249977111117893"/>
      <name val="ＭＳ Ｐゴシック"/>
      <family val="3"/>
      <charset val="128"/>
    </font>
    <font>
      <sz val="14"/>
      <name val="HG明朝E"/>
      <family val="1"/>
      <charset val="128"/>
    </font>
    <font>
      <b/>
      <sz val="11"/>
      <color rgb="FFC00000"/>
      <name val="ＭＳ Ｐゴシック"/>
      <family val="3"/>
      <charset val="128"/>
    </font>
    <font>
      <b/>
      <sz val="14"/>
      <color rgb="FFFF0000"/>
      <name val="ＭＳ 明朝"/>
      <family val="1"/>
      <charset val="128"/>
    </font>
    <font>
      <sz val="9"/>
      <name val="ＭＳ Ｐゴシック"/>
      <family val="3"/>
      <charset val="128"/>
    </font>
    <font>
      <sz val="10"/>
      <color theme="1"/>
      <name val="ＭＳ Ｐゴシック"/>
      <family val="3"/>
      <charset val="128"/>
    </font>
    <font>
      <b/>
      <sz val="10"/>
      <color rgb="FFC00000"/>
      <name val="Times New Roman"/>
      <family val="1"/>
    </font>
    <font>
      <b/>
      <sz val="10"/>
      <color theme="4" tint="-0.249977111117893"/>
      <name val="Times New Roman"/>
      <family val="1"/>
    </font>
    <font>
      <sz val="11"/>
      <color theme="1"/>
      <name val="ＭＳ Ｐゴシック"/>
      <family val="3"/>
      <charset val="128"/>
    </font>
    <font>
      <b/>
      <sz val="10"/>
      <color rgb="FFC00000"/>
      <name val="ＭＳ Ｐ明朝"/>
      <family val="1"/>
      <charset val="128"/>
    </font>
    <font>
      <b/>
      <sz val="12"/>
      <color rgb="FFC00000"/>
      <name val="游ゴシック"/>
      <family val="3"/>
      <charset val="128"/>
      <scheme val="minor"/>
    </font>
    <font>
      <b/>
      <sz val="14"/>
      <name val="ＭＳ Ｐゴシック"/>
      <family val="3"/>
      <charset val="128"/>
    </font>
    <font>
      <sz val="9"/>
      <name val="ＭＳ 明朝"/>
      <family val="1"/>
      <charset val="128"/>
    </font>
    <font>
      <sz val="8"/>
      <name val="ＭＳ 明朝"/>
      <family val="1"/>
      <charset val="128"/>
    </font>
    <font>
      <sz val="11"/>
      <color rgb="FFFF0000"/>
      <name val="ＭＳ 明朝"/>
      <family val="1"/>
      <charset val="128"/>
    </font>
    <font>
      <b/>
      <sz val="11"/>
      <color rgb="FFC00000"/>
      <name val="ＭＳ 明朝"/>
      <family val="1"/>
      <charset val="128"/>
    </font>
    <font>
      <b/>
      <sz val="14"/>
      <color rgb="FFC00000"/>
      <name val="ＭＳ 明朝"/>
      <family val="1"/>
      <charset val="128"/>
    </font>
    <font>
      <b/>
      <sz val="11"/>
      <name val="ＭＳ 明朝"/>
      <family val="1"/>
      <charset val="128"/>
    </font>
    <font>
      <b/>
      <sz val="11"/>
      <color rgb="FFFF0000"/>
      <name val="ＭＳ 明朝"/>
      <family val="1"/>
      <charset val="128"/>
    </font>
  </fonts>
  <fills count="10">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0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8"/>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8"/>
      </left>
      <right style="thin">
        <color indexed="64"/>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8"/>
      </right>
      <top style="medium">
        <color indexed="64"/>
      </top>
      <bottom/>
      <diagonal/>
    </border>
    <border>
      <left style="thin">
        <color indexed="64"/>
      </left>
      <right style="thin">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right style="thin">
        <color indexed="8"/>
      </right>
      <top style="medium">
        <color indexed="64"/>
      </top>
      <bottom/>
      <diagonal/>
    </border>
    <border>
      <left/>
      <right style="thin">
        <color indexed="8"/>
      </right>
      <top/>
      <bottom/>
      <diagonal/>
    </border>
    <border>
      <left/>
      <right style="thin">
        <color indexed="8"/>
      </right>
      <top style="medium">
        <color indexed="64"/>
      </top>
      <bottom style="thin">
        <color indexed="64"/>
      </bottom>
      <diagonal/>
    </border>
    <border>
      <left/>
      <right style="thin">
        <color indexed="8"/>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diagonalUp="1">
      <left style="thin">
        <color auto="1"/>
      </left>
      <right style="medium">
        <color indexed="64"/>
      </right>
      <top style="thin">
        <color auto="1"/>
      </top>
      <bottom style="medium">
        <color indexed="64"/>
      </bottom>
      <diagonal style="thin">
        <color auto="1"/>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diagonalUp="1">
      <left style="thin">
        <color auto="1"/>
      </left>
      <right style="medium">
        <color indexed="64"/>
      </right>
      <top style="thin">
        <color auto="1"/>
      </top>
      <bottom style="thin">
        <color indexed="64"/>
      </bottom>
      <diagonal style="thin">
        <color auto="1"/>
      </diagonal>
    </border>
    <border>
      <left style="thin">
        <color indexed="8"/>
      </left>
      <right style="thin">
        <color indexed="64"/>
      </right>
      <top/>
      <bottom style="thin">
        <color indexed="64"/>
      </bottom>
      <diagonal/>
    </border>
    <border>
      <left style="thin">
        <color auto="1"/>
      </left>
      <right/>
      <top/>
      <bottom style="thin">
        <color auto="1"/>
      </bottom>
      <diagonal/>
    </border>
    <border>
      <left style="thin">
        <color indexed="8"/>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medium">
        <color indexed="64"/>
      </top>
      <bottom style="thin">
        <color indexed="64"/>
      </bottom>
      <diagonal/>
    </border>
    <border>
      <left/>
      <right style="thin">
        <color indexed="8"/>
      </right>
      <top/>
      <bottom style="medium">
        <color indexed="64"/>
      </bottom>
      <diagonal/>
    </border>
    <border>
      <left/>
      <right style="medium">
        <color indexed="64"/>
      </right>
      <top/>
      <bottom style="thin">
        <color indexed="64"/>
      </bottom>
      <diagonal/>
    </border>
    <border>
      <left/>
      <right style="thin">
        <color auto="1"/>
      </right>
      <top/>
      <bottom style="thin">
        <color auto="1"/>
      </bottom>
      <diagonal/>
    </border>
    <border>
      <left/>
      <right style="thin">
        <color indexed="8"/>
      </right>
      <top style="thin">
        <color indexed="64"/>
      </top>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8"/>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5" fillId="0" borderId="0"/>
    <xf numFmtId="0" fontId="4" fillId="0" borderId="0">
      <alignment vertical="center"/>
    </xf>
    <xf numFmtId="0" fontId="3" fillId="0" borderId="0">
      <alignment vertical="center"/>
    </xf>
    <xf numFmtId="0" fontId="5" fillId="0" borderId="0">
      <alignment vertical="center"/>
    </xf>
    <xf numFmtId="0" fontId="2" fillId="0" borderId="0">
      <alignment vertical="center"/>
    </xf>
  </cellStyleXfs>
  <cellXfs count="442">
    <xf numFmtId="0" fontId="0" fillId="0" borderId="0" xfId="0">
      <alignment vertical="center"/>
    </xf>
    <xf numFmtId="0" fontId="11"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2" fillId="0" borderId="0" xfId="0" applyFont="1">
      <alignment vertical="center"/>
    </xf>
    <xf numFmtId="0" fontId="13" fillId="0" borderId="0" xfId="0" applyFont="1" applyAlignment="1">
      <alignment horizontal="justify" vertical="center"/>
    </xf>
    <xf numFmtId="0" fontId="27" fillId="0" borderId="0" xfId="0" applyFont="1" applyAlignment="1">
      <alignment vertical="center" wrapText="1"/>
    </xf>
    <xf numFmtId="0" fontId="15" fillId="0" borderId="0" xfId="0" applyFont="1" applyAlignment="1">
      <alignment horizontal="justify" vertical="center"/>
    </xf>
    <xf numFmtId="0" fontId="17" fillId="0" borderId="0" xfId="0" applyFont="1" applyAlignment="1">
      <alignment horizontal="center" vertical="center" shrinkToFit="1"/>
    </xf>
    <xf numFmtId="0" fontId="0" fillId="0" borderId="0" xfId="0" applyAlignment="1">
      <alignment horizontal="center" vertical="center"/>
    </xf>
    <xf numFmtId="0" fontId="11" fillId="0" borderId="0" xfId="0" applyFont="1" applyAlignment="1">
      <alignment horizontal="center" vertical="center"/>
    </xf>
    <xf numFmtId="0" fontId="19"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wrapText="1" shrinkToFit="1"/>
    </xf>
    <xf numFmtId="0" fontId="23" fillId="0" borderId="0" xfId="0" applyFont="1" applyAlignment="1">
      <alignment horizontal="center" vertical="center" shrinkToFit="1"/>
    </xf>
    <xf numFmtId="0" fontId="13" fillId="0" borderId="0" xfId="0" applyFont="1" applyAlignment="1">
      <alignment horizontal="center" vertical="center" shrinkToFit="1"/>
    </xf>
    <xf numFmtId="0" fontId="24" fillId="0" borderId="0" xfId="0" applyFont="1" applyAlignment="1">
      <alignment horizontal="center" vertical="center" shrinkToFit="1"/>
    </xf>
    <xf numFmtId="0" fontId="13" fillId="0" borderId="0" xfId="0" applyFont="1" applyAlignment="1">
      <alignment vertical="center" shrinkToFit="1"/>
    </xf>
    <xf numFmtId="0" fontId="16" fillId="0" borderId="0" xfId="0" applyFont="1" applyAlignment="1">
      <alignment horizontal="center" vertical="center" shrinkToFit="1"/>
    </xf>
    <xf numFmtId="0" fontId="23" fillId="0" borderId="0" xfId="0" applyFont="1">
      <alignment vertical="center"/>
    </xf>
    <xf numFmtId="0" fontId="25" fillId="0" borderId="0" xfId="0" applyFont="1">
      <alignment vertical="center"/>
    </xf>
    <xf numFmtId="0" fontId="25" fillId="0" borderId="0" xfId="0" applyFont="1" applyAlignment="1"/>
    <xf numFmtId="0" fontId="16" fillId="0" borderId="0" xfId="0" applyFont="1" applyAlignment="1">
      <alignment vertical="center" shrinkToFit="1"/>
    </xf>
    <xf numFmtId="0" fontId="16" fillId="0" borderId="0" xfId="0" applyFont="1" applyAlignment="1">
      <alignment horizontal="left" vertical="center" shrinkToFit="1"/>
    </xf>
    <xf numFmtId="0" fontId="26" fillId="0" borderId="0" xfId="0" applyFont="1">
      <alignment vertical="center"/>
    </xf>
    <xf numFmtId="0" fontId="4" fillId="0" borderId="0" xfId="2">
      <alignment vertical="center"/>
    </xf>
    <xf numFmtId="0" fontId="29" fillId="0" borderId="0" xfId="2" applyFont="1" applyAlignment="1">
      <alignment vertical="center" wrapText="1"/>
    </xf>
    <xf numFmtId="0" fontId="31" fillId="0" borderId="2" xfId="2" applyFont="1" applyBorder="1" applyAlignment="1">
      <alignment horizontal="center" vertical="center" wrapText="1"/>
    </xf>
    <xf numFmtId="0" fontId="4" fillId="0" borderId="0" xfId="2" applyAlignment="1">
      <alignment horizontal="center" vertical="center"/>
    </xf>
    <xf numFmtId="0" fontId="32" fillId="0" borderId="8" xfId="2" applyFont="1" applyBorder="1" applyAlignment="1">
      <alignment horizontal="center" vertical="center" wrapText="1"/>
    </xf>
    <xf numFmtId="0" fontId="4" fillId="0" borderId="5" xfId="2" applyBorder="1" applyAlignment="1">
      <alignment horizontal="center" vertical="center" wrapText="1"/>
    </xf>
    <xf numFmtId="0" fontId="32" fillId="0" borderId="0" xfId="2" applyFont="1" applyAlignment="1">
      <alignment horizontal="center" vertical="center"/>
    </xf>
    <xf numFmtId="0" fontId="32" fillId="0" borderId="33" xfId="2" applyFont="1" applyBorder="1" applyAlignment="1">
      <alignment horizontal="center" vertical="center" wrapText="1"/>
    </xf>
    <xf numFmtId="0" fontId="31" fillId="0" borderId="33" xfId="2" applyFont="1" applyBorder="1" applyAlignment="1">
      <alignment horizontal="center" vertical="center" wrapText="1"/>
    </xf>
    <xf numFmtId="0" fontId="32" fillId="0" borderId="18" xfId="2" applyFont="1" applyBorder="1" applyAlignment="1">
      <alignment horizontal="center" vertical="center" wrapText="1"/>
    </xf>
    <xf numFmtId="0" fontId="31" fillId="0" borderId="18" xfId="2" applyFont="1" applyBorder="1" applyAlignment="1">
      <alignment horizontal="center" vertical="center" wrapText="1"/>
    </xf>
    <xf numFmtId="0" fontId="4" fillId="0" borderId="17" xfId="2" applyBorder="1" applyAlignment="1">
      <alignment vertical="center" wrapText="1"/>
    </xf>
    <xf numFmtId="0" fontId="31" fillId="0" borderId="17" xfId="2" applyFont="1" applyBorder="1" applyAlignment="1">
      <alignment horizontal="center" vertical="center" wrapText="1"/>
    </xf>
    <xf numFmtId="0" fontId="32" fillId="0" borderId="17" xfId="2" applyFont="1" applyBorder="1" applyAlignment="1">
      <alignment horizontal="left" vertical="center" wrapText="1"/>
    </xf>
    <xf numFmtId="0" fontId="32" fillId="0" borderId="17" xfId="2" applyFont="1" applyBorder="1" applyAlignment="1">
      <alignment horizontal="center" vertical="center" wrapText="1"/>
    </xf>
    <xf numFmtId="0" fontId="32" fillId="0" borderId="0" xfId="2" applyFont="1" applyAlignment="1">
      <alignment horizontal="left" vertical="center" wrapText="1"/>
    </xf>
    <xf numFmtId="0" fontId="32" fillId="0" borderId="0" xfId="2" applyFont="1" applyAlignment="1">
      <alignment horizontal="right" vertical="center" wrapText="1"/>
    </xf>
    <xf numFmtId="0" fontId="30" fillId="0" borderId="0" xfId="2" applyFont="1" applyAlignment="1">
      <alignment horizontal="center" vertical="center"/>
    </xf>
    <xf numFmtId="0" fontId="33" fillId="0" borderId="0" xfId="2" applyFont="1" applyAlignment="1">
      <alignment horizontal="center" vertical="center" wrapText="1"/>
    </xf>
    <xf numFmtId="0" fontId="30" fillId="0" borderId="0" xfId="2" applyFont="1" applyAlignment="1">
      <alignment horizontal="center" vertical="center" wrapText="1"/>
    </xf>
    <xf numFmtId="0" fontId="34" fillId="0" borderId="0" xfId="2" applyFont="1" applyAlignment="1">
      <alignment horizontal="center" vertical="center"/>
    </xf>
    <xf numFmtId="0" fontId="29" fillId="0" borderId="0" xfId="2" applyFont="1">
      <alignment vertical="center"/>
    </xf>
    <xf numFmtId="0" fontId="21" fillId="0" borderId="0" xfId="2" applyFont="1">
      <alignment vertical="center"/>
    </xf>
    <xf numFmtId="0" fontId="31" fillId="0" borderId="33" xfId="2" applyFont="1" applyBorder="1" applyAlignment="1">
      <alignment horizontal="justify" vertical="center" wrapText="1"/>
    </xf>
    <xf numFmtId="0" fontId="31" fillId="0" borderId="18" xfId="2" applyFont="1" applyBorder="1" applyAlignment="1" applyProtection="1">
      <alignment horizontal="justify" vertical="center" wrapText="1"/>
      <protection locked="0"/>
    </xf>
    <xf numFmtId="0" fontId="31" fillId="0" borderId="18" xfId="2" applyFont="1" applyBorder="1" applyAlignment="1">
      <alignment horizontal="justify" vertical="center" wrapText="1"/>
    </xf>
    <xf numFmtId="0" fontId="32" fillId="0" borderId="0" xfId="2" applyFont="1" applyAlignment="1">
      <alignment horizontal="center" vertical="center" wrapText="1"/>
    </xf>
    <xf numFmtId="0" fontId="4" fillId="0" borderId="28" xfId="2" applyBorder="1">
      <alignment vertical="center"/>
    </xf>
    <xf numFmtId="0" fontId="4" fillId="0" borderId="29" xfId="2" applyBorder="1">
      <alignment vertical="center"/>
    </xf>
    <xf numFmtId="0" fontId="4" fillId="0" borderId="18" xfId="2" applyBorder="1" applyAlignment="1">
      <alignment vertical="center" wrapText="1"/>
    </xf>
    <xf numFmtId="0" fontId="32" fillId="0" borderId="18" xfId="2" applyFont="1" applyBorder="1" applyAlignment="1">
      <alignment horizontal="left" vertical="center" wrapText="1"/>
    </xf>
    <xf numFmtId="0" fontId="4" fillId="0" borderId="23" xfId="2" applyBorder="1">
      <alignment vertical="center"/>
    </xf>
    <xf numFmtId="0" fontId="32" fillId="0" borderId="16" xfId="2" applyFont="1" applyBorder="1" applyAlignment="1">
      <alignment horizontal="center" vertical="center"/>
    </xf>
    <xf numFmtId="0" fontId="32" fillId="0" borderId="16" xfId="2" applyFont="1" applyBorder="1" applyAlignment="1">
      <alignment horizontal="left" vertical="center" wrapText="1"/>
    </xf>
    <xf numFmtId="0" fontId="32" fillId="0" borderId="16" xfId="2" applyFont="1" applyBorder="1" applyAlignment="1">
      <alignment horizontal="right" vertical="center" wrapText="1"/>
    </xf>
    <xf numFmtId="0" fontId="32" fillId="0" borderId="0" xfId="2" applyFont="1" applyAlignment="1">
      <alignment horizontal="left" vertical="center"/>
    </xf>
    <xf numFmtId="0" fontId="31" fillId="0" borderId="0" xfId="2" applyFont="1">
      <alignment vertical="center"/>
    </xf>
    <xf numFmtId="176" fontId="32" fillId="0" borderId="0" xfId="2" applyNumberFormat="1" applyFont="1" applyAlignment="1">
      <alignment horizontal="center" vertical="center" wrapText="1"/>
    </xf>
    <xf numFmtId="0" fontId="31" fillId="0" borderId="0" xfId="0" applyFont="1" applyAlignment="1">
      <alignment horizontal="left" vertical="center" wrapText="1"/>
    </xf>
    <xf numFmtId="176" fontId="32" fillId="0" borderId="34" xfId="2" applyNumberFormat="1" applyFont="1" applyBorder="1" applyAlignment="1">
      <alignment horizontal="center" vertical="center" wrapText="1"/>
    </xf>
    <xf numFmtId="0" fontId="13" fillId="0" borderId="0" xfId="0" applyFont="1" applyAlignment="1">
      <alignment horizontal="center" vertical="center" wrapText="1" shrinkToFit="1"/>
    </xf>
    <xf numFmtId="0" fontId="10" fillId="0" borderId="0" xfId="0" applyFont="1" applyAlignment="1">
      <alignment horizontal="center" vertical="center" shrinkToFit="1"/>
    </xf>
    <xf numFmtId="0" fontId="46" fillId="0" borderId="0" xfId="0" applyFont="1">
      <alignment vertical="center"/>
    </xf>
    <xf numFmtId="0" fontId="41" fillId="0" borderId="0" xfId="0" applyFont="1" applyAlignment="1">
      <alignment horizontal="right" vertical="center" indent="1"/>
    </xf>
    <xf numFmtId="0" fontId="35" fillId="0" borderId="0" xfId="0" applyFont="1">
      <alignment vertical="center"/>
    </xf>
    <xf numFmtId="0" fontId="43" fillId="0" borderId="0" xfId="1" applyFont="1" applyAlignment="1">
      <alignment vertical="center"/>
    </xf>
    <xf numFmtId="0" fontId="5" fillId="0" borderId="0" xfId="0" applyFont="1">
      <alignment vertical="center"/>
    </xf>
    <xf numFmtId="0" fontId="44" fillId="0" borderId="0" xfId="0" applyFont="1">
      <alignment vertical="center"/>
    </xf>
    <xf numFmtId="0" fontId="39"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0" fillId="0" borderId="0" xfId="0" applyAlignment="1">
      <alignment horizontal="left" vertical="center" indent="2"/>
    </xf>
    <xf numFmtId="0" fontId="35" fillId="0" borderId="0" xfId="0" applyFont="1" applyAlignment="1">
      <alignment horizontal="left" vertical="center" indent="2"/>
    </xf>
    <xf numFmtId="0" fontId="0" fillId="0" borderId="15" xfId="0" applyBorder="1" applyAlignment="1">
      <alignment vertical="top"/>
    </xf>
    <xf numFmtId="0" fontId="0" fillId="0" borderId="15" xfId="0" applyBorder="1" applyAlignment="1">
      <alignment horizontal="center" vertical="top"/>
    </xf>
    <xf numFmtId="0" fontId="0" fillId="0" borderId="15" xfId="3" applyFont="1" applyBorder="1" applyAlignment="1">
      <alignment vertical="top" wrapText="1"/>
    </xf>
    <xf numFmtId="0" fontId="0" fillId="0" borderId="0" xfId="3" applyFont="1" applyAlignment="1">
      <alignment vertical="top" wrapText="1"/>
    </xf>
    <xf numFmtId="0" fontId="0" fillId="0" borderId="0" xfId="0" applyAlignment="1">
      <alignment vertical="top"/>
    </xf>
    <xf numFmtId="0" fontId="0" fillId="0" borderId="13" xfId="0"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3" applyFont="1" applyAlignment="1">
      <alignment vertical="center" wrapText="1"/>
    </xf>
    <xf numFmtId="0" fontId="0" fillId="0" borderId="13" xfId="0" applyBorder="1" applyAlignment="1">
      <alignment vertical="top"/>
    </xf>
    <xf numFmtId="0" fontId="51" fillId="0" borderId="0" xfId="0" applyFont="1" applyAlignment="1">
      <alignment horizontal="center" vertical="center"/>
    </xf>
    <xf numFmtId="0" fontId="52" fillId="0" borderId="0" xfId="4" quotePrefix="1" applyFont="1">
      <alignment vertical="center"/>
    </xf>
    <xf numFmtId="0" fontId="53" fillId="0" borderId="26" xfId="4" applyFont="1" applyBorder="1" applyAlignment="1">
      <alignment horizontal="center" vertical="center"/>
    </xf>
    <xf numFmtId="0" fontId="52" fillId="0" borderId="0" xfId="4" applyFont="1">
      <alignment vertical="center"/>
    </xf>
    <xf numFmtId="0" fontId="0" fillId="0" borderId="0" xfId="0" applyAlignment="1">
      <alignment horizontal="left" vertical="center"/>
    </xf>
    <xf numFmtId="0" fontId="21" fillId="0" borderId="0" xfId="2"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2" fillId="4" borderId="0" xfId="2" applyFont="1" applyFill="1" applyAlignment="1">
      <alignment horizontal="left" vertical="center" wrapText="1"/>
    </xf>
    <xf numFmtId="0" fontId="20" fillId="0" borderId="0" xfId="0" applyFont="1" applyAlignment="1">
      <alignment horizontal="center" vertical="center"/>
    </xf>
    <xf numFmtId="0" fontId="16" fillId="0" borderId="0" xfId="0" applyFont="1" applyAlignment="1" applyProtection="1">
      <alignment horizontal="center" vertical="center" shrinkToFit="1"/>
      <protection locked="0"/>
    </xf>
    <xf numFmtId="0" fontId="0" fillId="0" borderId="0" xfId="0" applyAlignment="1">
      <alignment horizontal="center" vertical="center" shrinkToFit="1"/>
    </xf>
    <xf numFmtId="0" fontId="20" fillId="0" borderId="0" xfId="0" applyFont="1">
      <alignment vertical="center"/>
    </xf>
    <xf numFmtId="0" fontId="0" fillId="0" borderId="0" xfId="0" applyAlignment="1">
      <alignment vertical="center" shrinkToFit="1"/>
    </xf>
    <xf numFmtId="0" fontId="20"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5" fillId="0" borderId="0" xfId="0" applyFont="1" applyAlignment="1">
      <alignment vertical="center" wrapText="1"/>
    </xf>
    <xf numFmtId="0" fontId="0" fillId="0" borderId="26" xfId="3" applyFont="1" applyBorder="1" applyAlignment="1">
      <alignment horizontal="center" vertical="center" wrapText="1"/>
    </xf>
    <xf numFmtId="0" fontId="31" fillId="0" borderId="0" xfId="2" applyFont="1" applyAlignment="1">
      <alignment vertical="center" wrapText="1"/>
    </xf>
    <xf numFmtId="0" fontId="34" fillId="0" borderId="0" xfId="2" applyFont="1" applyAlignment="1">
      <alignment vertical="center" wrapText="1"/>
    </xf>
    <xf numFmtId="0" fontId="4" fillId="0" borderId="0" xfId="2" applyAlignment="1">
      <alignment horizontal="left" vertical="center"/>
    </xf>
    <xf numFmtId="0" fontId="21" fillId="0" borderId="0" xfId="2" applyFont="1" applyAlignment="1">
      <alignment horizontal="center" vertical="center"/>
    </xf>
    <xf numFmtId="0" fontId="56" fillId="0" borderId="0" xfId="2" applyFont="1" applyAlignment="1">
      <alignment horizontal="center" vertical="center"/>
    </xf>
    <xf numFmtId="0" fontId="31" fillId="0" borderId="8" xfId="2" applyFont="1" applyBorder="1" applyAlignment="1">
      <alignment horizontal="center" vertical="center" wrapText="1"/>
    </xf>
    <xf numFmtId="0" fontId="20" fillId="0" borderId="0" xfId="0" applyFont="1" applyAlignment="1">
      <alignment horizontal="center" vertical="center" wrapText="1"/>
    </xf>
    <xf numFmtId="0" fontId="18" fillId="0" borderId="0" xfId="0" applyFont="1">
      <alignment vertical="center"/>
    </xf>
    <xf numFmtId="0" fontId="16" fillId="4" borderId="47" xfId="0" applyFont="1" applyFill="1" applyBorder="1" applyAlignment="1" applyProtection="1">
      <alignment horizontal="center" vertical="center" shrinkToFit="1"/>
      <protection locked="0"/>
    </xf>
    <xf numFmtId="0" fontId="16" fillId="4" borderId="48" xfId="0" applyFont="1" applyFill="1" applyBorder="1" applyAlignment="1" applyProtection="1">
      <alignment horizontal="center" vertical="center" shrinkToFit="1"/>
      <protection locked="0"/>
    </xf>
    <xf numFmtId="0" fontId="19" fillId="0" borderId="25" xfId="0" applyFont="1" applyBorder="1" applyAlignment="1">
      <alignment horizontal="center" vertical="center"/>
    </xf>
    <xf numFmtId="0" fontId="16" fillId="0" borderId="50" xfId="0" applyFont="1" applyBorder="1" applyAlignment="1" applyProtection="1">
      <alignment horizontal="center" vertical="center" shrinkToFit="1"/>
      <protection locked="0"/>
    </xf>
    <xf numFmtId="0" fontId="18" fillId="0" borderId="34" xfId="0" applyFont="1" applyBorder="1" applyAlignment="1">
      <alignment horizontal="center" vertical="center" shrinkToFit="1"/>
    </xf>
    <xf numFmtId="0" fontId="18" fillId="0" borderId="59" xfId="0" applyFont="1" applyBorder="1" applyAlignment="1">
      <alignment horizontal="center" vertical="center"/>
    </xf>
    <xf numFmtId="0" fontId="26" fillId="0" borderId="7" xfId="0" applyFont="1" applyBorder="1" applyAlignment="1">
      <alignment vertical="center" shrinkToFit="1"/>
    </xf>
    <xf numFmtId="0" fontId="0" fillId="0" borderId="57" xfId="0" applyBorder="1">
      <alignment vertical="center"/>
    </xf>
    <xf numFmtId="0" fontId="18" fillId="0" borderId="9" xfId="0" applyFont="1" applyBorder="1" applyAlignment="1">
      <alignment horizontal="center" vertical="center"/>
    </xf>
    <xf numFmtId="0" fontId="18" fillId="0" borderId="60" xfId="0" applyFont="1" applyBorder="1" applyAlignment="1">
      <alignment horizontal="center" vertical="center"/>
    </xf>
    <xf numFmtId="0" fontId="26" fillId="0" borderId="0" xfId="0" applyFont="1" applyAlignment="1">
      <alignment horizontal="left" vertical="center"/>
    </xf>
    <xf numFmtId="0" fontId="13" fillId="0" borderId="0" xfId="0" applyFont="1" applyProtection="1">
      <alignment vertical="center"/>
      <protection locked="0"/>
    </xf>
    <xf numFmtId="0" fontId="13" fillId="0" borderId="0" xfId="0" applyFont="1" applyAlignment="1" applyProtection="1">
      <alignment vertical="center" shrinkToFit="1"/>
      <protection locked="0"/>
    </xf>
    <xf numFmtId="0" fontId="13" fillId="0" borderId="0" xfId="0" applyFont="1" applyAlignment="1" applyProtection="1">
      <alignment horizontal="left" vertical="center" shrinkToFit="1"/>
      <protection locked="0"/>
    </xf>
    <xf numFmtId="0" fontId="57" fillId="0" borderId="0" xfId="0" applyFont="1" applyAlignment="1">
      <alignment horizontal="left" vertical="center"/>
    </xf>
    <xf numFmtId="0" fontId="20" fillId="0" borderId="0" xfId="0" applyFont="1" applyAlignment="1">
      <alignment vertical="center" shrinkToFit="1"/>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0" fillId="0" borderId="38" xfId="0" applyFont="1" applyBorder="1">
      <alignment vertical="center"/>
    </xf>
    <xf numFmtId="0" fontId="0" fillId="0" borderId="56" xfId="0" applyBorder="1">
      <alignment vertical="center"/>
    </xf>
    <xf numFmtId="0" fontId="0" fillId="0" borderId="55" xfId="0" applyBorder="1">
      <alignment vertical="center"/>
    </xf>
    <xf numFmtId="0" fontId="0" fillId="0" borderId="26" xfId="0" applyBorder="1">
      <alignment vertical="center"/>
    </xf>
    <xf numFmtId="0" fontId="10" fillId="0" borderId="54" xfId="0" applyFont="1" applyBorder="1">
      <alignment vertical="center"/>
    </xf>
    <xf numFmtId="0" fontId="16" fillId="4" borderId="3" xfId="0" applyFont="1" applyFill="1" applyBorder="1" applyAlignment="1" applyProtection="1">
      <alignment horizontal="center" vertical="center" shrinkToFit="1"/>
      <protection locked="0"/>
    </xf>
    <xf numFmtId="0" fontId="16" fillId="4" borderId="24" xfId="0" applyFont="1" applyFill="1" applyBorder="1" applyAlignment="1" applyProtection="1">
      <alignment horizontal="center" vertical="center" shrinkToFit="1"/>
      <protection locked="0"/>
    </xf>
    <xf numFmtId="0" fontId="16" fillId="4" borderId="44" xfId="0" applyFont="1" applyFill="1" applyBorder="1" applyAlignment="1" applyProtection="1">
      <alignment horizontal="center" vertical="center" shrinkToFit="1"/>
      <protection locked="0"/>
    </xf>
    <xf numFmtId="0" fontId="16" fillId="4" borderId="45" xfId="0" applyFont="1" applyFill="1" applyBorder="1" applyAlignment="1" applyProtection="1">
      <alignment horizontal="center" vertical="center" shrinkToFit="1"/>
      <protection locked="0"/>
    </xf>
    <xf numFmtId="0" fontId="16" fillId="4" borderId="46" xfId="0" applyFont="1" applyFill="1" applyBorder="1" applyAlignment="1" applyProtection="1">
      <alignment horizontal="center" vertical="center" shrinkToFit="1"/>
      <protection locked="0"/>
    </xf>
    <xf numFmtId="0" fontId="16" fillId="4" borderId="43" xfId="0" applyFont="1" applyFill="1" applyBorder="1" applyAlignment="1" applyProtection="1">
      <alignment horizontal="center" vertical="center" shrinkToFit="1"/>
      <protection locked="0"/>
    </xf>
    <xf numFmtId="0" fontId="16" fillId="0" borderId="0" xfId="0" applyFont="1" applyAlignment="1">
      <alignment horizontal="center" vertical="center" wrapText="1" shrinkToFit="1"/>
    </xf>
    <xf numFmtId="0" fontId="13" fillId="0" borderId="0" xfId="0" applyFont="1" applyAlignment="1">
      <alignment vertical="center" wrapText="1" shrinkToFit="1"/>
    </xf>
    <xf numFmtId="0" fontId="16" fillId="4" borderId="64" xfId="0" applyFont="1" applyFill="1" applyBorder="1" applyAlignment="1" applyProtection="1">
      <alignment horizontal="center" vertical="center" shrinkToFit="1"/>
      <protection locked="0"/>
    </xf>
    <xf numFmtId="0" fontId="16" fillId="4" borderId="66" xfId="0" applyFont="1" applyFill="1" applyBorder="1" applyAlignment="1" applyProtection="1">
      <alignment horizontal="center" vertical="center" shrinkToFit="1"/>
      <protection locked="0"/>
    </xf>
    <xf numFmtId="0" fontId="16" fillId="4" borderId="56" xfId="0" applyFont="1" applyFill="1" applyBorder="1" applyAlignment="1" applyProtection="1">
      <alignment horizontal="center" vertical="center" shrinkToFit="1"/>
      <protection locked="0"/>
    </xf>
    <xf numFmtId="0" fontId="17" fillId="0" borderId="8" xfId="0" applyFont="1" applyBorder="1" applyAlignment="1">
      <alignment horizontal="center" vertical="center" shrinkToFit="1"/>
    </xf>
    <xf numFmtId="0" fontId="16" fillId="4" borderId="41" xfId="0" applyFont="1" applyFill="1" applyBorder="1" applyAlignment="1" applyProtection="1">
      <alignment horizontal="center" vertical="center" shrinkToFit="1"/>
      <protection locked="0"/>
    </xf>
    <xf numFmtId="0" fontId="16" fillId="4" borderId="69" xfId="0" applyFont="1" applyFill="1" applyBorder="1" applyAlignment="1" applyProtection="1">
      <alignment horizontal="center" vertical="center" shrinkToFit="1"/>
      <protection locked="0"/>
    </xf>
    <xf numFmtId="0" fontId="16" fillId="4" borderId="67" xfId="0" applyFont="1" applyFill="1" applyBorder="1" applyAlignment="1" applyProtection="1">
      <alignment horizontal="center" vertical="center" shrinkToFit="1"/>
      <protection locked="0"/>
    </xf>
    <xf numFmtId="0" fontId="16" fillId="4" borderId="70" xfId="0" applyFont="1" applyFill="1" applyBorder="1" applyAlignment="1" applyProtection="1">
      <alignment horizontal="center" vertical="center" shrinkToFit="1"/>
      <protection locked="0"/>
    </xf>
    <xf numFmtId="0" fontId="16" fillId="4" borderId="71" xfId="0" applyFont="1" applyFill="1" applyBorder="1" applyAlignment="1" applyProtection="1">
      <alignment horizontal="center" vertical="center" shrinkToFit="1"/>
      <protection locked="0"/>
    </xf>
    <xf numFmtId="0" fontId="16" fillId="4" borderId="68" xfId="0" applyFont="1" applyFill="1" applyBorder="1" applyAlignment="1" applyProtection="1">
      <alignment horizontal="center" vertical="center" shrinkToFit="1"/>
      <protection locked="0"/>
    </xf>
    <xf numFmtId="0" fontId="16" fillId="4" borderId="72" xfId="0" applyFont="1" applyFill="1" applyBorder="1" applyAlignment="1" applyProtection="1">
      <alignment horizontal="center" vertical="center" shrinkToFit="1"/>
      <protection locked="0"/>
    </xf>
    <xf numFmtId="0" fontId="16" fillId="4" borderId="73" xfId="0" applyFont="1" applyFill="1" applyBorder="1" applyAlignment="1" applyProtection="1">
      <alignment horizontal="center" vertical="center" shrinkToFit="1"/>
      <protection locked="0"/>
    </xf>
    <xf numFmtId="0" fontId="18" fillId="0" borderId="14" xfId="0" applyFont="1" applyBorder="1" applyAlignment="1">
      <alignment horizontal="center" vertical="center" shrinkToFit="1"/>
    </xf>
    <xf numFmtId="0" fontId="16" fillId="4" borderId="76" xfId="0" applyFont="1" applyFill="1" applyBorder="1" applyAlignment="1" applyProtection="1">
      <alignment horizontal="center" vertical="center" shrinkToFit="1"/>
      <protection locked="0"/>
    </xf>
    <xf numFmtId="0" fontId="16" fillId="4" borderId="77" xfId="0" applyFont="1" applyFill="1" applyBorder="1" applyAlignment="1" applyProtection="1">
      <alignment horizontal="center" vertical="center" shrinkToFit="1"/>
      <protection locked="0"/>
    </xf>
    <xf numFmtId="0" fontId="16" fillId="4" borderId="78" xfId="0" applyFont="1" applyFill="1" applyBorder="1" applyAlignment="1" applyProtection="1">
      <alignment horizontal="center" vertical="center" shrinkToFit="1"/>
      <protection locked="0"/>
    </xf>
    <xf numFmtId="0" fontId="16" fillId="4" borderId="79" xfId="0" applyFont="1" applyFill="1" applyBorder="1" applyAlignment="1" applyProtection="1">
      <alignment horizontal="center" vertical="center" shrinkToFit="1"/>
      <protection locked="0"/>
    </xf>
    <xf numFmtId="0" fontId="16" fillId="4" borderId="75" xfId="0" applyFont="1" applyFill="1" applyBorder="1" applyAlignment="1" applyProtection="1">
      <alignment horizontal="center" vertical="center" shrinkToFit="1"/>
      <protection locked="0"/>
    </xf>
    <xf numFmtId="0" fontId="16" fillId="4" borderId="80" xfId="0" applyFont="1" applyFill="1" applyBorder="1" applyAlignment="1" applyProtection="1">
      <alignment horizontal="center" vertical="center" shrinkToFit="1"/>
      <protection locked="0"/>
    </xf>
    <xf numFmtId="0" fontId="16" fillId="4" borderId="81" xfId="0" applyFont="1" applyFill="1" applyBorder="1" applyAlignment="1" applyProtection="1">
      <alignment horizontal="center" vertical="center" shrinkToFit="1"/>
      <protection locked="0"/>
    </xf>
    <xf numFmtId="0" fontId="16" fillId="4" borderId="82" xfId="0" applyFont="1" applyFill="1" applyBorder="1" applyAlignment="1" applyProtection="1">
      <alignment horizontal="center" vertical="center" shrinkToFit="1"/>
      <protection locked="0"/>
    </xf>
    <xf numFmtId="0" fontId="16" fillId="4" borderId="83" xfId="0" applyFont="1" applyFill="1" applyBorder="1" applyAlignment="1" applyProtection="1">
      <alignment horizontal="center" vertical="center" shrinkToFit="1"/>
      <protection locked="0"/>
    </xf>
    <xf numFmtId="0" fontId="16" fillId="4" borderId="84" xfId="0" applyFont="1" applyFill="1" applyBorder="1" applyAlignment="1" applyProtection="1">
      <alignment horizontal="center" vertical="center" shrinkToFit="1"/>
      <protection locked="0"/>
    </xf>
    <xf numFmtId="0" fontId="32" fillId="0" borderId="17" xfId="2" applyFont="1" applyBorder="1" applyAlignment="1" applyProtection="1">
      <alignment horizontal="left" vertical="center" wrapText="1"/>
      <protection locked="0"/>
    </xf>
    <xf numFmtId="0" fontId="32" fillId="0" borderId="17" xfId="2" applyFont="1" applyBorder="1" applyAlignment="1" applyProtection="1">
      <alignment horizontal="center" vertical="center" wrapText="1"/>
      <protection locked="0"/>
    </xf>
    <xf numFmtId="0" fontId="1" fillId="0" borderId="0" xfId="2" applyFont="1">
      <alignment vertical="center"/>
    </xf>
    <xf numFmtId="0" fontId="16" fillId="4" borderId="61" xfId="0" applyFont="1" applyFill="1" applyBorder="1" applyAlignment="1" applyProtection="1">
      <alignment horizontal="center" vertical="center" shrinkToFit="1"/>
      <protection locked="0"/>
    </xf>
    <xf numFmtId="0" fontId="16" fillId="4" borderId="85" xfId="0" applyFont="1" applyFill="1" applyBorder="1" applyAlignment="1" applyProtection="1">
      <alignment horizontal="center" vertical="center" shrinkToFit="1"/>
      <protection locked="0"/>
    </xf>
    <xf numFmtId="0" fontId="16" fillId="4" borderId="86" xfId="0" applyFont="1" applyFill="1" applyBorder="1" applyAlignment="1" applyProtection="1">
      <alignment horizontal="center" vertical="center" shrinkToFit="1"/>
      <protection locked="0"/>
    </xf>
    <xf numFmtId="0" fontId="16" fillId="4" borderId="87" xfId="0" applyFont="1" applyFill="1" applyBorder="1" applyAlignment="1" applyProtection="1">
      <alignment horizontal="center" vertical="center" shrinkToFit="1"/>
      <protection locked="0"/>
    </xf>
    <xf numFmtId="0" fontId="18" fillId="0" borderId="87" xfId="0" applyFont="1" applyBorder="1" applyAlignment="1">
      <alignment horizontal="center" vertical="center"/>
    </xf>
    <xf numFmtId="0" fontId="18" fillId="0" borderId="83" xfId="0" applyFont="1" applyBorder="1" applyAlignment="1">
      <alignment vertical="center" shrinkToFit="1"/>
    </xf>
    <xf numFmtId="0" fontId="18" fillId="0" borderId="83" xfId="0" applyFont="1" applyBorder="1">
      <alignment vertical="center"/>
    </xf>
    <xf numFmtId="0" fontId="16" fillId="0" borderId="83" xfId="0" applyFont="1" applyBorder="1" applyAlignment="1">
      <alignment horizontal="left" vertical="center" shrinkToFit="1"/>
    </xf>
    <xf numFmtId="0" fontId="18" fillId="0" borderId="78" xfId="0" applyFont="1" applyBorder="1" applyAlignment="1">
      <alignment horizontal="left" vertical="center"/>
    </xf>
    <xf numFmtId="0" fontId="0" fillId="0" borderId="0" xfId="0" applyAlignment="1">
      <alignment horizontal="right" vertical="center"/>
    </xf>
    <xf numFmtId="0" fontId="14" fillId="0" borderId="54" xfId="0" applyFont="1" applyBorder="1">
      <alignment vertical="center"/>
    </xf>
    <xf numFmtId="0" fontId="14" fillId="0" borderId="57" xfId="0" applyFont="1" applyBorder="1">
      <alignment vertical="center"/>
    </xf>
    <xf numFmtId="0" fontId="14" fillId="0" borderId="57"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54" xfId="0" applyFont="1" applyBorder="1" applyAlignment="1">
      <alignment vertical="center" wrapText="1"/>
    </xf>
    <xf numFmtId="0" fontId="0" fillId="0" borderId="57" xfId="0" applyBorder="1" applyAlignment="1">
      <alignment horizontal="center" vertical="center"/>
    </xf>
    <xf numFmtId="0" fontId="0" fillId="0" borderId="80" xfId="0" applyBorder="1" applyAlignment="1">
      <alignment horizontal="center" vertical="center"/>
    </xf>
    <xf numFmtId="0" fontId="16" fillId="4" borderId="99" xfId="0" applyFont="1" applyFill="1" applyBorder="1" applyAlignment="1" applyProtection="1">
      <alignment horizontal="center" vertical="center" shrinkToFit="1"/>
      <protection locked="0"/>
    </xf>
    <xf numFmtId="0" fontId="10" fillId="0" borderId="57" xfId="0" applyFont="1" applyBorder="1">
      <alignment vertical="center"/>
    </xf>
    <xf numFmtId="0" fontId="10" fillId="0" borderId="80" xfId="0" applyFont="1" applyBorder="1">
      <alignment vertical="center"/>
    </xf>
    <xf numFmtId="0" fontId="16" fillId="0" borderId="57" xfId="0" applyFont="1" applyBorder="1" applyAlignment="1">
      <alignment horizontal="center" vertical="center" shrinkToFit="1"/>
    </xf>
    <xf numFmtId="0" fontId="16" fillId="4" borderId="25" xfId="0" applyFont="1" applyFill="1" applyBorder="1" applyAlignment="1" applyProtection="1">
      <alignment horizontal="center" vertical="center" shrinkToFit="1"/>
      <protection locked="0"/>
    </xf>
    <xf numFmtId="0" fontId="11" fillId="0" borderId="83" xfId="0" applyFont="1" applyBorder="1" applyAlignment="1">
      <alignment horizontal="center" vertical="center"/>
    </xf>
    <xf numFmtId="0" fontId="0" fillId="0" borderId="83" xfId="0" applyBorder="1" applyAlignment="1">
      <alignment horizontal="center" vertical="center"/>
    </xf>
    <xf numFmtId="0" fontId="26" fillId="0" borderId="87" xfId="0" applyFont="1" applyBorder="1">
      <alignment vertical="center"/>
    </xf>
    <xf numFmtId="0" fontId="18" fillId="4" borderId="83" xfId="0" applyFont="1" applyFill="1" applyBorder="1" applyAlignment="1" applyProtection="1">
      <alignment horizontal="center" vertical="center"/>
      <protection locked="0"/>
    </xf>
    <xf numFmtId="0" fontId="0" fillId="0" borderId="80" xfId="0" applyBorder="1">
      <alignment vertical="center"/>
    </xf>
    <xf numFmtId="0" fontId="10" fillId="0" borderId="65" xfId="0" applyFont="1" applyBorder="1">
      <alignment vertical="center"/>
    </xf>
    <xf numFmtId="0" fontId="0" fillId="0" borderId="75" xfId="0" applyBorder="1">
      <alignment vertical="center"/>
    </xf>
    <xf numFmtId="0" fontId="18" fillId="4" borderId="78" xfId="0" applyFont="1" applyFill="1" applyBorder="1" applyAlignment="1" applyProtection="1">
      <alignment horizontal="center" vertical="center"/>
      <protection locked="0"/>
    </xf>
    <xf numFmtId="0" fontId="0" fillId="0" borderId="65" xfId="3" applyFont="1" applyBorder="1" applyAlignment="1">
      <alignment horizontal="center" vertical="center" wrapText="1"/>
    </xf>
    <xf numFmtId="0" fontId="0" fillId="0" borderId="75" xfId="3" applyFont="1" applyBorder="1" applyAlignment="1">
      <alignment horizontal="center" vertical="center" wrapText="1"/>
    </xf>
    <xf numFmtId="0" fontId="0" fillId="0" borderId="84" xfId="0" applyBorder="1" applyAlignment="1">
      <alignment horizontal="center" vertical="center" wrapText="1"/>
    </xf>
    <xf numFmtId="0" fontId="50" fillId="0" borderId="83" xfId="0" applyFont="1" applyBorder="1" applyAlignment="1">
      <alignment horizontal="center" vertical="center" wrapText="1"/>
    </xf>
    <xf numFmtId="0" fontId="54" fillId="6" borderId="87" xfId="0" applyFont="1" applyFill="1" applyBorder="1">
      <alignment vertical="center"/>
    </xf>
    <xf numFmtId="0" fontId="54" fillId="5" borderId="87" xfId="0" applyFont="1" applyFill="1" applyBorder="1">
      <alignment vertical="center"/>
    </xf>
    <xf numFmtId="0" fontId="0" fillId="7" borderId="83" xfId="0" applyFill="1" applyBorder="1" applyAlignment="1">
      <alignment horizontal="center" vertical="center"/>
    </xf>
    <xf numFmtId="0" fontId="42" fillId="0" borderId="83" xfId="1" applyFont="1" applyBorder="1" applyAlignment="1">
      <alignment horizontal="center" vertical="center" wrapText="1"/>
    </xf>
    <xf numFmtId="0" fontId="40" fillId="0" borderId="83" xfId="1" applyFont="1" applyBorder="1" applyAlignment="1">
      <alignment horizontal="center" vertical="center" wrapText="1"/>
    </xf>
    <xf numFmtId="0" fontId="0" fillId="0" borderId="100" xfId="0" applyBorder="1" applyAlignment="1">
      <alignment horizontal="center" vertical="center"/>
    </xf>
    <xf numFmtId="0" fontId="11" fillId="0" borderId="100" xfId="0" applyFont="1" applyBorder="1" applyAlignment="1">
      <alignment horizontal="center" vertical="center"/>
    </xf>
    <xf numFmtId="0" fontId="10" fillId="0" borderId="100" xfId="0" applyFont="1" applyBorder="1">
      <alignment vertical="center"/>
    </xf>
    <xf numFmtId="0" fontId="38" fillId="7" borderId="0" xfId="0" applyFont="1" applyFill="1" applyAlignment="1">
      <alignment vertical="top"/>
    </xf>
    <xf numFmtId="0" fontId="38" fillId="0" borderId="0" xfId="0" applyFont="1" applyAlignment="1">
      <alignment vertical="top"/>
    </xf>
    <xf numFmtId="0" fontId="38" fillId="7" borderId="0" xfId="0" applyFont="1" applyFill="1" applyAlignment="1">
      <alignment vertical="top" wrapText="1"/>
    </xf>
    <xf numFmtId="0" fontId="38" fillId="9" borderId="39" xfId="0" applyFont="1" applyFill="1" applyBorder="1" applyAlignment="1">
      <alignment horizontal="center" vertical="center"/>
    </xf>
    <xf numFmtId="0" fontId="38" fillId="9" borderId="89" xfId="0" applyFont="1" applyFill="1" applyBorder="1" applyAlignment="1">
      <alignment horizontal="center" vertical="center"/>
    </xf>
    <xf numFmtId="0" fontId="58" fillId="9" borderId="50" xfId="0" applyFont="1" applyFill="1" applyBorder="1" applyAlignment="1">
      <alignment horizontal="center" vertical="center" wrapText="1"/>
    </xf>
    <xf numFmtId="0" fontId="59" fillId="9" borderId="4" xfId="0" applyFont="1" applyFill="1" applyBorder="1" applyAlignment="1">
      <alignment horizontal="center" vertical="center" wrapText="1"/>
    </xf>
    <xf numFmtId="0" fontId="38" fillId="9" borderId="90" xfId="0" applyFont="1" applyFill="1" applyBorder="1" applyAlignment="1">
      <alignment horizontal="center" vertical="center"/>
    </xf>
    <xf numFmtId="0" fontId="38" fillId="9" borderId="92" xfId="0" applyFont="1" applyFill="1" applyBorder="1" applyAlignment="1">
      <alignment horizontal="center" vertical="center" wrapText="1"/>
    </xf>
    <xf numFmtId="0" fontId="58" fillId="9" borderId="92" xfId="0" applyFont="1" applyFill="1" applyBorder="1" applyAlignment="1">
      <alignment horizontal="center" vertical="center" wrapText="1"/>
    </xf>
    <xf numFmtId="0" fontId="59" fillId="9" borderId="91" xfId="0" applyFont="1" applyFill="1" applyBorder="1" applyAlignment="1">
      <alignment horizontal="center" vertical="center" wrapText="1"/>
    </xf>
    <xf numFmtId="0" fontId="38" fillId="0" borderId="0" xfId="0" applyFont="1" applyAlignment="1">
      <alignment horizontal="center" vertical="center"/>
    </xf>
    <xf numFmtId="0" fontId="38" fillId="7" borderId="93" xfId="0" applyFont="1" applyFill="1" applyBorder="1" applyAlignment="1">
      <alignment vertical="center" wrapText="1"/>
    </xf>
    <xf numFmtId="0" fontId="38" fillId="7" borderId="50" xfId="0" applyFont="1" applyFill="1" applyBorder="1">
      <alignment vertical="center"/>
    </xf>
    <xf numFmtId="0" fontId="61" fillId="7" borderId="0" xfId="0" applyFont="1" applyFill="1" applyAlignment="1">
      <alignment horizontal="center" vertical="center"/>
    </xf>
    <xf numFmtId="0" fontId="38" fillId="7" borderId="12" xfId="0" applyFont="1" applyFill="1" applyBorder="1">
      <alignment vertical="center"/>
    </xf>
    <xf numFmtId="0" fontId="38" fillId="7" borderId="84" xfId="0" applyFont="1" applyFill="1" applyBorder="1" applyAlignment="1">
      <alignment vertical="center" wrapText="1"/>
    </xf>
    <xf numFmtId="0" fontId="61" fillId="0" borderId="0" xfId="0" applyFont="1" applyAlignment="1">
      <alignment horizontal="center" vertical="center"/>
    </xf>
    <xf numFmtId="0" fontId="38" fillId="7" borderId="83" xfId="0" applyFont="1" applyFill="1" applyBorder="1" applyAlignment="1">
      <alignment vertical="center" wrapText="1"/>
    </xf>
    <xf numFmtId="0" fontId="38" fillId="7" borderId="15" xfId="0" applyFont="1" applyFill="1" applyBorder="1" applyAlignment="1">
      <alignment vertical="center" wrapText="1"/>
    </xf>
    <xf numFmtId="0" fontId="38" fillId="7" borderId="87" xfId="0" applyFont="1" applyFill="1" applyBorder="1" applyAlignment="1">
      <alignment vertical="center" wrapText="1"/>
    </xf>
    <xf numFmtId="0" fontId="38" fillId="7" borderId="40" xfId="0" applyFont="1" applyFill="1" applyBorder="1" applyAlignment="1">
      <alignment vertical="center" wrapText="1"/>
    </xf>
    <xf numFmtId="0" fontId="38" fillId="7" borderId="95" xfId="0" applyFont="1" applyFill="1" applyBorder="1">
      <alignment vertical="center"/>
    </xf>
    <xf numFmtId="0" fontId="38" fillId="7" borderId="40" xfId="0" applyFont="1" applyFill="1" applyBorder="1">
      <alignment vertical="center"/>
    </xf>
    <xf numFmtId="0" fontId="38" fillId="7" borderId="78" xfId="0" applyFont="1" applyFill="1" applyBorder="1" applyAlignment="1">
      <alignment vertical="center" wrapText="1"/>
    </xf>
    <xf numFmtId="0" fontId="38" fillId="7" borderId="50" xfId="0" applyFont="1" applyFill="1" applyBorder="1" applyAlignment="1">
      <alignment vertical="center" wrapText="1"/>
    </xf>
    <xf numFmtId="0" fontId="38" fillId="7" borderId="95" xfId="0" applyFont="1" applyFill="1" applyBorder="1" applyAlignment="1">
      <alignment vertical="center" wrapText="1"/>
    </xf>
    <xf numFmtId="0" fontId="38" fillId="0" borderId="0" xfId="0" applyFont="1" applyAlignment="1">
      <alignment vertical="top" wrapText="1"/>
    </xf>
    <xf numFmtId="0" fontId="38" fillId="7" borderId="12" xfId="0" applyFont="1" applyFill="1" applyBorder="1" applyAlignment="1">
      <alignment horizontal="left" vertical="center"/>
    </xf>
    <xf numFmtId="0" fontId="38" fillId="7" borderId="39" xfId="0" applyFont="1" applyFill="1" applyBorder="1" applyAlignment="1">
      <alignment horizontal="left" vertical="center"/>
    </xf>
    <xf numFmtId="0" fontId="62" fillId="0" borderId="1" xfId="0" applyFont="1" applyBorder="1" applyAlignment="1">
      <alignment horizontal="center" vertical="center"/>
    </xf>
    <xf numFmtId="0" fontId="26" fillId="0" borderId="0" xfId="0" applyFont="1" applyAlignment="1">
      <alignment horizontal="center" vertical="center"/>
    </xf>
    <xf numFmtId="0" fontId="38" fillId="0" borderId="0" xfId="0" applyFont="1" applyAlignment="1">
      <alignment horizontal="center" vertical="center" wrapText="1"/>
    </xf>
    <xf numFmtId="0" fontId="38" fillId="0" borderId="16" xfId="0" applyFont="1" applyBorder="1" applyAlignment="1">
      <alignment horizontal="center" vertical="center" wrapText="1"/>
    </xf>
    <xf numFmtId="0" fontId="38" fillId="2"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0" borderId="2" xfId="0" applyFont="1" applyBorder="1" applyAlignment="1">
      <alignment horizontal="center" vertical="center"/>
    </xf>
    <xf numFmtId="0" fontId="38" fillId="0" borderId="22" xfId="0" applyFont="1" applyBorder="1" applyAlignment="1">
      <alignment vertical="center" wrapText="1"/>
    </xf>
    <xf numFmtId="0" fontId="38" fillId="0" borderId="22" xfId="0" applyFont="1" applyBorder="1" applyAlignment="1">
      <alignment horizontal="center" vertical="center" wrapText="1"/>
    </xf>
    <xf numFmtId="0" fontId="38" fillId="4" borderId="22" xfId="0" applyFont="1" applyFill="1" applyBorder="1" applyAlignment="1" applyProtection="1">
      <alignment vertical="center" wrapText="1"/>
      <protection locked="0"/>
    </xf>
    <xf numFmtId="0" fontId="38" fillId="4" borderId="22" xfId="0" applyFont="1" applyFill="1" applyBorder="1" applyProtection="1">
      <alignment vertical="center"/>
      <protection locked="0"/>
    </xf>
    <xf numFmtId="0" fontId="38" fillId="0" borderId="37" xfId="0" applyFont="1" applyBorder="1">
      <alignment vertical="center"/>
    </xf>
    <xf numFmtId="0" fontId="38" fillId="0" borderId="27" xfId="0" applyFont="1" applyBorder="1">
      <alignment vertical="center"/>
    </xf>
    <xf numFmtId="0" fontId="38" fillId="0" borderId="11" xfId="0" applyFont="1" applyBorder="1">
      <alignment vertical="center"/>
    </xf>
    <xf numFmtId="0" fontId="38" fillId="8" borderId="0" xfId="0" applyFont="1" applyFill="1">
      <alignment vertical="center"/>
    </xf>
    <xf numFmtId="0" fontId="38" fillId="0" borderId="8" xfId="0" applyFont="1" applyBorder="1" applyAlignment="1">
      <alignment horizontal="center" vertical="center"/>
    </xf>
    <xf numFmtId="0" fontId="38" fillId="0" borderId="20" xfId="0" applyFont="1" applyBorder="1" applyAlignment="1">
      <alignment vertical="center" wrapText="1"/>
    </xf>
    <xf numFmtId="0" fontId="38" fillId="0" borderId="20" xfId="0" applyFont="1" applyBorder="1" applyAlignment="1">
      <alignment horizontal="center" vertical="center" wrapText="1"/>
    </xf>
    <xf numFmtId="0" fontId="38" fillId="4" borderId="20" xfId="0" applyFont="1" applyFill="1" applyBorder="1" applyAlignment="1" applyProtection="1">
      <alignment vertical="center" wrapText="1"/>
      <protection locked="0"/>
    </xf>
    <xf numFmtId="0" fontId="38" fillId="4" borderId="20" xfId="0" applyFont="1" applyFill="1" applyBorder="1" applyProtection="1">
      <alignment vertical="center"/>
      <protection locked="0"/>
    </xf>
    <xf numFmtId="0" fontId="38" fillId="0" borderId="100" xfId="0" applyFont="1" applyBorder="1">
      <alignment vertical="center"/>
    </xf>
    <xf numFmtId="0" fontId="38" fillId="0" borderId="57" xfId="0" applyFont="1" applyBorder="1">
      <alignment vertical="center"/>
    </xf>
    <xf numFmtId="0" fontId="38" fillId="0" borderId="80" xfId="0" applyFont="1" applyBorder="1">
      <alignment vertical="center"/>
    </xf>
    <xf numFmtId="0" fontId="38" fillId="0" borderId="8" xfId="0" applyFont="1" applyBorder="1" applyAlignment="1">
      <alignment horizontal="center" vertical="center" wrapText="1"/>
    </xf>
    <xf numFmtId="0" fontId="38" fillId="4" borderId="0" xfId="0" applyFont="1" applyFill="1" applyAlignment="1" applyProtection="1">
      <alignment vertical="center" wrapText="1"/>
      <protection locked="0"/>
    </xf>
    <xf numFmtId="0" fontId="38" fillId="0" borderId="5" xfId="0" applyFont="1" applyBorder="1" applyAlignment="1">
      <alignment horizontal="center" vertical="center" wrapText="1"/>
    </xf>
    <xf numFmtId="0" fontId="38" fillId="0" borderId="21" xfId="0" applyFont="1" applyBorder="1" applyAlignment="1">
      <alignment vertical="center" wrapText="1"/>
    </xf>
    <xf numFmtId="0" fontId="38" fillId="0" borderId="21" xfId="0" applyFont="1" applyBorder="1" applyAlignment="1">
      <alignment horizontal="center" vertical="center" wrapText="1"/>
    </xf>
    <xf numFmtId="0" fontId="38" fillId="4" borderId="21" xfId="0" applyFont="1" applyFill="1" applyBorder="1" applyAlignment="1" applyProtection="1">
      <alignment vertical="center" wrapText="1"/>
      <protection locked="0"/>
    </xf>
    <xf numFmtId="0" fontId="38" fillId="4" borderId="21" xfId="0" applyFont="1" applyFill="1" applyBorder="1" applyProtection="1">
      <alignment vertical="center"/>
      <protection locked="0"/>
    </xf>
    <xf numFmtId="0" fontId="38" fillId="4" borderId="19" xfId="0" applyFont="1" applyFill="1" applyBorder="1" applyAlignment="1" applyProtection="1">
      <alignment vertical="center" wrapText="1"/>
      <protection locked="0"/>
    </xf>
    <xf numFmtId="0" fontId="38" fillId="4" borderId="19" xfId="0" applyFont="1" applyFill="1" applyBorder="1" applyProtection="1">
      <alignment vertical="center"/>
      <protection locked="0"/>
    </xf>
    <xf numFmtId="0" fontId="38" fillId="0" borderId="20" xfId="0" applyFont="1" applyBorder="1" applyAlignment="1">
      <alignment horizontal="center" vertical="center"/>
    </xf>
    <xf numFmtId="0" fontId="38" fillId="0" borderId="18" xfId="0" applyFont="1" applyBorder="1">
      <alignment vertical="center"/>
    </xf>
    <xf numFmtId="0" fontId="38" fillId="0" borderId="49" xfId="0" applyFont="1" applyBorder="1" applyAlignment="1">
      <alignment vertical="center" wrapText="1"/>
    </xf>
    <xf numFmtId="0" fontId="38" fillId="0" borderId="19" xfId="0" applyFont="1" applyBorder="1" applyAlignment="1">
      <alignment horizontal="center" vertical="center"/>
    </xf>
    <xf numFmtId="0" fontId="38" fillId="0" borderId="5" xfId="0" applyFont="1" applyBorder="1" applyAlignment="1">
      <alignment horizontal="center" vertical="center"/>
    </xf>
    <xf numFmtId="0" fontId="38" fillId="0" borderId="19" xfId="0" applyFont="1" applyBorder="1" applyAlignment="1">
      <alignment horizontal="center" vertical="center" wrapText="1"/>
    </xf>
    <xf numFmtId="0" fontId="38" fillId="0" borderId="21" xfId="0" applyFont="1" applyBorder="1" applyAlignment="1">
      <alignment horizontal="center" vertical="center"/>
    </xf>
    <xf numFmtId="0" fontId="38" fillId="0" borderId="19" xfId="0" applyFont="1" applyBorder="1" applyAlignment="1">
      <alignment vertical="center" wrapText="1"/>
    </xf>
    <xf numFmtId="0" fontId="38" fillId="0" borderId="74" xfId="0" applyFont="1" applyBorder="1" applyAlignment="1">
      <alignment vertical="center" wrapText="1"/>
    </xf>
    <xf numFmtId="0" fontId="38" fillId="0" borderId="26" xfId="0" applyFont="1" applyBorder="1">
      <alignment vertical="center"/>
    </xf>
    <xf numFmtId="0" fontId="38" fillId="0" borderId="65" xfId="0" applyFont="1" applyBorder="1">
      <alignment vertical="center"/>
    </xf>
    <xf numFmtId="0" fontId="38" fillId="0" borderId="75" xfId="0" applyFont="1" applyBorder="1">
      <alignment vertical="center"/>
    </xf>
    <xf numFmtId="0" fontId="38" fillId="0" borderId="42" xfId="0" applyFont="1" applyBorder="1" applyAlignment="1">
      <alignment vertical="center" wrapText="1"/>
    </xf>
    <xf numFmtId="0" fontId="38" fillId="0" borderId="29" xfId="0" applyFont="1" applyBorder="1" applyAlignment="1">
      <alignment horizontal="center" vertical="center"/>
    </xf>
    <xf numFmtId="0" fontId="38" fillId="0" borderId="49" xfId="0" applyFont="1" applyBorder="1" applyAlignment="1">
      <alignment horizontal="center" vertical="center"/>
    </xf>
    <xf numFmtId="0" fontId="38" fillId="0" borderId="21" xfId="0" applyFont="1" applyBorder="1">
      <alignment vertical="center"/>
    </xf>
    <xf numFmtId="0" fontId="38" fillId="0" borderId="20" xfId="0" applyFont="1" applyBorder="1">
      <alignment vertical="center"/>
    </xf>
    <xf numFmtId="0" fontId="38" fillId="0" borderId="18" xfId="0" applyFont="1" applyBorder="1" applyAlignment="1">
      <alignment vertical="center" wrapText="1"/>
    </xf>
    <xf numFmtId="0" fontId="38" fillId="0" borderId="8" xfId="0" applyFont="1" applyBorder="1" applyAlignment="1">
      <alignment vertical="center" wrapText="1"/>
    </xf>
    <xf numFmtId="0" fontId="38" fillId="0" borderId="5" xfId="0" applyFont="1" applyBorder="1" applyAlignment="1">
      <alignment vertical="center" wrapText="1"/>
    </xf>
    <xf numFmtId="0" fontId="38" fillId="0" borderId="38" xfId="0" applyFont="1" applyBorder="1">
      <alignment vertical="center"/>
    </xf>
    <xf numFmtId="0" fontId="38" fillId="0" borderId="56" xfId="0" applyFont="1" applyBorder="1">
      <alignment vertical="center"/>
    </xf>
    <xf numFmtId="0" fontId="38" fillId="0" borderId="55" xfId="0" applyFont="1" applyBorder="1">
      <alignment vertical="center"/>
    </xf>
    <xf numFmtId="0" fontId="38" fillId="0" borderId="42" xfId="0" applyFont="1" applyBorder="1" applyAlignment="1">
      <alignment horizontal="center" vertical="center"/>
    </xf>
    <xf numFmtId="0" fontId="38" fillId="4" borderId="42" xfId="0" applyFont="1" applyFill="1" applyBorder="1" applyAlignment="1" applyProtection="1">
      <alignment vertical="center" wrapText="1"/>
      <protection locked="0"/>
    </xf>
    <xf numFmtId="0" fontId="38" fillId="4" borderId="42" xfId="0" applyFont="1" applyFill="1" applyBorder="1" applyProtection="1">
      <alignment vertical="center"/>
      <protection locked="0"/>
    </xf>
    <xf numFmtId="0" fontId="38" fillId="7" borderId="49" xfId="0" applyFont="1" applyFill="1" applyBorder="1" applyProtection="1">
      <alignment vertical="center"/>
      <protection locked="0"/>
    </xf>
    <xf numFmtId="0" fontId="38" fillId="7" borderId="20" xfId="0" applyFont="1" applyFill="1" applyBorder="1" applyProtection="1">
      <alignment vertical="center"/>
      <protection locked="0"/>
    </xf>
    <xf numFmtId="0" fontId="38" fillId="0" borderId="10" xfId="0" applyFont="1" applyBorder="1">
      <alignment vertical="center"/>
    </xf>
    <xf numFmtId="0" fontId="63" fillId="0" borderId="20" xfId="0" applyFont="1" applyBorder="1" applyAlignment="1">
      <alignment horizontal="center" vertical="center" wrapText="1"/>
    </xf>
    <xf numFmtId="0" fontId="63" fillId="0" borderId="20" xfId="0" applyFont="1" applyBorder="1" applyAlignment="1">
      <alignment horizontal="center" vertical="center"/>
    </xf>
    <xf numFmtId="0" fontId="38" fillId="0" borderId="0" xfId="0" applyFont="1" applyAlignment="1">
      <alignment vertical="center" wrapText="1"/>
    </xf>
    <xf numFmtId="0" fontId="38" fillId="0" borderId="58" xfId="0" applyFont="1" applyBorder="1" applyAlignment="1">
      <alignment horizontal="center" vertical="center" wrapText="1"/>
    </xf>
    <xf numFmtId="0" fontId="38" fillId="4" borderId="84" xfId="0" applyFont="1" applyFill="1" applyBorder="1" applyAlignment="1" applyProtection="1">
      <alignment vertical="center" wrapText="1"/>
      <protection locked="0"/>
    </xf>
    <xf numFmtId="0" fontId="38" fillId="0" borderId="0" xfId="0" applyFont="1" applyProtection="1">
      <alignment vertical="center"/>
      <protection locked="0"/>
    </xf>
    <xf numFmtId="0" fontId="35" fillId="0" borderId="0" xfId="0" applyFont="1" applyAlignment="1">
      <alignment horizontal="left" vertical="top" wrapText="1" indent="2"/>
    </xf>
    <xf numFmtId="0" fontId="35" fillId="0" borderId="0" xfId="0" applyFont="1" applyAlignment="1">
      <alignment horizontal="left" vertical="top" indent="2"/>
    </xf>
    <xf numFmtId="0" fontId="4" fillId="0" borderId="0" xfId="2" applyAlignment="1">
      <alignment vertical="center"/>
    </xf>
    <xf numFmtId="0" fontId="37" fillId="0" borderId="0" xfId="2" applyFont="1">
      <alignment vertical="center"/>
    </xf>
    <xf numFmtId="0" fontId="37" fillId="0" borderId="0" xfId="2" applyFont="1" applyAlignment="1">
      <alignment horizontal="center" vertical="center"/>
    </xf>
    <xf numFmtId="0" fontId="38" fillId="7" borderId="39" xfId="0" applyFont="1" applyFill="1" applyBorder="1">
      <alignment vertical="center"/>
    </xf>
    <xf numFmtId="0" fontId="35" fillId="0" borderId="0" xfId="0" applyFont="1" applyAlignment="1">
      <alignment horizontal="left" vertical="center" indent="2"/>
    </xf>
    <xf numFmtId="0" fontId="35" fillId="0" borderId="0" xfId="0" applyFont="1" applyAlignment="1">
      <alignment vertical="center"/>
    </xf>
    <xf numFmtId="0" fontId="36" fillId="0" borderId="0" xfId="0" applyFont="1" applyAlignment="1">
      <alignment vertical="center"/>
    </xf>
    <xf numFmtId="0" fontId="42" fillId="4" borderId="83" xfId="1" applyFont="1" applyFill="1" applyBorder="1" applyAlignment="1" applyProtection="1">
      <alignment vertical="center" wrapText="1"/>
      <protection locked="0"/>
    </xf>
    <xf numFmtId="0" fontId="40" fillId="4" borderId="83" xfId="1" applyFont="1" applyFill="1" applyBorder="1" applyAlignment="1" applyProtection="1">
      <alignment vertical="center" wrapText="1"/>
      <protection locked="0"/>
    </xf>
    <xf numFmtId="0" fontId="36"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top" wrapText="1"/>
    </xf>
    <xf numFmtId="0" fontId="35" fillId="0" borderId="0" xfId="0" applyFont="1" applyAlignment="1">
      <alignment horizontal="left" vertical="top" indent="2"/>
    </xf>
    <xf numFmtId="0" fontId="8" fillId="0" borderId="0" xfId="0" applyFont="1" applyAlignment="1">
      <alignment horizontal="center" vertical="center"/>
    </xf>
    <xf numFmtId="0" fontId="35" fillId="0" borderId="0" xfId="0" applyFont="1" applyAlignment="1">
      <alignment horizontal="left" vertical="top"/>
    </xf>
    <xf numFmtId="0" fontId="31" fillId="0" borderId="23" xfId="0" applyFont="1" applyBorder="1" applyAlignment="1">
      <alignment horizontal="center" vertical="center" wrapText="1"/>
    </xf>
    <xf numFmtId="0" fontId="31" fillId="0" borderId="34" xfId="0" applyFont="1" applyBorder="1" applyAlignment="1">
      <alignment horizontal="center" vertical="center" wrapText="1"/>
    </xf>
    <xf numFmtId="0" fontId="28" fillId="0" borderId="0" xfId="2" applyFont="1" applyAlignment="1">
      <alignment horizontal="center" vertical="center"/>
    </xf>
    <xf numFmtId="0" fontId="29" fillId="4" borderId="0" xfId="2" applyFont="1" applyFill="1" applyAlignment="1" applyProtection="1">
      <alignment horizontal="right" vertical="center" wrapText="1"/>
      <protection locked="0"/>
    </xf>
    <xf numFmtId="0" fontId="29" fillId="0" borderId="0" xfId="2" applyFont="1" applyAlignment="1">
      <alignment vertical="center" wrapText="1"/>
    </xf>
    <xf numFmtId="0" fontId="4" fillId="0" borderId="0" xfId="2" applyAlignment="1">
      <alignment vertical="center"/>
    </xf>
    <xf numFmtId="0" fontId="29" fillId="4" borderId="0" xfId="2" applyFont="1" applyFill="1" applyAlignment="1" applyProtection="1">
      <alignment horizontal="right"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2" fillId="0" borderId="5" xfId="0" applyFont="1" applyBorder="1" applyAlignment="1">
      <alignment horizontal="left" vertical="center" wrapText="1"/>
    </xf>
    <xf numFmtId="0" fontId="29" fillId="0" borderId="0" xfId="2" applyFont="1" applyAlignment="1">
      <alignment horizontal="center" vertical="center" wrapText="1"/>
    </xf>
    <xf numFmtId="0" fontId="29" fillId="4" borderId="0" xfId="2" applyFont="1" applyFill="1" applyAlignment="1" applyProtection="1">
      <alignment vertical="center" wrapText="1"/>
      <protection locked="0"/>
    </xf>
    <xf numFmtId="0" fontId="31" fillId="0" borderId="0" xfId="2" applyFont="1" applyAlignment="1">
      <alignment horizontal="left" vertical="center" wrapText="1"/>
    </xf>
    <xf numFmtId="0" fontId="31" fillId="0" borderId="0" xfId="2" applyFont="1" applyAlignment="1">
      <alignment horizontal="justify" vertical="center" wrapText="1"/>
    </xf>
    <xf numFmtId="0" fontId="31" fillId="0" borderId="16" xfId="2" applyFont="1" applyBorder="1" applyAlignment="1">
      <alignment horizontal="justify" vertical="center" wrapText="1"/>
    </xf>
    <xf numFmtId="0" fontId="37" fillId="0" borderId="32" xfId="2" applyFont="1" applyBorder="1" applyAlignment="1">
      <alignment horizontal="center" vertical="center"/>
    </xf>
    <xf numFmtId="0" fontId="37" fillId="0" borderId="35" xfId="2" applyFont="1" applyBorder="1" applyAlignment="1">
      <alignment horizontal="center" vertical="center"/>
    </xf>
    <xf numFmtId="0" fontId="37" fillId="0" borderId="34" xfId="2" applyFont="1" applyBorder="1" applyAlignment="1">
      <alignment horizontal="center" vertical="center"/>
    </xf>
    <xf numFmtId="0" fontId="0" fillId="0" borderId="0" xfId="0" applyAlignment="1">
      <alignment vertical="center"/>
    </xf>
    <xf numFmtId="0" fontId="31" fillId="0" borderId="36" xfId="2" applyFont="1" applyBorder="1" applyAlignment="1">
      <alignment horizontal="justify" vertical="center" wrapText="1"/>
    </xf>
    <xf numFmtId="0" fontId="31" fillId="0" borderId="0" xfId="2" applyFont="1" applyAlignment="1" applyProtection="1">
      <alignment horizontal="left" vertical="center" wrapText="1"/>
      <protection locked="0"/>
    </xf>
    <xf numFmtId="0" fontId="16" fillId="4" borderId="78" xfId="0" applyFont="1" applyFill="1" applyBorder="1" applyAlignment="1" applyProtection="1">
      <alignment horizontal="center" vertical="center" shrinkToFit="1"/>
      <protection locked="0"/>
    </xf>
    <xf numFmtId="0" fontId="16" fillId="4" borderId="88" xfId="0" applyFont="1" applyFill="1" applyBorder="1" applyAlignment="1" applyProtection="1">
      <alignment horizontal="center" vertical="center" shrinkToFit="1"/>
      <protection locked="0"/>
    </xf>
    <xf numFmtId="0" fontId="16" fillId="4" borderId="83" xfId="0" applyFont="1" applyFill="1" applyBorder="1" applyAlignment="1" applyProtection="1">
      <alignment horizontal="center" vertical="center" shrinkToFit="1"/>
      <protection locked="0"/>
    </xf>
    <xf numFmtId="0" fontId="16" fillId="4" borderId="9" xfId="0" applyFont="1" applyFill="1" applyBorder="1" applyAlignment="1" applyProtection="1">
      <alignment horizontal="center" vertical="center" shrinkToFit="1"/>
      <protection locked="0"/>
    </xf>
    <xf numFmtId="0" fontId="18" fillId="0" borderId="89" xfId="0" applyFont="1" applyBorder="1" applyAlignment="1">
      <alignment horizontal="center" vertical="center"/>
    </xf>
    <xf numFmtId="0" fontId="18" fillId="0" borderId="33" xfId="0" applyFont="1" applyBorder="1" applyAlignment="1">
      <alignment horizontal="center" vertical="center"/>
    </xf>
    <xf numFmtId="0" fontId="18" fillId="0" borderId="61" xfId="0" applyFont="1" applyBorder="1" applyAlignment="1">
      <alignment horizontal="center" vertical="center" wrapText="1"/>
    </xf>
    <xf numFmtId="0" fontId="0" fillId="0" borderId="12" xfId="0" applyBorder="1" applyAlignment="1">
      <alignment horizontal="center" vertical="center"/>
    </xf>
    <xf numFmtId="0" fontId="0" fillId="0" borderId="40" xfId="0" applyBorder="1" applyAlignment="1">
      <alignment horizontal="center" vertical="center"/>
    </xf>
    <xf numFmtId="0" fontId="16" fillId="4" borderId="87" xfId="0" applyFont="1" applyFill="1" applyBorder="1" applyAlignment="1" applyProtection="1">
      <alignment horizontal="center" vertical="center" shrinkToFit="1"/>
      <protection locked="0"/>
    </xf>
    <xf numFmtId="0" fontId="16" fillId="4" borderId="7" xfId="0" applyFont="1" applyFill="1" applyBorder="1" applyAlignment="1" applyProtection="1">
      <alignment horizontal="center" vertical="center" shrinkToFit="1"/>
      <protection locked="0"/>
    </xf>
    <xf numFmtId="0" fontId="18" fillId="0" borderId="39"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40" xfId="0" applyFont="1" applyBorder="1" applyAlignment="1">
      <alignment horizontal="center" vertical="center" shrinkToFit="1"/>
    </xf>
    <xf numFmtId="0" fontId="16" fillId="4" borderId="84" xfId="0" applyFont="1" applyFill="1" applyBorder="1" applyAlignment="1" applyProtection="1">
      <alignment horizontal="center" vertical="center" shrinkToFit="1"/>
      <protection locked="0"/>
    </xf>
    <xf numFmtId="0" fontId="16" fillId="4" borderId="62" xfId="0" applyFont="1" applyFill="1" applyBorder="1" applyAlignment="1" applyProtection="1">
      <alignment horizontal="center" vertical="center" shrinkToFit="1"/>
      <protection locked="0"/>
    </xf>
    <xf numFmtId="0" fontId="18" fillId="7" borderId="4"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6" fillId="0" borderId="0" xfId="0" applyFont="1" applyAlignment="1">
      <alignment horizontal="center" vertical="center" wrapText="1" shrinkToFit="1"/>
    </xf>
    <xf numFmtId="0" fontId="13" fillId="0" borderId="0" xfId="0" applyFont="1" applyAlignment="1">
      <alignment vertical="center" wrapText="1" shrinkToFit="1"/>
    </xf>
    <xf numFmtId="0" fontId="16" fillId="0" borderId="4" xfId="0" applyFont="1" applyBorder="1" applyAlignment="1">
      <alignment horizontal="center" vertical="center" shrinkToFit="1"/>
    </xf>
    <xf numFmtId="0" fontId="0" fillId="0" borderId="14" xfId="0" applyBorder="1" applyAlignment="1">
      <alignment horizontal="center" vertical="center" shrinkToFit="1"/>
    </xf>
    <xf numFmtId="0" fontId="16" fillId="0" borderId="45" xfId="0" applyFont="1" applyBorder="1" applyAlignment="1">
      <alignment horizontal="center" vertical="center" shrinkToFit="1"/>
    </xf>
    <xf numFmtId="0" fontId="0" fillId="0" borderId="46" xfId="0" applyBorder="1" applyAlignment="1">
      <alignment horizontal="center" vertical="center" shrinkToFit="1"/>
    </xf>
    <xf numFmtId="0" fontId="16" fillId="0" borderId="4" xfId="0" applyFont="1" applyBorder="1" applyAlignment="1">
      <alignment horizontal="center" vertical="center" wrapText="1" shrinkToFit="1"/>
    </xf>
    <xf numFmtId="0" fontId="16" fillId="0" borderId="30" xfId="0" applyFont="1" applyBorder="1" applyAlignment="1">
      <alignment horizontal="center" vertical="center" shrinkToFit="1"/>
    </xf>
    <xf numFmtId="0" fontId="0" fillId="0" borderId="31" xfId="0" applyBorder="1" applyAlignment="1">
      <alignment horizontal="center" vertical="center" shrinkToFit="1"/>
    </xf>
    <xf numFmtId="0" fontId="16" fillId="0" borderId="24" xfId="0" applyFont="1" applyBorder="1" applyAlignment="1">
      <alignment horizontal="center" vertical="center" wrapText="1" shrinkToFit="1"/>
    </xf>
    <xf numFmtId="0" fontId="16" fillId="0" borderId="43" xfId="0" applyFont="1" applyBorder="1" applyAlignment="1">
      <alignment horizontal="center" vertical="center" wrapText="1" shrinkToFit="1"/>
    </xf>
    <xf numFmtId="0" fontId="16" fillId="0" borderId="39" xfId="0" applyFont="1" applyBorder="1" applyAlignment="1">
      <alignment horizontal="center" vertical="center" shrinkToFit="1"/>
    </xf>
    <xf numFmtId="0" fontId="0" fillId="0" borderId="40" xfId="0" applyBorder="1" applyAlignment="1">
      <alignment horizontal="center" vertical="center" shrinkToFit="1"/>
    </xf>
    <xf numFmtId="0" fontId="18" fillId="7" borderId="10" xfId="0" applyFont="1" applyFill="1" applyBorder="1" applyAlignment="1">
      <alignment horizontal="center" vertical="center" wrapText="1"/>
    </xf>
    <xf numFmtId="0" fontId="18" fillId="0" borderId="4"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xf>
    <xf numFmtId="0" fontId="18" fillId="0" borderId="35" xfId="0" applyFont="1" applyBorder="1" applyAlignment="1">
      <alignment horizontal="center" vertical="center"/>
    </xf>
    <xf numFmtId="0" fontId="18" fillId="0" borderId="51"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39" xfId="0" applyFont="1" applyBorder="1" applyAlignment="1">
      <alignment horizontal="center" vertical="center"/>
    </xf>
    <xf numFmtId="0" fontId="18" fillId="0" borderId="12" xfId="0" applyFont="1" applyBorder="1" applyAlignment="1">
      <alignment horizontal="center" vertical="center"/>
    </xf>
    <xf numFmtId="0" fontId="18" fillId="0" borderId="40" xfId="0" applyFont="1" applyBorder="1" applyAlignment="1">
      <alignment horizontal="center" vertical="center"/>
    </xf>
    <xf numFmtId="0" fontId="18" fillId="0" borderId="3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4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3" xfId="0" applyFont="1" applyBorder="1" applyAlignment="1">
      <alignment horizontal="center" vertical="center" wrapText="1"/>
    </xf>
    <xf numFmtId="0" fontId="22" fillId="8" borderId="0" xfId="0" applyFont="1" applyFill="1" applyAlignment="1">
      <alignment horizontal="center" vertical="center" wrapText="1"/>
    </xf>
    <xf numFmtId="0" fontId="12" fillId="0" borderId="0" xfId="0" applyFont="1" applyAlignment="1">
      <alignment horizontal="center" vertical="center" wrapText="1"/>
    </xf>
    <xf numFmtId="0" fontId="16" fillId="0" borderId="52"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40" xfId="0" applyFont="1" applyBorder="1" applyAlignment="1">
      <alignment horizontal="center" vertical="center" shrinkToFit="1"/>
    </xf>
    <xf numFmtId="0" fontId="12" fillId="0" borderId="0" xfId="0" applyFont="1" applyAlignment="1">
      <alignment horizontal="center" vertical="center"/>
    </xf>
    <xf numFmtId="0" fontId="38" fillId="0" borderId="84" xfId="0" applyFont="1" applyBorder="1" applyAlignment="1">
      <alignment vertical="center" wrapText="1"/>
    </xf>
    <xf numFmtId="0" fontId="38" fillId="0" borderId="58"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58" fillId="0" borderId="0" xfId="0" applyFont="1" applyAlignment="1">
      <alignment horizontal="center" vertical="center" wrapText="1"/>
    </xf>
    <xf numFmtId="0" fontId="38" fillId="0" borderId="0" xfId="0" applyFont="1" applyAlignment="1">
      <alignment vertical="center" wrapText="1"/>
    </xf>
    <xf numFmtId="0" fontId="38" fillId="7" borderId="0" xfId="0" applyFont="1" applyFill="1" applyAlignment="1">
      <alignment horizontal="center" wrapText="1"/>
    </xf>
    <xf numFmtId="0" fontId="38" fillId="7" borderId="0" xfId="0" applyFont="1" applyFill="1" applyAlignment="1">
      <alignment horizontal="center"/>
    </xf>
    <xf numFmtId="0" fontId="38" fillId="0" borderId="51" xfId="0" applyFont="1" applyBorder="1" applyAlignment="1" applyProtection="1">
      <alignment vertical="top"/>
      <protection locked="0"/>
    </xf>
    <xf numFmtId="0" fontId="60" fillId="4" borderId="94" xfId="0" applyFont="1" applyFill="1" applyBorder="1" applyProtection="1">
      <alignment vertical="center"/>
      <protection locked="0"/>
    </xf>
    <xf numFmtId="0" fontId="38" fillId="0" borderId="98" xfId="0" applyFont="1" applyBorder="1" applyAlignment="1" applyProtection="1">
      <alignment vertical="top"/>
      <protection locked="0"/>
    </xf>
    <xf numFmtId="0" fontId="60" fillId="4" borderId="6" xfId="0" applyFont="1" applyFill="1" applyBorder="1" applyProtection="1">
      <alignment vertical="center"/>
      <protection locked="0"/>
    </xf>
    <xf numFmtId="0" fontId="38" fillId="7" borderId="0" xfId="0" applyFont="1" applyFill="1" applyAlignment="1" applyProtection="1">
      <alignment vertical="top"/>
      <protection locked="0"/>
    </xf>
    <xf numFmtId="0" fontId="38" fillId="7" borderId="65" xfId="0" applyFont="1" applyFill="1" applyBorder="1" applyAlignment="1" applyProtection="1">
      <alignment vertical="center" wrapText="1"/>
      <protection locked="0"/>
    </xf>
    <xf numFmtId="0" fontId="60" fillId="4" borderId="62" xfId="0" applyFont="1" applyFill="1" applyBorder="1" applyProtection="1">
      <alignment vertical="center"/>
      <protection locked="0"/>
    </xf>
    <xf numFmtId="0" fontId="38" fillId="7" borderId="10" xfId="0" applyFont="1" applyFill="1" applyBorder="1" applyAlignment="1" applyProtection="1">
      <alignment vertical="center" wrapText="1"/>
      <protection locked="0"/>
    </xf>
    <xf numFmtId="0" fontId="60" fillId="4" borderId="14" xfId="0" applyFont="1" applyFill="1" applyBorder="1" applyProtection="1">
      <alignment vertical="center"/>
      <protection locked="0"/>
    </xf>
    <xf numFmtId="0" fontId="38" fillId="7" borderId="37" xfId="0" applyFont="1" applyFill="1" applyBorder="1" applyAlignment="1" applyProtection="1">
      <alignment vertical="center" wrapText="1"/>
      <protection locked="0"/>
    </xf>
    <xf numFmtId="0" fontId="60" fillId="4" borderId="7" xfId="0" applyFont="1" applyFill="1" applyBorder="1" applyProtection="1">
      <alignment vertical="center"/>
      <protection locked="0"/>
    </xf>
    <xf numFmtId="0" fontId="38" fillId="7" borderId="97" xfId="0" applyFont="1" applyFill="1" applyBorder="1" applyAlignment="1" applyProtection="1">
      <alignment vertical="center" wrapText="1"/>
      <protection locked="0"/>
    </xf>
    <xf numFmtId="0" fontId="38" fillId="7" borderId="96" xfId="0" applyFont="1" applyFill="1" applyBorder="1" applyAlignment="1" applyProtection="1">
      <alignment vertical="center" wrapText="1"/>
      <protection locked="0"/>
    </xf>
  </cellXfs>
  <cellStyles count="6">
    <cellStyle name="標準" xfId="0" builtinId="0"/>
    <cellStyle name="標準 2" xfId="2" xr:uid="{00000000-0005-0000-0000-000001000000}"/>
    <cellStyle name="標準 3" xfId="1" xr:uid="{00000000-0005-0000-0000-000002000000}"/>
    <cellStyle name="標準 3 2 2" xfId="4" xr:uid="{00000000-0005-0000-0000-000003000000}"/>
    <cellStyle name="標準 4" xfId="5" xr:uid="{00000000-0005-0000-0000-000004000000}"/>
    <cellStyle name="標準 5" xfId="3" xr:uid="{00000000-0005-0000-0000-000005000000}"/>
  </cellStyles>
  <dxfs count="21">
    <dxf>
      <border>
        <left style="thin">
          <color auto="1"/>
        </left>
        <right style="thin">
          <color auto="1"/>
        </right>
        <top style="thin">
          <color auto="1"/>
        </top>
        <bottom style="thin">
          <color auto="1"/>
        </bottom>
      </border>
    </dxf>
    <dxf>
      <fill>
        <patternFill>
          <bgColor rgb="FFFFFF00"/>
        </patternFill>
      </fill>
    </dxf>
    <dxf>
      <font>
        <b/>
        <i val="0"/>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ctrlProps/ctrlProp1.xml><?xml version="1.0" encoding="utf-8"?>
<formControlPr xmlns="http://schemas.microsoft.com/office/spreadsheetml/2009/9/main" objectType="CheckBox" fmlaLink="$I$583" lockText="1" noThreeD="1"/>
</file>

<file path=xl/ctrlProps/ctrlProp10.xml><?xml version="1.0" encoding="utf-8"?>
<formControlPr xmlns="http://schemas.microsoft.com/office/spreadsheetml/2009/9/main" objectType="CheckBox" fmlaLink="$F$12" lockText="1" noThreeD="1"/>
</file>

<file path=xl/ctrlProps/ctrlProp11.xml><?xml version="1.0" encoding="utf-8"?>
<formControlPr xmlns="http://schemas.microsoft.com/office/spreadsheetml/2009/9/main" objectType="CheckBox" fmlaLink="$F$13" lockText="1" noThreeD="1"/>
</file>

<file path=xl/ctrlProps/ctrlProp12.xml><?xml version="1.0" encoding="utf-8"?>
<formControlPr xmlns="http://schemas.microsoft.com/office/spreadsheetml/2009/9/main" objectType="CheckBox" fmlaLink="$F$14" lockText="1" noThreeD="1"/>
</file>

<file path=xl/ctrlProps/ctrlProp13.xml><?xml version="1.0" encoding="utf-8"?>
<formControlPr xmlns="http://schemas.microsoft.com/office/spreadsheetml/2009/9/main" objectType="CheckBox" fmlaLink="$L$5" lockText="1" noThreeD="1"/>
</file>

<file path=xl/ctrlProps/ctrlProp14.xml><?xml version="1.0" encoding="utf-8"?>
<formControlPr xmlns="http://schemas.microsoft.com/office/spreadsheetml/2009/9/main" objectType="CheckBox" fmlaLink="$L$6" lockText="1" noThreeD="1"/>
</file>

<file path=xl/ctrlProps/ctrlProp15.xml><?xml version="1.0" encoding="utf-8"?>
<formControlPr xmlns="http://schemas.microsoft.com/office/spreadsheetml/2009/9/main" objectType="CheckBox" fmlaLink="$L$7" lockText="1" noThreeD="1"/>
</file>

<file path=xl/ctrlProps/ctrlProp16.xml><?xml version="1.0" encoding="utf-8"?>
<formControlPr xmlns="http://schemas.microsoft.com/office/spreadsheetml/2009/9/main" objectType="CheckBox" fmlaLink="$L$8" lockText="1" noThreeD="1"/>
</file>

<file path=xl/ctrlProps/ctrlProp17.xml><?xml version="1.0" encoding="utf-8"?>
<formControlPr xmlns="http://schemas.microsoft.com/office/spreadsheetml/2009/9/main" objectType="CheckBox" fmlaLink="$L$9" lockText="1" noThreeD="1"/>
</file>

<file path=xl/ctrlProps/ctrlProp18.xml><?xml version="1.0" encoding="utf-8"?>
<formControlPr xmlns="http://schemas.microsoft.com/office/spreadsheetml/2009/9/main" objectType="CheckBox" fmlaLink="$L$10" lockText="1" noThreeD="1"/>
</file>

<file path=xl/ctrlProps/ctrlProp19.xml><?xml version="1.0" encoding="utf-8"?>
<formControlPr xmlns="http://schemas.microsoft.com/office/spreadsheetml/2009/9/main" objectType="CheckBox" fmlaLink="$L$11" lockText="1" noThreeD="1"/>
</file>

<file path=xl/ctrlProps/ctrlProp2.xml><?xml version="1.0" encoding="utf-8"?>
<formControlPr xmlns="http://schemas.microsoft.com/office/spreadsheetml/2009/9/main" objectType="CheckBox" fmlaLink="$I$587" lockText="1" noThreeD="1"/>
</file>

<file path=xl/ctrlProps/ctrlProp20.xml><?xml version="1.0" encoding="utf-8"?>
<formControlPr xmlns="http://schemas.microsoft.com/office/spreadsheetml/2009/9/main" objectType="CheckBox" fmlaLink="$L$12" lockText="1" noThreeD="1"/>
</file>

<file path=xl/ctrlProps/ctrlProp21.xml><?xml version="1.0" encoding="utf-8"?>
<formControlPr xmlns="http://schemas.microsoft.com/office/spreadsheetml/2009/9/main" objectType="CheckBox" fmlaLink="$L$13" lockText="1" noThreeD="1"/>
</file>

<file path=xl/ctrlProps/ctrlProp22.xml><?xml version="1.0" encoding="utf-8"?>
<formControlPr xmlns="http://schemas.microsoft.com/office/spreadsheetml/2009/9/main" objectType="CheckBox" fmlaLink="$L$14" lockText="1" noThreeD="1"/>
</file>

<file path=xl/ctrlProps/ctrlProp23.xml><?xml version="1.0" encoding="utf-8"?>
<formControlPr xmlns="http://schemas.microsoft.com/office/spreadsheetml/2009/9/main" objectType="CheckBox" fmlaLink="$L$15" lockText="1" noThreeD="1"/>
</file>

<file path=xl/ctrlProps/ctrlProp24.xml><?xml version="1.0" encoding="utf-8"?>
<formControlPr xmlns="http://schemas.microsoft.com/office/spreadsheetml/2009/9/main" objectType="CheckBox" fmlaLink="$L$16" lockText="1" noThreeD="1"/>
</file>

<file path=xl/ctrlProps/ctrlProp25.xml><?xml version="1.0" encoding="utf-8"?>
<formControlPr xmlns="http://schemas.microsoft.com/office/spreadsheetml/2009/9/main" objectType="CheckBox" fmlaLink="$L$17" lockText="1" noThreeD="1"/>
</file>

<file path=xl/ctrlProps/ctrlProp26.xml><?xml version="1.0" encoding="utf-8"?>
<formControlPr xmlns="http://schemas.microsoft.com/office/spreadsheetml/2009/9/main" objectType="CheckBox" fmlaLink="$L$18" lockText="1" noThreeD="1"/>
</file>

<file path=xl/ctrlProps/ctrlProp27.xml><?xml version="1.0" encoding="utf-8"?>
<formControlPr xmlns="http://schemas.microsoft.com/office/spreadsheetml/2009/9/main" objectType="CheckBox" fmlaLink="$L$19" lockText="1" noThreeD="1"/>
</file>

<file path=xl/ctrlProps/ctrlProp28.xml><?xml version="1.0" encoding="utf-8"?>
<formControlPr xmlns="http://schemas.microsoft.com/office/spreadsheetml/2009/9/main" objectType="CheckBox" fmlaLink="$L$20" lockText="1" noThreeD="1"/>
</file>

<file path=xl/ctrlProps/ctrlProp29.xml><?xml version="1.0" encoding="utf-8"?>
<formControlPr xmlns="http://schemas.microsoft.com/office/spreadsheetml/2009/9/main" objectType="CheckBox" fmlaLink="$L$21" lockText="1" noThreeD="1"/>
</file>

<file path=xl/ctrlProps/ctrlProp3.xml><?xml version="1.0" encoding="utf-8"?>
<formControlPr xmlns="http://schemas.microsoft.com/office/spreadsheetml/2009/9/main" objectType="CheckBox" fmlaLink="$F$5" lockText="1" noThreeD="1"/>
</file>

<file path=xl/ctrlProps/ctrlProp4.xml><?xml version="1.0" encoding="utf-8"?>
<formControlPr xmlns="http://schemas.microsoft.com/office/spreadsheetml/2009/9/main" objectType="CheckBox" fmlaLink="$F$6" lockText="1" noThreeD="1"/>
</file>

<file path=xl/ctrlProps/ctrlProp5.xml><?xml version="1.0" encoding="utf-8"?>
<formControlPr xmlns="http://schemas.microsoft.com/office/spreadsheetml/2009/9/main" objectType="CheckBox" fmlaLink="$F$7" lockText="1" noThreeD="1"/>
</file>

<file path=xl/ctrlProps/ctrlProp6.xml><?xml version="1.0" encoding="utf-8"?>
<formControlPr xmlns="http://schemas.microsoft.com/office/spreadsheetml/2009/9/main" objectType="CheckBox" fmlaLink="$F$8" lockText="1" noThreeD="1"/>
</file>

<file path=xl/ctrlProps/ctrlProp7.xml><?xml version="1.0" encoding="utf-8"?>
<formControlPr xmlns="http://schemas.microsoft.com/office/spreadsheetml/2009/9/main" objectType="CheckBox" fmlaLink="$F$9" lockText="1" noThreeD="1"/>
</file>

<file path=xl/ctrlProps/ctrlProp8.xml><?xml version="1.0" encoding="utf-8"?>
<formControlPr xmlns="http://schemas.microsoft.com/office/spreadsheetml/2009/9/main" objectType="CheckBox" fmlaLink="$F$10" lockText="1" noThreeD="1"/>
</file>

<file path=xl/ctrlProps/ctrlProp9.xml><?xml version="1.0" encoding="utf-8"?>
<formControlPr xmlns="http://schemas.microsoft.com/office/spreadsheetml/2009/9/main" objectType="CheckBox" fmlaLink="$F$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285750</xdr:colOff>
          <xdr:row>582</xdr:row>
          <xdr:rowOff>390525</xdr:rowOff>
        </xdr:from>
        <xdr:to>
          <xdr:col>6</xdr:col>
          <xdr:colOff>581025</xdr:colOff>
          <xdr:row>582</xdr:row>
          <xdr:rowOff>723900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285750</xdr:colOff>
          <xdr:row>586</xdr:row>
          <xdr:rowOff>390525</xdr:rowOff>
        </xdr:from>
        <xdr:to>
          <xdr:col>6</xdr:col>
          <xdr:colOff>581025</xdr:colOff>
          <xdr:row>586</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4</xdr:row>
          <xdr:rowOff>142875</xdr:rowOff>
        </xdr:from>
        <xdr:to>
          <xdr:col>4</xdr:col>
          <xdr:colOff>381000</xdr:colOff>
          <xdr:row>4</xdr:row>
          <xdr:rowOff>485775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xdr:row>
          <xdr:rowOff>66675</xdr:rowOff>
        </xdr:from>
        <xdr:to>
          <xdr:col>4</xdr:col>
          <xdr:colOff>381000</xdr:colOff>
          <xdr:row>5</xdr:row>
          <xdr:rowOff>409575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xdr:row>
          <xdr:rowOff>66675</xdr:rowOff>
        </xdr:from>
        <xdr:to>
          <xdr:col>4</xdr:col>
          <xdr:colOff>381000</xdr:colOff>
          <xdr:row>6</xdr:row>
          <xdr:rowOff>409575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xdr:row>
          <xdr:rowOff>66675</xdr:rowOff>
        </xdr:from>
        <xdr:to>
          <xdr:col>4</xdr:col>
          <xdr:colOff>381000</xdr:colOff>
          <xdr:row>7</xdr:row>
          <xdr:rowOff>409575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xdr:row>
          <xdr:rowOff>66675</xdr:rowOff>
        </xdr:from>
        <xdr:to>
          <xdr:col>4</xdr:col>
          <xdr:colOff>381000</xdr:colOff>
          <xdr:row>8</xdr:row>
          <xdr:rowOff>409575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xdr:row>
          <xdr:rowOff>66675</xdr:rowOff>
        </xdr:from>
        <xdr:to>
          <xdr:col>4</xdr:col>
          <xdr:colOff>381000</xdr:colOff>
          <xdr:row>9</xdr:row>
          <xdr:rowOff>409575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xdr:row>
          <xdr:rowOff>219075</xdr:rowOff>
        </xdr:from>
        <xdr:to>
          <xdr:col>4</xdr:col>
          <xdr:colOff>381000</xdr:colOff>
          <xdr:row>10</xdr:row>
          <xdr:rowOff>561975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xdr:row>
          <xdr:rowOff>104775</xdr:rowOff>
        </xdr:from>
        <xdr:to>
          <xdr:col>4</xdr:col>
          <xdr:colOff>381000</xdr:colOff>
          <xdr:row>11</xdr:row>
          <xdr:rowOff>447675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12</xdr:row>
          <xdr:rowOff>66675</xdr:rowOff>
        </xdr:from>
        <xdr:to>
          <xdr:col>4</xdr:col>
          <xdr:colOff>381000</xdr:colOff>
          <xdr:row>12</xdr:row>
          <xdr:rowOff>409575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171450</xdr:rowOff>
        </xdr:from>
        <xdr:to>
          <xdr:col>4</xdr:col>
          <xdr:colOff>381000</xdr:colOff>
          <xdr:row>13</xdr:row>
          <xdr:rowOff>514350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xdr:row>
          <xdr:rowOff>171450</xdr:rowOff>
        </xdr:from>
        <xdr:to>
          <xdr:col>10</xdr:col>
          <xdr:colOff>381000</xdr:colOff>
          <xdr:row>4</xdr:row>
          <xdr:rowOff>514350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xdr:row>
          <xdr:rowOff>66675</xdr:rowOff>
        </xdr:from>
        <xdr:to>
          <xdr:col>10</xdr:col>
          <xdr:colOff>381000</xdr:colOff>
          <xdr:row>5</xdr:row>
          <xdr:rowOff>409575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66675</xdr:rowOff>
        </xdr:from>
        <xdr:to>
          <xdr:col>10</xdr:col>
          <xdr:colOff>381000</xdr:colOff>
          <xdr:row>6</xdr:row>
          <xdr:rowOff>409575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xdr:row>
          <xdr:rowOff>66675</xdr:rowOff>
        </xdr:from>
        <xdr:to>
          <xdr:col>10</xdr:col>
          <xdr:colOff>381000</xdr:colOff>
          <xdr:row>7</xdr:row>
          <xdr:rowOff>409575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66675</xdr:rowOff>
        </xdr:from>
        <xdr:to>
          <xdr:col>10</xdr:col>
          <xdr:colOff>381000</xdr:colOff>
          <xdr:row>8</xdr:row>
          <xdr:rowOff>409575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66675</xdr:rowOff>
        </xdr:from>
        <xdr:to>
          <xdr:col>10</xdr:col>
          <xdr:colOff>381000</xdr:colOff>
          <xdr:row>9</xdr:row>
          <xdr:rowOff>409575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xdr:row>
          <xdr:rowOff>219075</xdr:rowOff>
        </xdr:from>
        <xdr:to>
          <xdr:col>10</xdr:col>
          <xdr:colOff>381000</xdr:colOff>
          <xdr:row>10</xdr:row>
          <xdr:rowOff>561975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11</xdr:row>
          <xdr:rowOff>95250</xdr:rowOff>
        </xdr:from>
        <xdr:to>
          <xdr:col>10</xdr:col>
          <xdr:colOff>381000</xdr:colOff>
          <xdr:row>11</xdr:row>
          <xdr:rowOff>438150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12</xdr:row>
          <xdr:rowOff>66675</xdr:rowOff>
        </xdr:from>
        <xdr:to>
          <xdr:col>10</xdr:col>
          <xdr:colOff>381000</xdr:colOff>
          <xdr:row>12</xdr:row>
          <xdr:rowOff>409575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190500</xdr:rowOff>
        </xdr:from>
        <xdr:to>
          <xdr:col>10</xdr:col>
          <xdr:colOff>381000</xdr:colOff>
          <xdr:row>13</xdr:row>
          <xdr:rowOff>533400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66675</xdr:rowOff>
        </xdr:from>
        <xdr:to>
          <xdr:col>10</xdr:col>
          <xdr:colOff>381000</xdr:colOff>
          <xdr:row>14</xdr:row>
          <xdr:rowOff>409575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5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66675</xdr:rowOff>
        </xdr:from>
        <xdr:to>
          <xdr:col>10</xdr:col>
          <xdr:colOff>381000</xdr:colOff>
          <xdr:row>15</xdr:row>
          <xdr:rowOff>409575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5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66675</xdr:rowOff>
        </xdr:from>
        <xdr:to>
          <xdr:col>10</xdr:col>
          <xdr:colOff>381000</xdr:colOff>
          <xdr:row>16</xdr:row>
          <xdr:rowOff>409575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66675</xdr:rowOff>
        </xdr:from>
        <xdr:to>
          <xdr:col>10</xdr:col>
          <xdr:colOff>381000</xdr:colOff>
          <xdr:row>17</xdr:row>
          <xdr:rowOff>409575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66675</xdr:rowOff>
        </xdr:from>
        <xdr:to>
          <xdr:col>10</xdr:col>
          <xdr:colOff>381000</xdr:colOff>
          <xdr:row>18</xdr:row>
          <xdr:rowOff>409575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152400</xdr:rowOff>
        </xdr:from>
        <xdr:to>
          <xdr:col>10</xdr:col>
          <xdr:colOff>381000</xdr:colOff>
          <xdr:row>19</xdr:row>
          <xdr:rowOff>495300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20</xdr:row>
          <xdr:rowOff>66675</xdr:rowOff>
        </xdr:from>
        <xdr:to>
          <xdr:col>10</xdr:col>
          <xdr:colOff>381000</xdr:colOff>
          <xdr:row>20</xdr:row>
          <xdr:rowOff>409575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9.xml" Type="http://schemas.openxmlformats.org/officeDocument/2006/relationships/ctrlProp"/><Relationship Id="rId11" Target="../ctrlProps/ctrlProp10.xml" Type="http://schemas.openxmlformats.org/officeDocument/2006/relationships/ctrlProp"/><Relationship Id="rId12" Target="../ctrlProps/ctrlProp11.xml" Type="http://schemas.openxmlformats.org/officeDocument/2006/relationships/ctrlProp"/><Relationship Id="rId13" Target="../ctrlProps/ctrlProp12.xml" Type="http://schemas.openxmlformats.org/officeDocument/2006/relationships/ctrlProp"/><Relationship Id="rId14" Target="../ctrlProps/ctrlProp13.xml" Type="http://schemas.openxmlformats.org/officeDocument/2006/relationships/ctrlProp"/><Relationship Id="rId15" Target="../ctrlProps/ctrlProp14.xml" Type="http://schemas.openxmlformats.org/officeDocument/2006/relationships/ctrlProp"/><Relationship Id="rId16" Target="../ctrlProps/ctrlProp15.xml" Type="http://schemas.openxmlformats.org/officeDocument/2006/relationships/ctrlProp"/><Relationship Id="rId17" Target="../ctrlProps/ctrlProp16.xml" Type="http://schemas.openxmlformats.org/officeDocument/2006/relationships/ctrlProp"/><Relationship Id="rId18" Target="../ctrlProps/ctrlProp17.xml" Type="http://schemas.openxmlformats.org/officeDocument/2006/relationships/ctrlProp"/><Relationship Id="rId19" Target="../ctrlProps/ctrlProp18.xml" Type="http://schemas.openxmlformats.org/officeDocument/2006/relationships/ctrlProp"/><Relationship Id="rId2" Target="../drawings/drawing2.xml" Type="http://schemas.openxmlformats.org/officeDocument/2006/relationships/drawing"/><Relationship Id="rId20" Target="../ctrlProps/ctrlProp19.xml" Type="http://schemas.openxmlformats.org/officeDocument/2006/relationships/ctrlProp"/><Relationship Id="rId21" Target="../ctrlProps/ctrlProp20.xml" Type="http://schemas.openxmlformats.org/officeDocument/2006/relationships/ctrlProp"/><Relationship Id="rId22" Target="../ctrlProps/ctrlProp21.xml" Type="http://schemas.openxmlformats.org/officeDocument/2006/relationships/ctrlProp"/><Relationship Id="rId23" Target="../ctrlProps/ctrlProp22.xml" Type="http://schemas.openxmlformats.org/officeDocument/2006/relationships/ctrlProp"/><Relationship Id="rId24" Target="../ctrlProps/ctrlProp23.xml" Type="http://schemas.openxmlformats.org/officeDocument/2006/relationships/ctrlProp"/><Relationship Id="rId25" Target="../ctrlProps/ctrlProp24.xml" Type="http://schemas.openxmlformats.org/officeDocument/2006/relationships/ctrlProp"/><Relationship Id="rId26" Target="../ctrlProps/ctrlProp25.xml" Type="http://schemas.openxmlformats.org/officeDocument/2006/relationships/ctrlProp"/><Relationship Id="rId27" Target="../ctrlProps/ctrlProp26.xml" Type="http://schemas.openxmlformats.org/officeDocument/2006/relationships/ctrlProp"/><Relationship Id="rId28" Target="../ctrlProps/ctrlProp27.xml" Type="http://schemas.openxmlformats.org/officeDocument/2006/relationships/ctrlProp"/><Relationship Id="rId29" Target="../ctrlProps/ctrlProp28.xml" Type="http://schemas.openxmlformats.org/officeDocument/2006/relationships/ctrlProp"/><Relationship Id="rId3" Target="../drawings/vmlDrawing2.vml" Type="http://schemas.openxmlformats.org/officeDocument/2006/relationships/vmlDrawing"/><Relationship Id="rId30" Target="../ctrlProps/ctrlProp29.xml" Type="http://schemas.openxmlformats.org/officeDocument/2006/relationships/ctrlProp"/><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F37"/>
  <sheetViews>
    <sheetView showGridLines="0" tabSelected="1" view="pageBreakPreview" zoomScale="80" zoomScaleNormal="80" zoomScaleSheetLayoutView="80" workbookViewId="0">
      <selection activeCell="H9" sqref="H9"/>
    </sheetView>
  </sheetViews>
  <sheetFormatPr defaultColWidth="9" defaultRowHeight="13.5" x14ac:dyDescent="0.15"/>
  <cols>
    <col min="1" max="1" width="2.625" customWidth="1"/>
    <col min="2" max="2" width="25.125" customWidth="1"/>
    <col min="3" max="3" width="33.125" customWidth="1"/>
    <col min="4" max="4" width="40.625" customWidth="1"/>
    <col min="5" max="5" width="2.625" customWidth="1"/>
    <col min="6" max="6" width="3.75" customWidth="1"/>
  </cols>
  <sheetData>
    <row r="1" spans="2:6" x14ac:dyDescent="0.15">
      <c r="E1" s="184"/>
      <c r="F1" s="184" t="s">
        <v>0</v>
      </c>
    </row>
    <row r="2" spans="2:6" ht="25.5" x14ac:dyDescent="0.15">
      <c r="B2" s="329" t="s">
        <v>1</v>
      </c>
      <c r="C2" s="329"/>
      <c r="D2" s="329"/>
    </row>
    <row r="5" spans="2:6" ht="21.75" customHeight="1" x14ac:dyDescent="0.15">
      <c r="C5" s="68" t="s">
        <v>2</v>
      </c>
      <c r="D5" s="211" t="s">
        <v>3</v>
      </c>
    </row>
    <row r="6" spans="2:6" ht="14.25" x14ac:dyDescent="0.15">
      <c r="B6" s="69"/>
    </row>
    <row r="7" spans="2:6" ht="30" customHeight="1" x14ac:dyDescent="0.15">
      <c r="B7" s="212" t="s">
        <v>4</v>
      </c>
      <c r="C7" s="323"/>
      <c r="D7" s="323"/>
    </row>
    <row r="8" spans="2:6" ht="30" customHeight="1" x14ac:dyDescent="0.15">
      <c r="B8" s="213" t="s">
        <v>5</v>
      </c>
      <c r="C8" s="324"/>
      <c r="D8" s="324"/>
    </row>
    <row r="9" spans="2:6" ht="30" customHeight="1" x14ac:dyDescent="0.15">
      <c r="B9" s="213" t="s">
        <v>6</v>
      </c>
      <c r="C9" s="324"/>
      <c r="D9" s="324"/>
    </row>
    <row r="10" spans="2:6" ht="30" customHeight="1" x14ac:dyDescent="0.15">
      <c r="B10" s="213" t="s">
        <v>7</v>
      </c>
      <c r="C10" s="324"/>
      <c r="D10" s="324"/>
    </row>
    <row r="12" spans="2:6" ht="14.25" x14ac:dyDescent="0.15">
      <c r="B12" s="70" t="s">
        <v>8</v>
      </c>
      <c r="C12" s="71"/>
      <c r="D12" s="71"/>
    </row>
    <row r="13" spans="2:6" s="73" customFormat="1" ht="6" x14ac:dyDescent="0.15">
      <c r="B13" s="72"/>
    </row>
    <row r="14" spans="2:6" x14ac:dyDescent="0.15">
      <c r="B14" s="74" t="s">
        <v>9</v>
      </c>
      <c r="C14" s="71"/>
      <c r="D14" s="71"/>
    </row>
    <row r="17" spans="2:5" x14ac:dyDescent="0.15">
      <c r="B17" s="77" t="s">
        <v>10</v>
      </c>
      <c r="C17" s="77"/>
    </row>
    <row r="18" spans="2:5" x14ac:dyDescent="0.15">
      <c r="B18" s="77"/>
      <c r="C18" s="77"/>
    </row>
    <row r="19" spans="2:5" ht="42.75" x14ac:dyDescent="0.15">
      <c r="B19" s="327" t="s">
        <v>772</v>
      </c>
      <c r="C19" s="327"/>
      <c r="D19" s="108" t="s">
        <v>11</v>
      </c>
      <c r="E19" s="69"/>
    </row>
    <row r="20" spans="2:5" ht="14.25" x14ac:dyDescent="0.15">
      <c r="B20" s="328"/>
      <c r="C20" s="328"/>
      <c r="D20" s="321"/>
      <c r="E20" s="321"/>
    </row>
    <row r="21" spans="2:5" ht="62.25" customHeight="1" x14ac:dyDescent="0.15">
      <c r="B21" s="327" t="s">
        <v>773</v>
      </c>
      <c r="C21" s="327"/>
      <c r="D21" s="108" t="s">
        <v>12</v>
      </c>
      <c r="E21" s="69"/>
    </row>
    <row r="22" spans="2:5" ht="13.5" customHeight="1" x14ac:dyDescent="0.15">
      <c r="B22" s="314"/>
      <c r="C22" s="314"/>
      <c r="D22" s="108"/>
      <c r="E22" s="69"/>
    </row>
    <row r="23" spans="2:5" ht="14.25" x14ac:dyDescent="0.15">
      <c r="B23" s="330" t="s">
        <v>13</v>
      </c>
      <c r="C23" s="330"/>
      <c r="D23" s="322" t="s">
        <v>834</v>
      </c>
      <c r="E23" s="321"/>
    </row>
    <row r="24" spans="2:5" ht="14.25" x14ac:dyDescent="0.15">
      <c r="B24" s="315"/>
      <c r="C24" s="315"/>
      <c r="D24" s="107"/>
      <c r="E24" s="69"/>
    </row>
    <row r="25" spans="2:5" ht="33.75" customHeight="1" x14ac:dyDescent="0.15">
      <c r="B25" s="330" t="s">
        <v>14</v>
      </c>
      <c r="C25" s="330"/>
      <c r="D25" s="325" t="s">
        <v>835</v>
      </c>
      <c r="E25" s="326"/>
    </row>
    <row r="26" spans="2:5" ht="14.25" x14ac:dyDescent="0.15">
      <c r="B26" s="315"/>
      <c r="C26" s="315"/>
      <c r="D26" s="69"/>
      <c r="E26" s="69"/>
    </row>
    <row r="27" spans="2:5" ht="30" customHeight="1" x14ac:dyDescent="0.15">
      <c r="B27" s="330" t="s">
        <v>771</v>
      </c>
      <c r="C27" s="330"/>
      <c r="D27" s="325" t="s">
        <v>836</v>
      </c>
      <c r="E27" s="326"/>
    </row>
    <row r="28" spans="2:5" ht="14.25" x14ac:dyDescent="0.15">
      <c r="B28" s="78"/>
      <c r="C28" s="78"/>
      <c r="D28" s="69"/>
      <c r="E28" s="69"/>
    </row>
    <row r="29" spans="2:5" ht="14.25" x14ac:dyDescent="0.15">
      <c r="B29" s="94" t="s">
        <v>15</v>
      </c>
      <c r="C29" s="78"/>
      <c r="D29" s="69"/>
      <c r="E29" s="69"/>
    </row>
    <row r="30" spans="2:5" ht="14.25" x14ac:dyDescent="0.15">
      <c r="B30" s="94"/>
      <c r="C30" s="78"/>
      <c r="D30" s="69"/>
      <c r="E30" s="69"/>
    </row>
    <row r="31" spans="2:5" ht="14.25" x14ac:dyDescent="0.15">
      <c r="B31" s="69"/>
      <c r="C31" s="69"/>
      <c r="D31" s="322"/>
      <c r="E31" s="321"/>
    </row>
    <row r="32" spans="2:5" ht="14.25" x14ac:dyDescent="0.15">
      <c r="B32" s="78"/>
      <c r="C32" s="77"/>
      <c r="D32" s="69"/>
      <c r="E32" s="69"/>
    </row>
    <row r="33" spans="2:5" ht="14.25" x14ac:dyDescent="0.15">
      <c r="B33" s="78"/>
      <c r="C33" s="78"/>
      <c r="D33" s="69"/>
      <c r="E33" s="69"/>
    </row>
    <row r="34" spans="2:5" ht="14.25" x14ac:dyDescent="0.15">
      <c r="B34" s="320"/>
      <c r="C34" s="320"/>
      <c r="D34" s="322"/>
      <c r="E34" s="321"/>
    </row>
    <row r="37" spans="2:5" ht="14.25" x14ac:dyDescent="0.15">
      <c r="B37" s="320"/>
      <c r="C37" s="320"/>
      <c r="D37" s="321"/>
      <c r="E37" s="321"/>
    </row>
  </sheetData>
  <sheetProtection algorithmName="SHA-512" hashValue="RluwfCq4QgWld3Oj/Ve9obThAE3Bm2Kw20gt4WEyvHb8geeuF+wtX4lDxsT6eAU8io1rvgAtdN9WPPihDQQ1JA==" saltValue="7j9S9BmrIVne5TFeOIHdUQ==" spinCount="100000" sheet="1" formatCells="0"/>
  <mergeCells count="20">
    <mergeCell ref="B2:D2"/>
    <mergeCell ref="B19:C19"/>
    <mergeCell ref="B23:C23"/>
    <mergeCell ref="B27:C27"/>
    <mergeCell ref="B25:C25"/>
    <mergeCell ref="D27:E27"/>
    <mergeCell ref="B37:C37"/>
    <mergeCell ref="D37:E37"/>
    <mergeCell ref="D34:E34"/>
    <mergeCell ref="C7:D7"/>
    <mergeCell ref="C8:D8"/>
    <mergeCell ref="C9:D9"/>
    <mergeCell ref="C10:D10"/>
    <mergeCell ref="D20:E20"/>
    <mergeCell ref="D25:E25"/>
    <mergeCell ref="B34:C34"/>
    <mergeCell ref="D31:E31"/>
    <mergeCell ref="B21:C21"/>
    <mergeCell ref="D23:E23"/>
    <mergeCell ref="B20:C20"/>
  </mergeCells>
  <phoneticPr fontId="7"/>
  <pageMargins left="0.70866141732283472" right="0.31496062992125984"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H346"/>
  <sheetViews>
    <sheetView showGridLines="0" view="pageBreakPreview" zoomScaleNormal="100" zoomScaleSheetLayoutView="100" workbookViewId="0">
      <selection activeCell="I22" sqref="I22"/>
    </sheetView>
  </sheetViews>
  <sheetFormatPr defaultColWidth="9" defaultRowHeight="18.75" x14ac:dyDescent="0.15"/>
  <cols>
    <col min="1" max="1" width="3.125" style="28" customWidth="1"/>
    <col min="2" max="2" width="28.25" style="28" customWidth="1"/>
    <col min="3" max="3" width="44.875" style="28" customWidth="1"/>
    <col min="4" max="4" width="8.375" style="28" customWidth="1"/>
    <col min="5" max="6" width="4.25" style="28" customWidth="1"/>
    <col min="7" max="7" width="8.875" style="28" customWidth="1"/>
    <col min="8" max="8" width="10.375" style="28" customWidth="1"/>
    <col min="9" max="16384" width="9" style="28"/>
  </cols>
  <sheetData>
    <row r="1" spans="2:8" ht="19.5" thickBot="1" x14ac:dyDescent="0.2">
      <c r="G1" s="1" t="str">
        <f>IF(COUNTIF(F:F,"×")&gt;0,"×","○")</f>
        <v>×</v>
      </c>
      <c r="H1" s="2" t="s">
        <v>16</v>
      </c>
    </row>
    <row r="2" spans="2:8" ht="17.25" customHeight="1" x14ac:dyDescent="0.15">
      <c r="B2" s="333" t="s">
        <v>17</v>
      </c>
      <c r="C2" s="333"/>
      <c r="D2" s="333"/>
      <c r="E2" s="25"/>
      <c r="F2" s="25"/>
    </row>
    <row r="3" spans="2:8" x14ac:dyDescent="0.15">
      <c r="B3" s="334" t="s">
        <v>18</v>
      </c>
      <c r="C3" s="334"/>
      <c r="D3" s="334"/>
      <c r="E3" s="25"/>
      <c r="F3" s="113" t="str">
        <f>IF(B3="○○○○○○○○","×","○")</f>
        <v>×</v>
      </c>
      <c r="G3" s="47" t="s">
        <v>19</v>
      </c>
    </row>
    <row r="4" spans="2:8" x14ac:dyDescent="0.15">
      <c r="B4" s="334" t="s">
        <v>20</v>
      </c>
      <c r="C4" s="334"/>
      <c r="D4" s="334"/>
      <c r="E4" s="25"/>
      <c r="F4" s="113" t="str">
        <f>IF(B4="令和　年　月　日","×","○")</f>
        <v>×</v>
      </c>
      <c r="G4" s="47" t="s">
        <v>21</v>
      </c>
    </row>
    <row r="5" spans="2:8" x14ac:dyDescent="0.15">
      <c r="B5" s="335" t="s">
        <v>22</v>
      </c>
      <c r="C5" s="336"/>
      <c r="D5" s="336"/>
      <c r="E5" s="336"/>
      <c r="F5" s="25"/>
    </row>
    <row r="6" spans="2:8" x14ac:dyDescent="0.15">
      <c r="B6" s="46"/>
      <c r="C6" s="25"/>
      <c r="D6" s="25"/>
      <c r="E6" s="25"/>
      <c r="F6" s="25"/>
    </row>
    <row r="7" spans="2:8" x14ac:dyDescent="0.15">
      <c r="B7" s="337" t="str">
        <f>'01（学校名入力）'!C7&amp;"長"</f>
        <v>長</v>
      </c>
      <c r="C7" s="337"/>
      <c r="D7" s="337"/>
      <c r="E7" s="25"/>
      <c r="F7" s="25"/>
      <c r="G7" s="47" t="s">
        <v>23</v>
      </c>
    </row>
    <row r="8" spans="2:8" x14ac:dyDescent="0.15">
      <c r="B8" s="46"/>
      <c r="C8" s="25"/>
      <c r="D8" s="25"/>
      <c r="E8" s="25"/>
      <c r="F8" s="25"/>
      <c r="G8" s="47" t="s">
        <v>24</v>
      </c>
    </row>
    <row r="9" spans="2:8" ht="18.75" customHeight="1" x14ac:dyDescent="0.15">
      <c r="B9" s="341" t="s">
        <v>25</v>
      </c>
      <c r="C9" s="341"/>
      <c r="D9" s="341"/>
      <c r="E9" s="316"/>
      <c r="F9" s="112"/>
    </row>
    <row r="10" spans="2:8" x14ac:dyDescent="0.15">
      <c r="B10" s="341" t="s">
        <v>26</v>
      </c>
      <c r="C10" s="341"/>
      <c r="D10" s="341"/>
      <c r="E10" s="316"/>
      <c r="F10" s="112"/>
    </row>
    <row r="11" spans="2:8" x14ac:dyDescent="0.15">
      <c r="B11" s="46"/>
      <c r="C11" s="25"/>
      <c r="D11" s="25"/>
      <c r="E11" s="25"/>
      <c r="F11" s="25"/>
    </row>
    <row r="12" spans="2:8" ht="28.5" customHeight="1" x14ac:dyDescent="0.15">
      <c r="B12" s="342" t="s">
        <v>27</v>
      </c>
      <c r="C12" s="342"/>
      <c r="D12" s="342"/>
      <c r="E12" s="26"/>
      <c r="F12" s="26"/>
      <c r="G12" s="95" t="s">
        <v>28</v>
      </c>
    </row>
    <row r="13" spans="2:8" ht="19.5" thickBot="1" x14ac:dyDescent="0.2">
      <c r="B13" s="42"/>
    </row>
    <row r="14" spans="2:8" ht="13.7" customHeight="1" x14ac:dyDescent="0.15">
      <c r="B14" s="27"/>
      <c r="C14" s="32"/>
      <c r="D14" s="33"/>
      <c r="E14" s="43"/>
      <c r="F14" s="43"/>
    </row>
    <row r="15" spans="2:8" ht="13.7" customHeight="1" thickBot="1" x14ac:dyDescent="0.2">
      <c r="B15" s="115" t="s">
        <v>29</v>
      </c>
      <c r="C15" s="39" t="s">
        <v>30</v>
      </c>
      <c r="D15" s="37" t="s">
        <v>31</v>
      </c>
      <c r="E15" s="43"/>
      <c r="F15" s="43"/>
    </row>
    <row r="16" spans="2:8" ht="19.5" customHeight="1" thickBot="1" x14ac:dyDescent="0.2">
      <c r="B16" s="338" t="s">
        <v>32</v>
      </c>
      <c r="C16" s="172" t="str">
        <f>IF('04（様式３）単位数の新旧対照表 '!D12="","",'04（様式３）単位数の新旧対照表 '!D12)</f>
        <v/>
      </c>
      <c r="D16" s="172" t="str">
        <f>IF('04（様式３）単位数の新旧対照表 '!E12="","",'04（様式３）単位数の新旧対照表 '!E12)</f>
        <v/>
      </c>
      <c r="E16" s="44"/>
      <c r="F16" s="44"/>
    </row>
    <row r="17" spans="2:6" ht="19.5" customHeight="1" thickBot="1" x14ac:dyDescent="0.2">
      <c r="B17" s="339"/>
      <c r="C17" s="172" t="str">
        <f>IF('04（様式３）単位数の新旧対照表 '!D13="","",'04（様式３）単位数の新旧対照表 '!D13)</f>
        <v/>
      </c>
      <c r="D17" s="172" t="str">
        <f>IF('04（様式３）単位数の新旧対照表 '!E13="","",'04（様式３）単位数の新旧対照表 '!E13)</f>
        <v/>
      </c>
      <c r="E17" s="44"/>
      <c r="F17" s="44"/>
    </row>
    <row r="18" spans="2:6" ht="19.5" customHeight="1" thickBot="1" x14ac:dyDescent="0.2">
      <c r="B18" s="339"/>
      <c r="C18" s="172" t="str">
        <f>IF('04（様式３）単位数の新旧対照表 '!D14="","",'04（様式３）単位数の新旧対照表 '!D14)</f>
        <v/>
      </c>
      <c r="D18" s="172" t="str">
        <f>IF('04（様式３）単位数の新旧対照表 '!E14="","",'04（様式３）単位数の新旧対照表 '!E14)</f>
        <v/>
      </c>
      <c r="E18" s="44"/>
      <c r="F18" s="44"/>
    </row>
    <row r="19" spans="2:6" ht="19.5" customHeight="1" thickBot="1" x14ac:dyDescent="0.2">
      <c r="B19" s="339"/>
      <c r="C19" s="172" t="str">
        <f>IF('04（様式３）単位数の新旧対照表 '!D15="","",'04（様式３）単位数の新旧対照表 '!D15)</f>
        <v/>
      </c>
      <c r="D19" s="172" t="str">
        <f>IF('04（様式３）単位数の新旧対照表 '!E15="","",'04（様式３）単位数の新旧対照表 '!E15)</f>
        <v/>
      </c>
      <c r="E19" s="44"/>
      <c r="F19" s="44"/>
    </row>
    <row r="20" spans="2:6" ht="19.5" customHeight="1" thickBot="1" x14ac:dyDescent="0.2">
      <c r="B20" s="340"/>
      <c r="C20" s="172" t="str">
        <f>IF('04（様式３）単位数の新旧対照表 '!D16="","",'04（様式３）単位数の新旧対照表 '!D16)</f>
        <v/>
      </c>
      <c r="D20" s="172" t="str">
        <f>IF('04（様式３）単位数の新旧対照表 '!E16="","",'04（様式３）単位数の新旧対照表 '!E16)</f>
        <v/>
      </c>
      <c r="E20" s="44"/>
      <c r="F20" s="44"/>
    </row>
    <row r="21" spans="2:6" ht="19.5" thickBot="1" x14ac:dyDescent="0.2">
      <c r="B21" s="338" t="s">
        <v>33</v>
      </c>
      <c r="C21" s="172" t="str">
        <f>IF('04（様式３）単位数の新旧対照表 '!D17="","",'04（様式３）単位数の新旧対照表 '!D17)</f>
        <v/>
      </c>
      <c r="D21" s="172" t="str">
        <f>IF('04（様式３）単位数の新旧対照表 '!E17="","",'04（様式３）単位数の新旧対照表 '!E17)</f>
        <v/>
      </c>
      <c r="E21" s="44"/>
      <c r="F21" s="44"/>
    </row>
    <row r="22" spans="2:6" ht="19.5" thickBot="1" x14ac:dyDescent="0.2">
      <c r="B22" s="339"/>
      <c r="C22" s="172" t="str">
        <f>IF('04（様式３）単位数の新旧対照表 '!D18="","",'04（様式３）単位数の新旧対照表 '!D18)</f>
        <v/>
      </c>
      <c r="D22" s="172" t="str">
        <f>IF('04（様式３）単位数の新旧対照表 '!E18="","",'04（様式３）単位数の新旧対照表 '!E18)</f>
        <v/>
      </c>
      <c r="E22" s="44"/>
      <c r="F22" s="44"/>
    </row>
    <row r="23" spans="2:6" ht="19.5" thickBot="1" x14ac:dyDescent="0.2">
      <c r="B23" s="339"/>
      <c r="C23" s="172" t="str">
        <f>IF('04（様式３）単位数の新旧対照表 '!D19="","",'04（様式３）単位数の新旧対照表 '!D19)</f>
        <v/>
      </c>
      <c r="D23" s="172" t="str">
        <f>IF('04（様式３）単位数の新旧対照表 '!E19="","",'04（様式３）単位数の新旧対照表 '!E19)</f>
        <v/>
      </c>
      <c r="E23" s="44"/>
      <c r="F23" s="44"/>
    </row>
    <row r="24" spans="2:6" ht="19.5" thickBot="1" x14ac:dyDescent="0.2">
      <c r="B24" s="339"/>
      <c r="C24" s="172" t="str">
        <f>IF('04（様式３）単位数の新旧対照表 '!D20="","",'04（様式３）単位数の新旧対照表 '!D20)</f>
        <v/>
      </c>
      <c r="D24" s="172" t="str">
        <f>IF('04（様式３）単位数の新旧対照表 '!E20="","",'04（様式３）単位数の新旧対照表 '!E20)</f>
        <v/>
      </c>
      <c r="E24" s="44"/>
      <c r="F24" s="44"/>
    </row>
    <row r="25" spans="2:6" ht="19.5" thickBot="1" x14ac:dyDescent="0.2">
      <c r="B25" s="340"/>
      <c r="C25" s="172" t="str">
        <f>IF('04（様式３）単位数の新旧対照表 '!D21="","",'04（様式３）単位数の新旧対照表 '!D21)</f>
        <v/>
      </c>
      <c r="D25" s="172" t="str">
        <f>IF('04（様式３）単位数の新旧対照表 '!E21="","",'04（様式３）単位数の新旧対照表 '!E21)</f>
        <v/>
      </c>
      <c r="E25" s="44"/>
      <c r="F25" s="44"/>
    </row>
    <row r="26" spans="2:6" ht="19.5" thickBot="1" x14ac:dyDescent="0.2">
      <c r="B26" s="338" t="s">
        <v>34</v>
      </c>
      <c r="C26" s="172" t="str">
        <f>IF('04（様式３）単位数の新旧対照表 '!D22="","",'04（様式３）単位数の新旧対照表 '!D22)</f>
        <v/>
      </c>
      <c r="D26" s="172" t="str">
        <f>IF('04（様式３）単位数の新旧対照表 '!E22="","",'04（様式３）単位数の新旧対照表 '!E22)</f>
        <v/>
      </c>
      <c r="E26" s="44"/>
      <c r="F26" s="44"/>
    </row>
    <row r="27" spans="2:6" ht="19.5" thickBot="1" x14ac:dyDescent="0.2">
      <c r="B27" s="339"/>
      <c r="C27" s="172" t="str">
        <f>IF('04（様式３）単位数の新旧対照表 '!D23="","",'04（様式３）単位数の新旧対照表 '!D23)</f>
        <v/>
      </c>
      <c r="D27" s="172" t="str">
        <f>IF('04（様式３）単位数の新旧対照表 '!E23="","",'04（様式３）単位数の新旧対照表 '!E23)</f>
        <v/>
      </c>
      <c r="E27" s="44"/>
      <c r="F27" s="44"/>
    </row>
    <row r="28" spans="2:6" ht="19.5" thickBot="1" x14ac:dyDescent="0.2">
      <c r="B28" s="339"/>
      <c r="C28" s="172" t="str">
        <f>IF('04（様式３）単位数の新旧対照表 '!D24="","",'04（様式３）単位数の新旧対照表 '!D24)</f>
        <v/>
      </c>
      <c r="D28" s="172" t="str">
        <f>IF('04（様式３）単位数の新旧対照表 '!E24="","",'04（様式３）単位数の新旧対照表 '!E24)</f>
        <v/>
      </c>
      <c r="E28" s="44"/>
      <c r="F28" s="44"/>
    </row>
    <row r="29" spans="2:6" ht="19.5" thickBot="1" x14ac:dyDescent="0.2">
      <c r="B29" s="339"/>
      <c r="C29" s="172" t="str">
        <f>IF('04（様式３）単位数の新旧対照表 '!D25="","",'04（様式３）単位数の新旧対照表 '!D25)</f>
        <v/>
      </c>
      <c r="D29" s="172" t="str">
        <f>IF('04（様式３）単位数の新旧対照表 '!E25="","",'04（様式３）単位数の新旧対照表 '!E25)</f>
        <v/>
      </c>
      <c r="E29" s="44"/>
      <c r="F29" s="44"/>
    </row>
    <row r="30" spans="2:6" ht="19.5" thickBot="1" x14ac:dyDescent="0.2">
      <c r="B30" s="339"/>
      <c r="C30" s="172" t="str">
        <f>IF('04（様式３）単位数の新旧対照表 '!D26="","",'04（様式３）単位数の新旧対照表 '!D26)</f>
        <v/>
      </c>
      <c r="D30" s="172" t="str">
        <f>IF('04（様式３）単位数の新旧対照表 '!E26="","",'04（様式３）単位数の新旧対照表 '!E26)</f>
        <v/>
      </c>
      <c r="E30" s="44"/>
      <c r="F30" s="44"/>
    </row>
    <row r="31" spans="2:6" ht="19.5" thickBot="1" x14ac:dyDescent="0.2">
      <c r="B31" s="339"/>
      <c r="C31" s="172" t="str">
        <f>IF('04（様式３）単位数の新旧対照表 '!D42="","",'04（様式３）単位数の新旧対照表 '!D42)</f>
        <v/>
      </c>
      <c r="D31" s="172" t="str">
        <f>IF('04（様式３）単位数の新旧対照表 '!E42="","",'04（様式３）単位数の新旧対照表 '!E42)</f>
        <v/>
      </c>
      <c r="E31" s="44"/>
      <c r="F31" s="44"/>
    </row>
    <row r="32" spans="2:6" ht="19.5" thickBot="1" x14ac:dyDescent="0.2">
      <c r="B32" s="339"/>
      <c r="C32" s="172" t="str">
        <f>IF('04（様式３）単位数の新旧対照表 '!D43="","",'04（様式３）単位数の新旧対照表 '!D43)</f>
        <v/>
      </c>
      <c r="D32" s="172" t="str">
        <f>IF('04（様式３）単位数の新旧対照表 '!E43="","",'04（様式３）単位数の新旧対照表 '!E43)</f>
        <v/>
      </c>
      <c r="E32" s="44"/>
      <c r="F32" s="44"/>
    </row>
    <row r="33" spans="2:6" ht="19.5" thickBot="1" x14ac:dyDescent="0.2">
      <c r="B33" s="339"/>
      <c r="C33" s="172" t="str">
        <f>IF('04（様式３）単位数の新旧対照表 '!D44="","",'04（様式３）単位数の新旧対照表 '!D44)</f>
        <v/>
      </c>
      <c r="D33" s="172" t="str">
        <f>IF('04（様式３）単位数の新旧対照表 '!E44="","",'04（様式３）単位数の新旧対照表 '!E44)</f>
        <v/>
      </c>
      <c r="E33" s="44"/>
      <c r="F33" s="44"/>
    </row>
    <row r="34" spans="2:6" ht="19.5" thickBot="1" x14ac:dyDescent="0.2">
      <c r="B34" s="339"/>
      <c r="C34" s="172" t="str">
        <f>IF('04（様式３）単位数の新旧対照表 '!D45="","",'04（様式３）単位数の新旧対照表 '!D45)</f>
        <v/>
      </c>
      <c r="D34" s="172" t="str">
        <f>IF('04（様式３）単位数の新旧対照表 '!E45="","",'04（様式３）単位数の新旧対照表 '!E45)</f>
        <v/>
      </c>
      <c r="E34" s="44"/>
      <c r="F34" s="44"/>
    </row>
    <row r="35" spans="2:6" ht="19.5" thickBot="1" x14ac:dyDescent="0.2">
      <c r="B35" s="340"/>
      <c r="C35" s="172" t="str">
        <f>IF('04（様式３）単位数の新旧対照表 '!D46="","",'04（様式３）単位数の新旧対照表 '!D46)</f>
        <v/>
      </c>
      <c r="D35" s="172" t="str">
        <f>IF('04（様式３）単位数の新旧対照表 '!E46="","",'04（様式３）単位数の新旧対照表 '!E46)</f>
        <v/>
      </c>
      <c r="E35" s="44"/>
      <c r="F35" s="44"/>
    </row>
    <row r="36" spans="2:6" ht="19.5" thickBot="1" x14ac:dyDescent="0.2">
      <c r="B36" s="338" t="s">
        <v>35</v>
      </c>
      <c r="C36" s="172" t="str">
        <f>IF('04（様式３）単位数の新旧対照表 '!D27="","",'04（様式３）単位数の新旧対照表 '!D27)</f>
        <v/>
      </c>
      <c r="D36" s="172" t="str">
        <f>IF('04（様式３）単位数の新旧対照表 '!E27="","",'04（様式３）単位数の新旧対照表 '!E27)</f>
        <v/>
      </c>
      <c r="E36" s="44"/>
      <c r="F36" s="44"/>
    </row>
    <row r="37" spans="2:6" ht="19.5" thickBot="1" x14ac:dyDescent="0.2">
      <c r="B37" s="339"/>
      <c r="C37" s="172" t="str">
        <f>IF('04（様式３）単位数の新旧対照表 '!D28="","",'04（様式３）単位数の新旧対照表 '!D28)</f>
        <v/>
      </c>
      <c r="D37" s="172" t="str">
        <f>IF('04（様式３）単位数の新旧対照表 '!E28="","",'04（様式３）単位数の新旧対照表 '!E28)</f>
        <v/>
      </c>
      <c r="E37" s="44"/>
      <c r="F37" s="44"/>
    </row>
    <row r="38" spans="2:6" ht="19.5" thickBot="1" x14ac:dyDescent="0.2">
      <c r="B38" s="339"/>
      <c r="C38" s="172" t="str">
        <f>IF('04（様式３）単位数の新旧対照表 '!D29="","",'04（様式３）単位数の新旧対照表 '!D29)</f>
        <v/>
      </c>
      <c r="D38" s="172" t="str">
        <f>IF('04（様式３）単位数の新旧対照表 '!E29="","",'04（様式３）単位数の新旧対照表 '!E29)</f>
        <v/>
      </c>
      <c r="E38" s="44"/>
      <c r="F38" s="44"/>
    </row>
    <row r="39" spans="2:6" ht="19.5" thickBot="1" x14ac:dyDescent="0.2">
      <c r="B39" s="339"/>
      <c r="C39" s="172" t="str">
        <f>IF('04（様式３）単位数の新旧対照表 '!D30="","",'04（様式３）単位数の新旧対照表 '!D30)</f>
        <v/>
      </c>
      <c r="D39" s="172" t="str">
        <f>IF('04（様式３）単位数の新旧対照表 '!E30="","",'04（様式３）単位数の新旧対照表 '!E30)</f>
        <v/>
      </c>
      <c r="E39" s="44"/>
      <c r="F39" s="44"/>
    </row>
    <row r="40" spans="2:6" ht="19.5" thickBot="1" x14ac:dyDescent="0.2">
      <c r="B40" s="340"/>
      <c r="C40" s="172" t="str">
        <f>IF('04（様式３）単位数の新旧対照表 '!D31="","",'04（様式３）単位数の新旧対照表 '!D31)</f>
        <v/>
      </c>
      <c r="D40" s="172" t="str">
        <f>IF('04（様式３）単位数の新旧対照表 '!E31="","",'04（様式３）単位数の新旧対照表 '!E31)</f>
        <v/>
      </c>
      <c r="E40" s="44"/>
      <c r="F40" s="44"/>
    </row>
    <row r="41" spans="2:6" ht="19.5" thickBot="1" x14ac:dyDescent="0.2">
      <c r="B41" s="338" t="s">
        <v>36</v>
      </c>
      <c r="C41" s="172" t="str">
        <f>IF('04（様式３）単位数の新旧対照表 '!D32="","",'04（様式３）単位数の新旧対照表 '!D32)</f>
        <v/>
      </c>
      <c r="D41" s="172" t="str">
        <f>IF('04（様式３）単位数の新旧対照表 '!E32="","",'04（様式３）単位数の新旧対照表 '!E32)</f>
        <v/>
      </c>
      <c r="E41" s="44"/>
      <c r="F41" s="44"/>
    </row>
    <row r="42" spans="2:6" ht="19.5" thickBot="1" x14ac:dyDescent="0.2">
      <c r="B42" s="339"/>
      <c r="C42" s="172" t="str">
        <f>IF('04（様式３）単位数の新旧対照表 '!D33="","",'04（様式３）単位数の新旧対照表 '!D33)</f>
        <v/>
      </c>
      <c r="D42" s="172" t="str">
        <f>IF('04（様式３）単位数の新旧対照表 '!E33="","",'04（様式３）単位数の新旧対照表 '!E33)</f>
        <v/>
      </c>
      <c r="E42" s="44"/>
      <c r="F42" s="44"/>
    </row>
    <row r="43" spans="2:6" ht="19.5" thickBot="1" x14ac:dyDescent="0.2">
      <c r="B43" s="339"/>
      <c r="C43" s="172" t="str">
        <f>IF('04（様式３）単位数の新旧対照表 '!D34="","",'04（様式３）単位数の新旧対照表 '!D34)</f>
        <v/>
      </c>
      <c r="D43" s="172" t="str">
        <f>IF('04（様式３）単位数の新旧対照表 '!E34="","",'04（様式３）単位数の新旧対照表 '!E34)</f>
        <v/>
      </c>
      <c r="E43" s="44"/>
      <c r="F43" s="44"/>
    </row>
    <row r="44" spans="2:6" ht="19.5" thickBot="1" x14ac:dyDescent="0.2">
      <c r="B44" s="339"/>
      <c r="C44" s="172" t="str">
        <f>IF('04（様式３）単位数の新旧対照表 '!D35="","",'04（様式３）単位数の新旧対照表 '!D35)</f>
        <v/>
      </c>
      <c r="D44" s="172" t="str">
        <f>IF('04（様式３）単位数の新旧対照表 '!E35="","",'04（様式３）単位数の新旧対照表 '!E35)</f>
        <v/>
      </c>
      <c r="E44" s="44"/>
      <c r="F44" s="44"/>
    </row>
    <row r="45" spans="2:6" ht="19.5" thickBot="1" x14ac:dyDescent="0.2">
      <c r="B45" s="340"/>
      <c r="C45" s="172" t="str">
        <f>IF('04（様式３）単位数の新旧対照表 '!D36="","",'04（様式３）単位数の新旧対照表 '!D36)</f>
        <v/>
      </c>
      <c r="D45" s="172" t="str">
        <f>IF('04（様式３）単位数の新旧対照表 '!E36="","",'04（様式３）単位数の新旧対照表 '!E36)</f>
        <v/>
      </c>
      <c r="E45" s="44"/>
      <c r="F45" s="44"/>
    </row>
    <row r="46" spans="2:6" ht="19.5" thickBot="1" x14ac:dyDescent="0.2">
      <c r="B46" s="338" t="s">
        <v>37</v>
      </c>
      <c r="C46" s="172" t="str">
        <f>IF('04（様式３）単位数の新旧対照表 '!D37="","",'04（様式３）単位数の新旧対照表 '!D37)</f>
        <v/>
      </c>
      <c r="D46" s="172" t="str">
        <f>IF('04（様式３）単位数の新旧対照表 '!E37="","",'04（様式３）単位数の新旧対照表 '!E37)</f>
        <v/>
      </c>
      <c r="E46" s="44"/>
      <c r="F46" s="44"/>
    </row>
    <row r="47" spans="2:6" ht="19.5" thickBot="1" x14ac:dyDescent="0.2">
      <c r="B47" s="339"/>
      <c r="C47" s="172" t="str">
        <f>IF('04（様式３）単位数の新旧対照表 '!D38="","",'04（様式３）単位数の新旧対照表 '!D38)</f>
        <v/>
      </c>
      <c r="D47" s="172" t="str">
        <f>IF('04（様式３）単位数の新旧対照表 '!E38="","",'04（様式３）単位数の新旧対照表 '!E38)</f>
        <v/>
      </c>
      <c r="E47" s="44"/>
      <c r="F47" s="44"/>
    </row>
    <row r="48" spans="2:6" ht="19.5" thickBot="1" x14ac:dyDescent="0.2">
      <c r="B48" s="339"/>
      <c r="C48" s="172" t="str">
        <f>IF('04（様式３）単位数の新旧対照表 '!D39="","",'04（様式３）単位数の新旧対照表 '!D39)</f>
        <v/>
      </c>
      <c r="D48" s="172" t="str">
        <f>IF('04（様式３）単位数の新旧対照表 '!E39="","",'04（様式３）単位数の新旧対照表 '!E39)</f>
        <v/>
      </c>
      <c r="E48" s="44"/>
      <c r="F48" s="44"/>
    </row>
    <row r="49" spans="2:6" ht="19.5" thickBot="1" x14ac:dyDescent="0.2">
      <c r="B49" s="339"/>
      <c r="C49" s="172" t="str">
        <f>IF('04（様式３）単位数の新旧対照表 '!D40="","",'04（様式３）単位数の新旧対照表 '!D40)</f>
        <v/>
      </c>
      <c r="D49" s="172" t="str">
        <f>IF('04（様式３）単位数の新旧対照表 '!E40="","",'04（様式３）単位数の新旧対照表 '!E40)</f>
        <v/>
      </c>
      <c r="E49" s="44"/>
      <c r="F49" s="44"/>
    </row>
    <row r="50" spans="2:6" ht="19.5" thickBot="1" x14ac:dyDescent="0.2">
      <c r="B50" s="340"/>
      <c r="C50" s="172" t="str">
        <f>IF('04（様式３）単位数の新旧対照表 '!D41="","",'04（様式３）単位数の新旧対照表 '!D41)</f>
        <v/>
      </c>
      <c r="D50" s="172" t="str">
        <f>IF('04（様式３）単位数の新旧対照表 '!E41="","",'04（様式３）単位数の新旧対照表 '!E41)</f>
        <v/>
      </c>
      <c r="E50" s="44"/>
      <c r="F50" s="44"/>
    </row>
    <row r="51" spans="2:6" ht="19.5" thickBot="1" x14ac:dyDescent="0.2">
      <c r="B51" s="338" t="s">
        <v>38</v>
      </c>
      <c r="C51" s="172" t="str">
        <f>IF('04（様式３）単位数の新旧対照表 '!D47="","",'04（様式３）単位数の新旧対照表 '!D47)</f>
        <v/>
      </c>
      <c r="D51" s="172" t="str">
        <f>IF('04（様式３）単位数の新旧対照表 '!E47="","",'04（様式３）単位数の新旧対照表 '!E47)</f>
        <v/>
      </c>
      <c r="E51" s="44"/>
      <c r="F51" s="44"/>
    </row>
    <row r="52" spans="2:6" ht="19.5" thickBot="1" x14ac:dyDescent="0.2">
      <c r="B52" s="339"/>
      <c r="C52" s="172" t="str">
        <f>IF('04（様式３）単位数の新旧対照表 '!D48="","",'04（様式３）単位数の新旧対照表 '!D48)</f>
        <v/>
      </c>
      <c r="D52" s="172" t="str">
        <f>IF('04（様式３）単位数の新旧対照表 '!E48="","",'04（様式３）単位数の新旧対照表 '!E48)</f>
        <v/>
      </c>
      <c r="E52" s="44"/>
      <c r="F52" s="44"/>
    </row>
    <row r="53" spans="2:6" ht="19.5" thickBot="1" x14ac:dyDescent="0.2">
      <c r="B53" s="339"/>
      <c r="C53" s="172" t="str">
        <f>IF('04（様式３）単位数の新旧対照表 '!D49="","",'04（様式３）単位数の新旧対照表 '!D49)</f>
        <v/>
      </c>
      <c r="D53" s="172" t="str">
        <f>IF('04（様式３）単位数の新旧対照表 '!E49="","",'04（様式３）単位数の新旧対照表 '!E49)</f>
        <v/>
      </c>
      <c r="E53" s="44"/>
      <c r="F53" s="44"/>
    </row>
    <row r="54" spans="2:6" ht="19.5" thickBot="1" x14ac:dyDescent="0.2">
      <c r="B54" s="339"/>
      <c r="C54" s="172" t="str">
        <f>IF('04（様式３）単位数の新旧対照表 '!D50="","",'04（様式３）単位数の新旧対照表 '!D50)</f>
        <v/>
      </c>
      <c r="D54" s="172" t="str">
        <f>IF('04（様式３）単位数の新旧対照表 '!E50="","",'04（様式３）単位数の新旧対照表 '!E50)</f>
        <v/>
      </c>
      <c r="E54" s="44"/>
      <c r="F54" s="44"/>
    </row>
    <row r="55" spans="2:6" ht="19.5" thickBot="1" x14ac:dyDescent="0.2">
      <c r="B55" s="340"/>
      <c r="C55" s="172" t="str">
        <f>IF('04（様式３）単位数の新旧対照表 '!D51="","",'04（様式３）単位数の新旧対照表 '!D51)</f>
        <v/>
      </c>
      <c r="D55" s="172" t="str">
        <f>IF('04（様式３）単位数の新旧対照表 '!E51="","",'04（様式３）単位数の新旧対照表 '!E51)</f>
        <v/>
      </c>
      <c r="E55" s="44"/>
      <c r="F55" s="44"/>
    </row>
    <row r="56" spans="2:6" ht="19.5" thickBot="1" x14ac:dyDescent="0.2">
      <c r="B56" s="338" t="s">
        <v>39</v>
      </c>
      <c r="C56" s="172" t="str">
        <f>IF('04（様式３）単位数の新旧対照表 '!D52="","",'04（様式３）単位数の新旧対照表 '!D52)</f>
        <v/>
      </c>
      <c r="D56" s="172" t="str">
        <f>IF('04（様式３）単位数の新旧対照表 '!E52="","",'04（様式３）単位数の新旧対照表 '!E52)</f>
        <v/>
      </c>
      <c r="E56" s="44"/>
      <c r="F56" s="44"/>
    </row>
    <row r="57" spans="2:6" ht="19.5" thickBot="1" x14ac:dyDescent="0.2">
      <c r="B57" s="339"/>
      <c r="C57" s="172" t="str">
        <f>IF('04（様式３）単位数の新旧対照表 '!D53="","",'04（様式３）単位数の新旧対照表 '!D53)</f>
        <v/>
      </c>
      <c r="D57" s="172" t="str">
        <f>IF('04（様式３）単位数の新旧対照表 '!E53="","",'04（様式３）単位数の新旧対照表 '!E53)</f>
        <v/>
      </c>
      <c r="E57" s="44"/>
      <c r="F57" s="44"/>
    </row>
    <row r="58" spans="2:6" ht="19.5" thickBot="1" x14ac:dyDescent="0.2">
      <c r="B58" s="339"/>
      <c r="C58" s="172" t="str">
        <f>IF('04（様式３）単位数の新旧対照表 '!D54="","",'04（様式３）単位数の新旧対照表 '!D54)</f>
        <v/>
      </c>
      <c r="D58" s="172" t="str">
        <f>IF('04（様式３）単位数の新旧対照表 '!E54="","",'04（様式３）単位数の新旧対照表 '!E54)</f>
        <v/>
      </c>
      <c r="E58" s="44"/>
      <c r="F58" s="44"/>
    </row>
    <row r="59" spans="2:6" ht="19.5" thickBot="1" x14ac:dyDescent="0.2">
      <c r="B59" s="339"/>
      <c r="C59" s="172" t="str">
        <f>IF('04（様式３）単位数の新旧対照表 '!D55="","",'04（様式３）単位数の新旧対照表 '!D55)</f>
        <v/>
      </c>
      <c r="D59" s="172" t="str">
        <f>IF('04（様式３）単位数の新旧対照表 '!E55="","",'04（様式３）単位数の新旧対照表 '!E55)</f>
        <v/>
      </c>
      <c r="E59" s="44"/>
      <c r="F59" s="44"/>
    </row>
    <row r="60" spans="2:6" ht="19.5" thickBot="1" x14ac:dyDescent="0.2">
      <c r="B60" s="340"/>
      <c r="C60" s="172" t="str">
        <f>IF('04（様式３）単位数の新旧対照表 '!D56="","",'04（様式３）単位数の新旧対照表 '!D56)</f>
        <v/>
      </c>
      <c r="D60" s="172" t="str">
        <f>IF('04（様式３）単位数の新旧対照表 '!E56="","",'04（様式３）単位数の新旧対照表 '!E56)</f>
        <v/>
      </c>
      <c r="E60" s="44"/>
      <c r="F60" s="44"/>
    </row>
    <row r="61" spans="2:6" ht="19.5" thickBot="1" x14ac:dyDescent="0.2">
      <c r="B61" s="338" t="s">
        <v>40</v>
      </c>
      <c r="C61" s="172" t="str">
        <f>IF('04（様式３）単位数の新旧対照表 '!D57="","",'04（様式３）単位数の新旧対照表 '!D57)</f>
        <v/>
      </c>
      <c r="D61" s="172" t="str">
        <f>IF('04（様式３）単位数の新旧対照表 '!E57="","",'04（様式３）単位数の新旧対照表 '!E57)</f>
        <v/>
      </c>
      <c r="E61" s="44"/>
      <c r="F61" s="44"/>
    </row>
    <row r="62" spans="2:6" ht="19.5" thickBot="1" x14ac:dyDescent="0.2">
      <c r="B62" s="339"/>
      <c r="C62" s="172" t="str">
        <f>IF('04（様式３）単位数の新旧対照表 '!D58="","",'04（様式３）単位数の新旧対照表 '!D58)</f>
        <v/>
      </c>
      <c r="D62" s="172" t="str">
        <f>IF('04（様式３）単位数の新旧対照表 '!E58="","",'04（様式３）単位数の新旧対照表 '!E58)</f>
        <v/>
      </c>
      <c r="E62" s="44"/>
      <c r="F62" s="44"/>
    </row>
    <row r="63" spans="2:6" ht="19.5" thickBot="1" x14ac:dyDescent="0.2">
      <c r="B63" s="339"/>
      <c r="C63" s="172" t="str">
        <f>IF('04（様式３）単位数の新旧対照表 '!D59="","",'04（様式３）単位数の新旧対照表 '!D59)</f>
        <v/>
      </c>
      <c r="D63" s="172" t="str">
        <f>IF('04（様式３）単位数の新旧対照表 '!E59="","",'04（様式３）単位数の新旧対照表 '!E59)</f>
        <v/>
      </c>
      <c r="E63" s="44"/>
      <c r="F63" s="44"/>
    </row>
    <row r="64" spans="2:6" ht="19.5" thickBot="1" x14ac:dyDescent="0.2">
      <c r="B64" s="339"/>
      <c r="C64" s="172" t="str">
        <f>IF('04（様式３）単位数の新旧対照表 '!D60="","",'04（様式３）単位数の新旧対照表 '!D60)</f>
        <v/>
      </c>
      <c r="D64" s="172" t="str">
        <f>IF('04（様式３）単位数の新旧対照表 '!E60="","",'04（様式３）単位数の新旧対照表 '!E60)</f>
        <v/>
      </c>
      <c r="E64" s="44"/>
      <c r="F64" s="44"/>
    </row>
    <row r="65" spans="2:6" ht="19.5" thickBot="1" x14ac:dyDescent="0.2">
      <c r="B65" s="340"/>
      <c r="C65" s="172" t="str">
        <f>IF('04（様式３）単位数の新旧対照表 '!D61="","",'04（様式３）単位数の新旧対照表 '!D61)</f>
        <v/>
      </c>
      <c r="D65" s="172" t="str">
        <f>IF('04（様式３）単位数の新旧対照表 '!E61="","",'04（様式３）単位数の新旧対照表 '!E61)</f>
        <v/>
      </c>
      <c r="E65" s="44"/>
      <c r="F65" s="44"/>
    </row>
    <row r="66" spans="2:6" ht="19.5" thickBot="1" x14ac:dyDescent="0.2">
      <c r="B66" s="338" t="s">
        <v>41</v>
      </c>
      <c r="C66" s="172" t="str">
        <f>IF('04（様式３）単位数の新旧対照表 '!D62="","",'04（様式３）単位数の新旧対照表 '!D62)</f>
        <v/>
      </c>
      <c r="D66" s="172" t="str">
        <f>IF('04（様式３）単位数の新旧対照表 '!E62="","",'04（様式３）単位数の新旧対照表 '!E62)</f>
        <v/>
      </c>
      <c r="E66" s="44"/>
      <c r="F66" s="44"/>
    </row>
    <row r="67" spans="2:6" ht="19.5" thickBot="1" x14ac:dyDescent="0.2">
      <c r="B67" s="339"/>
      <c r="C67" s="172" t="str">
        <f>IF('04（様式３）単位数の新旧対照表 '!D63="","",'04（様式３）単位数の新旧対照表 '!D63)</f>
        <v/>
      </c>
      <c r="D67" s="172" t="str">
        <f>IF('04（様式３）単位数の新旧対照表 '!E63="","",'04（様式３）単位数の新旧対照表 '!E63)</f>
        <v/>
      </c>
      <c r="E67" s="44"/>
      <c r="F67" s="44"/>
    </row>
    <row r="68" spans="2:6" ht="19.5" thickBot="1" x14ac:dyDescent="0.2">
      <c r="B68" s="339"/>
      <c r="C68" s="172" t="str">
        <f>IF('04（様式３）単位数の新旧対照表 '!D64="","",'04（様式３）単位数の新旧対照表 '!D64)</f>
        <v/>
      </c>
      <c r="D68" s="172" t="str">
        <f>IF('04（様式３）単位数の新旧対照表 '!E64="","",'04（様式３）単位数の新旧対照表 '!E64)</f>
        <v/>
      </c>
      <c r="E68" s="44"/>
      <c r="F68" s="44"/>
    </row>
    <row r="69" spans="2:6" ht="19.5" thickBot="1" x14ac:dyDescent="0.2">
      <c r="B69" s="339"/>
      <c r="C69" s="172" t="str">
        <f>IF('04（様式３）単位数の新旧対照表 '!D65="","",'04（様式３）単位数の新旧対照表 '!D65)</f>
        <v/>
      </c>
      <c r="D69" s="172" t="str">
        <f>IF('04（様式３）単位数の新旧対照表 '!E65="","",'04（様式３）単位数の新旧対照表 '!E65)</f>
        <v/>
      </c>
      <c r="E69" s="44"/>
      <c r="F69" s="44"/>
    </row>
    <row r="70" spans="2:6" ht="19.5" thickBot="1" x14ac:dyDescent="0.2">
      <c r="B70" s="339"/>
      <c r="C70" s="172" t="str">
        <f>IF('04（様式３）単位数の新旧対照表 '!D66="","",'04（様式３）単位数の新旧対照表 '!D66)</f>
        <v/>
      </c>
      <c r="D70" s="172" t="str">
        <f>IF('04（様式３）単位数の新旧対照表 '!E66="","",'04（様式３）単位数の新旧対照表 '!E66)</f>
        <v/>
      </c>
      <c r="E70" s="44"/>
      <c r="F70" s="44"/>
    </row>
    <row r="71" spans="2:6" ht="19.5" thickBot="1" x14ac:dyDescent="0.2">
      <c r="B71" s="339"/>
      <c r="C71" s="172" t="str">
        <f>IF('04（様式３）単位数の新旧対照表 '!D191="","",'04（様式３）単位数の新旧対照表 '!D191)</f>
        <v/>
      </c>
      <c r="D71" s="172" t="str">
        <f>IF('04（様式３）単位数の新旧対照表 '!E191="","",'04（様式３）単位数の新旧対照表 '!E191)</f>
        <v/>
      </c>
      <c r="E71" s="44"/>
      <c r="F71" s="44"/>
    </row>
    <row r="72" spans="2:6" ht="19.5" thickBot="1" x14ac:dyDescent="0.2">
      <c r="B72" s="339"/>
      <c r="C72" s="172" t="str">
        <f>IF('04（様式３）単位数の新旧対照表 '!D192="","",'04（様式３）単位数の新旧対照表 '!D192)</f>
        <v/>
      </c>
      <c r="D72" s="172" t="str">
        <f>IF('04（様式３）単位数の新旧対照表 '!E192="","",'04（様式３）単位数の新旧対照表 '!E192)</f>
        <v/>
      </c>
      <c r="E72" s="44"/>
      <c r="F72" s="44"/>
    </row>
    <row r="73" spans="2:6" ht="19.5" thickBot="1" x14ac:dyDescent="0.2">
      <c r="B73" s="339"/>
      <c r="C73" s="172" t="str">
        <f>IF('04（様式３）単位数の新旧対照表 '!D193="","",'04（様式３）単位数の新旧対照表 '!D193)</f>
        <v/>
      </c>
      <c r="D73" s="172" t="str">
        <f>IF('04（様式３）単位数の新旧対照表 '!E193="","",'04（様式３）単位数の新旧対照表 '!E193)</f>
        <v/>
      </c>
      <c r="E73" s="44"/>
      <c r="F73" s="44"/>
    </row>
    <row r="74" spans="2:6" ht="19.5" thickBot="1" x14ac:dyDescent="0.2">
      <c r="B74" s="339"/>
      <c r="C74" s="172" t="str">
        <f>IF('04（様式３）単位数の新旧対照表 '!D194="","",'04（様式３）単位数の新旧対照表 '!D194)</f>
        <v/>
      </c>
      <c r="D74" s="172" t="str">
        <f>IF('04（様式３）単位数の新旧対照表 '!E194="","",'04（様式３）単位数の新旧対照表 '!E194)</f>
        <v/>
      </c>
      <c r="E74" s="44"/>
      <c r="F74" s="44"/>
    </row>
    <row r="75" spans="2:6" ht="19.5" thickBot="1" x14ac:dyDescent="0.2">
      <c r="B75" s="340"/>
      <c r="C75" s="172" t="str">
        <f>IF('04（様式３）単位数の新旧対照表 '!D195="","",'04（様式３）単位数の新旧対照表 '!D195)</f>
        <v/>
      </c>
      <c r="D75" s="172" t="str">
        <f>IF('04（様式３）単位数の新旧対照表 '!E195="","",'04（様式３）単位数の新旧対照表 '!E195)</f>
        <v/>
      </c>
      <c r="E75" s="44"/>
      <c r="F75" s="44"/>
    </row>
    <row r="76" spans="2:6" ht="19.5" thickBot="1" x14ac:dyDescent="0.2">
      <c r="B76" s="338" t="s">
        <v>42</v>
      </c>
      <c r="C76" s="172" t="str">
        <f>IF('04（様式３）単位数の新旧対照表 '!D67="","",'04（様式３）単位数の新旧対照表 '!D67)</f>
        <v/>
      </c>
      <c r="D76" s="172" t="str">
        <f>IF('04（様式３）単位数の新旧対照表 '!E67="","",'04（様式３）単位数の新旧対照表 '!E67)</f>
        <v/>
      </c>
      <c r="E76" s="44"/>
      <c r="F76" s="44"/>
    </row>
    <row r="77" spans="2:6" ht="19.5" thickBot="1" x14ac:dyDescent="0.2">
      <c r="B77" s="339"/>
      <c r="C77" s="172" t="str">
        <f>IF('04（様式３）単位数の新旧対照表 '!D68="","",'04（様式３）単位数の新旧対照表 '!D68)</f>
        <v/>
      </c>
      <c r="D77" s="172" t="str">
        <f>IF('04（様式３）単位数の新旧対照表 '!E68="","",'04（様式３）単位数の新旧対照表 '!E68)</f>
        <v/>
      </c>
      <c r="E77" s="44"/>
      <c r="F77" s="44"/>
    </row>
    <row r="78" spans="2:6" ht="19.5" thickBot="1" x14ac:dyDescent="0.2">
      <c r="B78" s="339"/>
      <c r="C78" s="172" t="str">
        <f>IF('04（様式３）単位数の新旧対照表 '!D69="","",'04（様式３）単位数の新旧対照表 '!D69)</f>
        <v/>
      </c>
      <c r="D78" s="172" t="str">
        <f>IF('04（様式３）単位数の新旧対照表 '!E69="","",'04（様式３）単位数の新旧対照表 '!E69)</f>
        <v/>
      </c>
      <c r="E78" s="44"/>
      <c r="F78" s="44"/>
    </row>
    <row r="79" spans="2:6" ht="19.5" thickBot="1" x14ac:dyDescent="0.2">
      <c r="B79" s="339"/>
      <c r="C79" s="172" t="str">
        <f>IF('04（様式３）単位数の新旧対照表 '!D70="","",'04（様式３）単位数の新旧対照表 '!D70)</f>
        <v/>
      </c>
      <c r="D79" s="172" t="str">
        <f>IF('04（様式３）単位数の新旧対照表 '!E70="","",'04（様式３）単位数の新旧対照表 '!E70)</f>
        <v/>
      </c>
      <c r="E79" s="44"/>
      <c r="F79" s="44"/>
    </row>
    <row r="80" spans="2:6" ht="19.5" thickBot="1" x14ac:dyDescent="0.2">
      <c r="B80" s="339"/>
      <c r="C80" s="172" t="str">
        <f>IF('04（様式３）単位数の新旧対照表 '!D71="","",'04（様式３）単位数の新旧対照表 '!D71)</f>
        <v/>
      </c>
      <c r="D80" s="172" t="str">
        <f>IF('04（様式３）単位数の新旧対照表 '!E71="","",'04（様式３）単位数の新旧対照表 '!E71)</f>
        <v/>
      </c>
      <c r="E80" s="44"/>
      <c r="F80" s="44"/>
    </row>
    <row r="81" spans="2:6" ht="19.5" thickBot="1" x14ac:dyDescent="0.2">
      <c r="B81" s="339"/>
      <c r="C81" s="172" t="str">
        <f>IF('04（様式３）単位数の新旧対照表 '!D72="","",'04（様式３）単位数の新旧対照表 '!D72)</f>
        <v/>
      </c>
      <c r="D81" s="172" t="str">
        <f>IF('04（様式３）単位数の新旧対照表 '!E72="","",'04（様式３）単位数の新旧対照表 '!E72)</f>
        <v/>
      </c>
      <c r="E81" s="44"/>
      <c r="F81" s="44"/>
    </row>
    <row r="82" spans="2:6" ht="19.5" thickBot="1" x14ac:dyDescent="0.2">
      <c r="B82" s="339"/>
      <c r="C82" s="172" t="str">
        <f>IF('04（様式３）単位数の新旧対照表 '!D73="","",'04（様式３）単位数の新旧対照表 '!D73)</f>
        <v/>
      </c>
      <c r="D82" s="172" t="str">
        <f>IF('04（様式３）単位数の新旧対照表 '!E73="","",'04（様式３）単位数の新旧対照表 '!E73)</f>
        <v/>
      </c>
      <c r="E82" s="44"/>
      <c r="F82" s="44"/>
    </row>
    <row r="83" spans="2:6" ht="19.5" thickBot="1" x14ac:dyDescent="0.2">
      <c r="B83" s="340"/>
      <c r="C83" s="172" t="str">
        <f>IF('04（様式３）単位数の新旧対照表 '!D74="","",'04（様式３）単位数の新旧対照表 '!D74)</f>
        <v/>
      </c>
      <c r="D83" s="172" t="str">
        <f>IF('04（様式３）単位数の新旧対照表 '!E74="","",'04（様式３）単位数の新旧対照表 '!E74)</f>
        <v/>
      </c>
      <c r="E83" s="44"/>
      <c r="F83" s="44"/>
    </row>
    <row r="84" spans="2:6" ht="19.5" thickBot="1" x14ac:dyDescent="0.2">
      <c r="B84" s="338" t="s">
        <v>43</v>
      </c>
      <c r="C84" s="172" t="str">
        <f>IF('04（様式３）単位数の新旧対照表 '!D75="","",'04（様式３）単位数の新旧対照表 '!D75)</f>
        <v/>
      </c>
      <c r="D84" s="172" t="str">
        <f>IF('04（様式３）単位数の新旧対照表 '!E75="","",'04（様式３）単位数の新旧対照表 '!E75)</f>
        <v/>
      </c>
      <c r="E84" s="44"/>
      <c r="F84" s="44"/>
    </row>
    <row r="85" spans="2:6" ht="19.5" thickBot="1" x14ac:dyDescent="0.2">
      <c r="B85" s="339"/>
      <c r="C85" s="172" t="str">
        <f>IF('04（様式３）単位数の新旧対照表 '!D76="","",'04（様式３）単位数の新旧対照表 '!D76)</f>
        <v/>
      </c>
      <c r="D85" s="172" t="str">
        <f>IF('04（様式３）単位数の新旧対照表 '!E76="","",'04（様式３）単位数の新旧対照表 '!E76)</f>
        <v/>
      </c>
      <c r="E85" s="44"/>
      <c r="F85" s="44"/>
    </row>
    <row r="86" spans="2:6" ht="19.5" thickBot="1" x14ac:dyDescent="0.2">
      <c r="B86" s="339"/>
      <c r="C86" s="172" t="str">
        <f>IF('04（様式３）単位数の新旧対照表 '!D77="","",'04（様式３）単位数の新旧対照表 '!D77)</f>
        <v/>
      </c>
      <c r="D86" s="172" t="str">
        <f>IF('04（様式３）単位数の新旧対照表 '!E77="","",'04（様式３）単位数の新旧対照表 '!E77)</f>
        <v/>
      </c>
      <c r="E86" s="44"/>
      <c r="F86" s="44"/>
    </row>
    <row r="87" spans="2:6" ht="19.5" thickBot="1" x14ac:dyDescent="0.2">
      <c r="B87" s="339"/>
      <c r="C87" s="172" t="str">
        <f>IF('04（様式３）単位数の新旧対照表 '!D78="","",'04（様式３）単位数の新旧対照表 '!D78)</f>
        <v/>
      </c>
      <c r="D87" s="172" t="str">
        <f>IF('04（様式３）単位数の新旧対照表 '!E78="","",'04（様式３）単位数の新旧対照表 '!E78)</f>
        <v/>
      </c>
      <c r="E87" s="44"/>
      <c r="F87" s="44"/>
    </row>
    <row r="88" spans="2:6" ht="19.5" thickBot="1" x14ac:dyDescent="0.2">
      <c r="B88" s="339"/>
      <c r="C88" s="172" t="str">
        <f>IF('04（様式３）単位数の新旧対照表 '!D79="","",'04（様式３）単位数の新旧対照表 '!D79)</f>
        <v/>
      </c>
      <c r="D88" s="172" t="str">
        <f>IF('04（様式３）単位数の新旧対照表 '!E79="","",'04（様式３）単位数の新旧対照表 '!E79)</f>
        <v/>
      </c>
      <c r="E88" s="44"/>
      <c r="F88" s="44"/>
    </row>
    <row r="89" spans="2:6" ht="19.5" thickBot="1" x14ac:dyDescent="0.2">
      <c r="B89" s="339"/>
      <c r="C89" s="172" t="str">
        <f>IF('04（様式３）単位数の新旧対照表 '!D80="","",'04（様式３）単位数の新旧対照表 '!D80)</f>
        <v/>
      </c>
      <c r="D89" s="172" t="str">
        <f>IF('04（様式３）単位数の新旧対照表 '!E80="","",'04（様式３）単位数の新旧対照表 '!E80)</f>
        <v/>
      </c>
      <c r="E89" s="44"/>
      <c r="F89" s="44"/>
    </row>
    <row r="90" spans="2:6" ht="19.5" thickBot="1" x14ac:dyDescent="0.2">
      <c r="B90" s="340"/>
      <c r="C90" s="172" t="str">
        <f>IF('04（様式３）単位数の新旧対照表 '!D81="","",'04（様式３）単位数の新旧対照表 '!D81)</f>
        <v/>
      </c>
      <c r="D90" s="172" t="str">
        <f>IF('04（様式３）単位数の新旧対照表 '!E81="","",'04（様式３）単位数の新旧対照表 '!E81)</f>
        <v/>
      </c>
      <c r="E90" s="44"/>
      <c r="F90" s="44"/>
    </row>
    <row r="91" spans="2:6" ht="19.5" thickBot="1" x14ac:dyDescent="0.2">
      <c r="B91" s="338" t="s">
        <v>44</v>
      </c>
      <c r="C91" s="172" t="str">
        <f>IF('04（様式３）単位数の新旧対照表 '!D82="","",'04（様式３）単位数の新旧対照表 '!D82)</f>
        <v/>
      </c>
      <c r="D91" s="172" t="str">
        <f>IF('04（様式３）単位数の新旧対照表 '!E82="","",'04（様式３）単位数の新旧対照表 '!E82)</f>
        <v/>
      </c>
      <c r="E91" s="44"/>
      <c r="F91" s="44"/>
    </row>
    <row r="92" spans="2:6" ht="19.5" thickBot="1" x14ac:dyDescent="0.2">
      <c r="B92" s="339"/>
      <c r="C92" s="172" t="str">
        <f>IF('04（様式３）単位数の新旧対照表 '!D83="","",'04（様式３）単位数の新旧対照表 '!D83)</f>
        <v/>
      </c>
      <c r="D92" s="172" t="str">
        <f>IF('04（様式３）単位数の新旧対照表 '!E83="","",'04（様式３）単位数の新旧対照表 '!E83)</f>
        <v/>
      </c>
      <c r="E92" s="44"/>
      <c r="F92" s="44"/>
    </row>
    <row r="93" spans="2:6" ht="19.5" thickBot="1" x14ac:dyDescent="0.2">
      <c r="B93" s="339"/>
      <c r="C93" s="172" t="str">
        <f>IF('04（様式３）単位数の新旧対照表 '!D84="","",'04（様式３）単位数の新旧対照表 '!D84)</f>
        <v/>
      </c>
      <c r="D93" s="172" t="str">
        <f>IF('04（様式３）単位数の新旧対照表 '!E84="","",'04（様式３）単位数の新旧対照表 '!E84)</f>
        <v/>
      </c>
      <c r="E93" s="44"/>
      <c r="F93" s="44"/>
    </row>
    <row r="94" spans="2:6" ht="19.5" thickBot="1" x14ac:dyDescent="0.2">
      <c r="B94" s="339"/>
      <c r="C94" s="172" t="str">
        <f>IF('04（様式３）単位数の新旧対照表 '!D85="","",'04（様式３）単位数の新旧対照表 '!D85)</f>
        <v/>
      </c>
      <c r="D94" s="172" t="str">
        <f>IF('04（様式３）単位数の新旧対照表 '!E85="","",'04（様式３）単位数の新旧対照表 '!E85)</f>
        <v/>
      </c>
      <c r="E94" s="44"/>
      <c r="F94" s="44"/>
    </row>
    <row r="95" spans="2:6" ht="19.5" thickBot="1" x14ac:dyDescent="0.2">
      <c r="B95" s="340"/>
      <c r="C95" s="172" t="str">
        <f>IF('04（様式３）単位数の新旧対照表 '!D86="","",'04（様式３）単位数の新旧対照表 '!D86)</f>
        <v/>
      </c>
      <c r="D95" s="172" t="str">
        <f>IF('04（様式３）単位数の新旧対照表 '!E86="","",'04（様式３）単位数の新旧対照表 '!E86)</f>
        <v/>
      </c>
      <c r="E95" s="44"/>
      <c r="F95" s="44"/>
    </row>
    <row r="96" spans="2:6" ht="19.5" thickBot="1" x14ac:dyDescent="0.2">
      <c r="B96" s="338" t="s">
        <v>45</v>
      </c>
      <c r="C96" s="172" t="str">
        <f>IF('04（様式３）単位数の新旧対照表 '!D87="","",'04（様式３）単位数の新旧対照表 '!D87)</f>
        <v/>
      </c>
      <c r="D96" s="172" t="str">
        <f>IF('04（様式３）単位数の新旧対照表 '!E87="","",'04（様式３）単位数の新旧対照表 '!E87)</f>
        <v/>
      </c>
      <c r="E96" s="44"/>
      <c r="F96" s="44"/>
    </row>
    <row r="97" spans="2:6" ht="19.5" thickBot="1" x14ac:dyDescent="0.2">
      <c r="B97" s="339"/>
      <c r="C97" s="172" t="str">
        <f>IF('04（様式３）単位数の新旧対照表 '!D88="","",'04（様式３）単位数の新旧対照表 '!D88)</f>
        <v/>
      </c>
      <c r="D97" s="172" t="str">
        <f>IF('04（様式３）単位数の新旧対照表 '!E88="","",'04（様式３）単位数の新旧対照表 '!E88)</f>
        <v/>
      </c>
      <c r="E97" s="44"/>
      <c r="F97" s="44"/>
    </row>
    <row r="98" spans="2:6" ht="19.5" thickBot="1" x14ac:dyDescent="0.2">
      <c r="B98" s="339"/>
      <c r="C98" s="172" t="str">
        <f>IF('04（様式３）単位数の新旧対照表 '!D89="","",'04（様式３）単位数の新旧対照表 '!D89)</f>
        <v/>
      </c>
      <c r="D98" s="172" t="str">
        <f>IF('04（様式３）単位数の新旧対照表 '!E89="","",'04（様式３）単位数の新旧対照表 '!E89)</f>
        <v/>
      </c>
      <c r="E98" s="44"/>
      <c r="F98" s="44"/>
    </row>
    <row r="99" spans="2:6" ht="19.5" thickBot="1" x14ac:dyDescent="0.2">
      <c r="B99" s="339"/>
      <c r="C99" s="172" t="str">
        <f>IF('04（様式３）単位数の新旧対照表 '!D90="","",'04（様式３）単位数の新旧対照表 '!D90)</f>
        <v/>
      </c>
      <c r="D99" s="172" t="str">
        <f>IF('04（様式３）単位数の新旧対照表 '!E90="","",'04（様式３）単位数の新旧対照表 '!E90)</f>
        <v/>
      </c>
      <c r="E99" s="44"/>
      <c r="F99" s="44"/>
    </row>
    <row r="100" spans="2:6" ht="19.5" thickBot="1" x14ac:dyDescent="0.2">
      <c r="B100" s="339"/>
      <c r="C100" s="172" t="str">
        <f>IF('04（様式３）単位数の新旧対照表 '!D91="","",'04（様式３）単位数の新旧対照表 '!D91)</f>
        <v/>
      </c>
      <c r="D100" s="172" t="str">
        <f>IF('04（様式３）単位数の新旧対照表 '!E91="","",'04（様式３）単位数の新旧対照表 '!E91)</f>
        <v/>
      </c>
      <c r="E100" s="44"/>
      <c r="F100" s="44"/>
    </row>
    <row r="101" spans="2:6" ht="19.5" thickBot="1" x14ac:dyDescent="0.2">
      <c r="B101" s="339"/>
      <c r="C101" s="172" t="str">
        <f>IF('04（様式３）単位数の新旧対照表 '!D92="","",'04（様式３）単位数の新旧対照表 '!D92)</f>
        <v/>
      </c>
      <c r="D101" s="172" t="str">
        <f>IF('04（様式３）単位数の新旧対照表 '!E92="","",'04（様式３）単位数の新旧対照表 '!E92)</f>
        <v/>
      </c>
      <c r="E101" s="44"/>
      <c r="F101" s="44"/>
    </row>
    <row r="102" spans="2:6" ht="19.5" thickBot="1" x14ac:dyDescent="0.2">
      <c r="B102" s="339"/>
      <c r="C102" s="172" t="str">
        <f>IF('04（様式３）単位数の新旧対照表 '!D93="","",'04（様式３）単位数の新旧対照表 '!D93)</f>
        <v/>
      </c>
      <c r="D102" s="172" t="str">
        <f>IF('04（様式３）単位数の新旧対照表 '!E93="","",'04（様式３）単位数の新旧対照表 '!E93)</f>
        <v/>
      </c>
      <c r="E102" s="44"/>
      <c r="F102" s="44"/>
    </row>
    <row r="103" spans="2:6" ht="19.5" thickBot="1" x14ac:dyDescent="0.2">
      <c r="B103" s="340"/>
      <c r="C103" s="172" t="str">
        <f>IF('04（様式３）単位数の新旧対照表 '!D94="","",'04（様式３）単位数の新旧対照表 '!D94)</f>
        <v/>
      </c>
      <c r="D103" s="172" t="str">
        <f>IF('04（様式３）単位数の新旧対照表 '!E94="","",'04（様式３）単位数の新旧対照表 '!E94)</f>
        <v/>
      </c>
      <c r="E103" s="44"/>
      <c r="F103" s="44"/>
    </row>
    <row r="104" spans="2:6" ht="19.5" thickBot="1" x14ac:dyDescent="0.2">
      <c r="B104" s="338" t="s">
        <v>46</v>
      </c>
      <c r="C104" s="172" t="str">
        <f>IF('04（様式３）単位数の新旧対照表 '!D95="","",'04（様式３）単位数の新旧対照表 '!D95)</f>
        <v/>
      </c>
      <c r="D104" s="172" t="str">
        <f>IF('04（様式３）単位数の新旧対照表 '!E95="","",'04（様式３）単位数の新旧対照表 '!E95)</f>
        <v/>
      </c>
      <c r="E104" s="44"/>
      <c r="F104" s="44"/>
    </row>
    <row r="105" spans="2:6" ht="19.5" thickBot="1" x14ac:dyDescent="0.2">
      <c r="B105" s="339"/>
      <c r="C105" s="172" t="str">
        <f>IF('04（様式３）単位数の新旧対照表 '!D96="","",'04（様式３）単位数の新旧対照表 '!D96)</f>
        <v/>
      </c>
      <c r="D105" s="172" t="str">
        <f>IF('04（様式３）単位数の新旧対照表 '!E96="","",'04（様式３）単位数の新旧対照表 '!E96)</f>
        <v/>
      </c>
      <c r="E105" s="44"/>
      <c r="F105" s="44"/>
    </row>
    <row r="106" spans="2:6" ht="19.5" thickBot="1" x14ac:dyDescent="0.2">
      <c r="B106" s="339"/>
      <c r="C106" s="172" t="str">
        <f>IF('04（様式３）単位数の新旧対照表 '!D97="","",'04（様式３）単位数の新旧対照表 '!D97)</f>
        <v/>
      </c>
      <c r="D106" s="172" t="str">
        <f>IF('04（様式３）単位数の新旧対照表 '!E97="","",'04（様式３）単位数の新旧対照表 '!E97)</f>
        <v/>
      </c>
      <c r="E106" s="44"/>
      <c r="F106" s="44"/>
    </row>
    <row r="107" spans="2:6" ht="19.5" thickBot="1" x14ac:dyDescent="0.2">
      <c r="B107" s="339"/>
      <c r="C107" s="172" t="str">
        <f>IF('04（様式３）単位数の新旧対照表 '!D98="","",'04（様式３）単位数の新旧対照表 '!D98)</f>
        <v/>
      </c>
      <c r="D107" s="172" t="str">
        <f>IF('04（様式３）単位数の新旧対照表 '!E98="","",'04（様式３）単位数の新旧対照表 '!E98)</f>
        <v/>
      </c>
      <c r="E107" s="44"/>
      <c r="F107" s="44"/>
    </row>
    <row r="108" spans="2:6" ht="19.5" thickBot="1" x14ac:dyDescent="0.2">
      <c r="B108" s="340"/>
      <c r="C108" s="172" t="str">
        <f>IF('04（様式３）単位数の新旧対照表 '!D99="","",'04（様式３）単位数の新旧対照表 '!D99)</f>
        <v/>
      </c>
      <c r="D108" s="172" t="str">
        <f>IF('04（様式３）単位数の新旧対照表 '!E99="","",'04（様式３）単位数の新旧対照表 '!E99)</f>
        <v/>
      </c>
      <c r="E108" s="44"/>
      <c r="F108" s="44"/>
    </row>
    <row r="109" spans="2:6" ht="19.5" thickBot="1" x14ac:dyDescent="0.2">
      <c r="B109" s="338" t="s">
        <v>47</v>
      </c>
      <c r="C109" s="172" t="str">
        <f>IF('04（様式３）単位数の新旧対照表 '!D100="","",'04（様式３）単位数の新旧対照表 '!D100)</f>
        <v/>
      </c>
      <c r="D109" s="172" t="str">
        <f>IF('04（様式３）単位数の新旧対照表 '!E100="","",'04（様式３）単位数の新旧対照表 '!E100)</f>
        <v/>
      </c>
      <c r="E109" s="44"/>
      <c r="F109" s="44"/>
    </row>
    <row r="110" spans="2:6" ht="19.5" thickBot="1" x14ac:dyDescent="0.2">
      <c r="B110" s="339"/>
      <c r="C110" s="172" t="str">
        <f>IF('04（様式３）単位数の新旧対照表 '!D101="","",'04（様式３）単位数の新旧対照表 '!D101)</f>
        <v/>
      </c>
      <c r="D110" s="172" t="str">
        <f>IF('04（様式３）単位数の新旧対照表 '!E101="","",'04（様式３）単位数の新旧対照表 '!E101)</f>
        <v/>
      </c>
      <c r="E110" s="44"/>
      <c r="F110" s="44"/>
    </row>
    <row r="111" spans="2:6" ht="19.5" thickBot="1" x14ac:dyDescent="0.2">
      <c r="B111" s="339"/>
      <c r="C111" s="172" t="str">
        <f>IF('04（様式３）単位数の新旧対照表 '!D102="","",'04（様式３）単位数の新旧対照表 '!D102)</f>
        <v/>
      </c>
      <c r="D111" s="172" t="str">
        <f>IF('04（様式３）単位数の新旧対照表 '!E102="","",'04（様式３）単位数の新旧対照表 '!E102)</f>
        <v/>
      </c>
      <c r="E111" s="44"/>
      <c r="F111" s="44"/>
    </row>
    <row r="112" spans="2:6" ht="19.5" thickBot="1" x14ac:dyDescent="0.2">
      <c r="B112" s="339"/>
      <c r="C112" s="172" t="str">
        <f>IF('04（様式３）単位数の新旧対照表 '!D103="","",'04（様式３）単位数の新旧対照表 '!D103)</f>
        <v/>
      </c>
      <c r="D112" s="172" t="str">
        <f>IF('04（様式３）単位数の新旧対照表 '!E103="","",'04（様式３）単位数の新旧対照表 '!E103)</f>
        <v/>
      </c>
      <c r="E112" s="44"/>
      <c r="F112" s="44"/>
    </row>
    <row r="113" spans="2:6" ht="19.5" thickBot="1" x14ac:dyDescent="0.2">
      <c r="B113" s="339"/>
      <c r="C113" s="172" t="str">
        <f>IF('04（様式３）単位数の新旧対照表 '!D104="","",'04（様式３）単位数の新旧対照表 '!D104)</f>
        <v/>
      </c>
      <c r="D113" s="172" t="str">
        <f>IF('04（様式３）単位数の新旧対照表 '!E104="","",'04（様式３）単位数の新旧対照表 '!E104)</f>
        <v/>
      </c>
      <c r="E113" s="44"/>
      <c r="F113" s="44"/>
    </row>
    <row r="114" spans="2:6" ht="19.5" thickBot="1" x14ac:dyDescent="0.2">
      <c r="B114" s="339"/>
      <c r="C114" s="172" t="str">
        <f>IF('04（様式３）単位数の新旧対照表 '!D105="","",'04（様式３）単位数の新旧対照表 '!D105)</f>
        <v/>
      </c>
      <c r="D114" s="172" t="str">
        <f>IF('04（様式３）単位数の新旧対照表 '!E105="","",'04（様式３）単位数の新旧対照表 '!E105)</f>
        <v/>
      </c>
      <c r="E114" s="44"/>
      <c r="F114" s="44"/>
    </row>
    <row r="115" spans="2:6" ht="19.5" thickBot="1" x14ac:dyDescent="0.2">
      <c r="B115" s="339"/>
      <c r="C115" s="172" t="str">
        <f>IF('04（様式３）単位数の新旧対照表 '!D106="","",'04（様式３）単位数の新旧対照表 '!D106)</f>
        <v/>
      </c>
      <c r="D115" s="172" t="str">
        <f>IF('04（様式３）単位数の新旧対照表 '!E106="","",'04（様式３）単位数の新旧対照表 '!E106)</f>
        <v/>
      </c>
      <c r="E115" s="44"/>
      <c r="F115" s="44"/>
    </row>
    <row r="116" spans="2:6" ht="19.5" thickBot="1" x14ac:dyDescent="0.2">
      <c r="B116" s="339"/>
      <c r="C116" s="172" t="str">
        <f>IF('04（様式３）単位数の新旧対照表 '!D107="","",'04（様式３）単位数の新旧対照表 '!D107)</f>
        <v/>
      </c>
      <c r="D116" s="172" t="str">
        <f>IF('04（様式３）単位数の新旧対照表 '!E107="","",'04（様式３）単位数の新旧対照表 '!E107)</f>
        <v/>
      </c>
      <c r="E116" s="44"/>
      <c r="F116" s="44"/>
    </row>
    <row r="117" spans="2:6" ht="19.5" thickBot="1" x14ac:dyDescent="0.2">
      <c r="B117" s="339"/>
      <c r="C117" s="172" t="str">
        <f>IF('04（様式３）単位数の新旧対照表 '!D108="","",'04（様式３）単位数の新旧対照表 '!D108)</f>
        <v/>
      </c>
      <c r="D117" s="172" t="str">
        <f>IF('04（様式３）単位数の新旧対照表 '!E108="","",'04（様式３）単位数の新旧対照表 '!E108)</f>
        <v/>
      </c>
      <c r="E117" s="44"/>
      <c r="F117" s="44"/>
    </row>
    <row r="118" spans="2:6" ht="19.5" thickBot="1" x14ac:dyDescent="0.2">
      <c r="B118" s="339"/>
      <c r="C118" s="172" t="str">
        <f>IF('04（様式３）単位数の新旧対照表 '!D109="","",'04（様式３）単位数の新旧対照表 '!D109)</f>
        <v/>
      </c>
      <c r="D118" s="172" t="str">
        <f>IF('04（様式３）単位数の新旧対照表 '!E109="","",'04（様式３）単位数の新旧対照表 '!E109)</f>
        <v/>
      </c>
      <c r="E118" s="44"/>
      <c r="F118" s="44"/>
    </row>
    <row r="119" spans="2:6" ht="19.5" thickBot="1" x14ac:dyDescent="0.2">
      <c r="B119" s="339"/>
      <c r="C119" s="172" t="str">
        <f>IF('04（様式３）単位数の新旧対照表 '!D110="","",'04（様式３）単位数の新旧対照表 '!D110)</f>
        <v/>
      </c>
      <c r="D119" s="172" t="str">
        <f>IF('04（様式３）単位数の新旧対照表 '!E110="","",'04（様式３）単位数の新旧対照表 '!E110)</f>
        <v/>
      </c>
      <c r="E119" s="44"/>
      <c r="F119" s="44"/>
    </row>
    <row r="120" spans="2:6" ht="19.5" thickBot="1" x14ac:dyDescent="0.2">
      <c r="B120" s="339"/>
      <c r="C120" s="172" t="str">
        <f>IF('04（様式３）単位数の新旧対照表 '!D111="","",'04（様式３）単位数の新旧対照表 '!D111)</f>
        <v/>
      </c>
      <c r="D120" s="172" t="str">
        <f>IF('04（様式３）単位数の新旧対照表 '!E111="","",'04（様式３）単位数の新旧対照表 '!E111)</f>
        <v/>
      </c>
      <c r="E120" s="44"/>
      <c r="F120" s="44"/>
    </row>
    <row r="121" spans="2:6" ht="19.5" thickBot="1" x14ac:dyDescent="0.2">
      <c r="B121" s="339"/>
      <c r="C121" s="172" t="str">
        <f>IF('04（様式３）単位数の新旧対照表 '!D112="","",'04（様式３）単位数の新旧対照表 '!D112)</f>
        <v/>
      </c>
      <c r="D121" s="172" t="str">
        <f>IF('04（様式３）単位数の新旧対照表 '!E112="","",'04（様式３）単位数の新旧対照表 '!E112)</f>
        <v/>
      </c>
      <c r="E121" s="44"/>
      <c r="F121" s="44"/>
    </row>
    <row r="122" spans="2:6" ht="19.5" thickBot="1" x14ac:dyDescent="0.2">
      <c r="B122" s="339"/>
      <c r="C122" s="172" t="str">
        <f>IF('04（様式３）単位数の新旧対照表 '!D113="","",'04（様式３）単位数の新旧対照表 '!D113)</f>
        <v/>
      </c>
      <c r="D122" s="172" t="str">
        <f>IF('04（様式３）単位数の新旧対照表 '!E113="","",'04（様式３）単位数の新旧対照表 '!E113)</f>
        <v/>
      </c>
      <c r="E122" s="44"/>
      <c r="F122" s="44"/>
    </row>
    <row r="123" spans="2:6" ht="19.5" thickBot="1" x14ac:dyDescent="0.2">
      <c r="B123" s="339"/>
      <c r="C123" s="172" t="str">
        <f>IF('04（様式３）単位数の新旧対照表 '!D124="","",'04（様式３）単位数の新旧対照表 '!D124)</f>
        <v/>
      </c>
      <c r="D123" s="172" t="str">
        <f>IF('04（様式３）単位数の新旧対照表 '!E124="","",'04（様式３）単位数の新旧対照表 '!E124)</f>
        <v/>
      </c>
      <c r="E123" s="44"/>
      <c r="F123" s="44"/>
    </row>
    <row r="124" spans="2:6" ht="19.5" thickBot="1" x14ac:dyDescent="0.2">
      <c r="B124" s="339"/>
      <c r="C124" s="172" t="str">
        <f>IF('04（様式３）単位数の新旧対照表 '!D125="","",'04（様式３）単位数の新旧対照表 '!D125)</f>
        <v/>
      </c>
      <c r="D124" s="172" t="str">
        <f>IF('04（様式３）単位数の新旧対照表 '!E125="","",'04（様式３）単位数の新旧対照表 '!E125)</f>
        <v/>
      </c>
      <c r="E124" s="44"/>
      <c r="F124" s="44"/>
    </row>
    <row r="125" spans="2:6" ht="19.5" thickBot="1" x14ac:dyDescent="0.2">
      <c r="B125" s="339"/>
      <c r="C125" s="172" t="str">
        <f>IF('04（様式３）単位数の新旧対照表 '!D126="","",'04（様式３）単位数の新旧対照表 '!D126)</f>
        <v/>
      </c>
      <c r="D125" s="172" t="str">
        <f>IF('04（様式３）単位数の新旧対照表 '!E126="","",'04（様式３）単位数の新旧対照表 '!E126)</f>
        <v/>
      </c>
      <c r="E125" s="44"/>
      <c r="F125" s="44"/>
    </row>
    <row r="126" spans="2:6" ht="19.5" thickBot="1" x14ac:dyDescent="0.2">
      <c r="B126" s="339"/>
      <c r="C126" s="172" t="str">
        <f>IF('04（様式３）単位数の新旧対照表 '!D127="","",'04（様式３）単位数の新旧対照表 '!D127)</f>
        <v/>
      </c>
      <c r="D126" s="172" t="str">
        <f>IF('04（様式３）単位数の新旧対照表 '!E127="","",'04（様式３）単位数の新旧対照表 '!E127)</f>
        <v/>
      </c>
      <c r="E126" s="44"/>
      <c r="F126" s="44"/>
    </row>
    <row r="127" spans="2:6" ht="19.5" thickBot="1" x14ac:dyDescent="0.2">
      <c r="B127" s="339"/>
      <c r="C127" s="172" t="str">
        <f>IF('04（様式３）単位数の新旧対照表 '!D128="","",'04（様式３）単位数の新旧対照表 '!D128)</f>
        <v/>
      </c>
      <c r="D127" s="172" t="str">
        <f>IF('04（様式３）単位数の新旧対照表 '!E128="","",'04（様式３）単位数の新旧対照表 '!E128)</f>
        <v/>
      </c>
      <c r="E127" s="44"/>
      <c r="F127" s="44"/>
    </row>
    <row r="128" spans="2:6" ht="19.5" thickBot="1" x14ac:dyDescent="0.2">
      <c r="B128" s="339"/>
      <c r="C128" s="172" t="str">
        <f>IF('04（様式３）単位数の新旧対照表 '!D129="","",'04（様式３）単位数の新旧対照表 '!D129)</f>
        <v/>
      </c>
      <c r="D128" s="172" t="str">
        <f>IF('04（様式３）単位数の新旧対照表 '!E129="","",'04（様式３）単位数の新旧対照表 '!E129)</f>
        <v/>
      </c>
      <c r="E128" s="44"/>
      <c r="F128" s="44"/>
    </row>
    <row r="129" spans="2:6" ht="19.5" thickBot="1" x14ac:dyDescent="0.2">
      <c r="B129" s="340"/>
      <c r="C129" s="172" t="str">
        <f>IF('04（様式３）単位数の新旧対照表 '!D130="","",'04（様式３）単位数の新旧対照表 '!D130)</f>
        <v/>
      </c>
      <c r="D129" s="172" t="str">
        <f>IF('04（様式３）単位数の新旧対照表 '!E130="","",'04（様式３）単位数の新旧対照表 '!E130)</f>
        <v/>
      </c>
      <c r="E129" s="44"/>
      <c r="F129" s="44"/>
    </row>
    <row r="130" spans="2:6" ht="19.5" thickBot="1" x14ac:dyDescent="0.2">
      <c r="B130" s="338" t="s">
        <v>48</v>
      </c>
      <c r="C130" s="172" t="str">
        <f>IF('04（様式３）単位数の新旧対照表 '!D114="","",'04（様式３）単位数の新旧対照表 '!D114)</f>
        <v/>
      </c>
      <c r="D130" s="172" t="str">
        <f>IF('04（様式３）単位数の新旧対照表 '!E114="","",'04（様式３）単位数の新旧対照表 '!E114)</f>
        <v/>
      </c>
      <c r="E130" s="44"/>
      <c r="F130" s="44"/>
    </row>
    <row r="131" spans="2:6" ht="19.5" thickBot="1" x14ac:dyDescent="0.2">
      <c r="B131" s="339"/>
      <c r="C131" s="172" t="str">
        <f>IF('04（様式３）単位数の新旧対照表 '!D115="","",'04（様式３）単位数の新旧対照表 '!D115)</f>
        <v/>
      </c>
      <c r="D131" s="172" t="str">
        <f>IF('04（様式３）単位数の新旧対照表 '!E115="","",'04（様式３）単位数の新旧対照表 '!E115)</f>
        <v/>
      </c>
      <c r="E131" s="44"/>
      <c r="F131" s="44"/>
    </row>
    <row r="132" spans="2:6" ht="19.5" thickBot="1" x14ac:dyDescent="0.2">
      <c r="B132" s="339"/>
      <c r="C132" s="172" t="str">
        <f>IF('04（様式３）単位数の新旧対照表 '!D116="","",'04（様式３）単位数の新旧対照表 '!D116)</f>
        <v/>
      </c>
      <c r="D132" s="172" t="str">
        <f>IF('04（様式３）単位数の新旧対照表 '!E116="","",'04（様式３）単位数の新旧対照表 '!E116)</f>
        <v/>
      </c>
      <c r="E132" s="44"/>
      <c r="F132" s="44"/>
    </row>
    <row r="133" spans="2:6" ht="19.5" thickBot="1" x14ac:dyDescent="0.2">
      <c r="B133" s="339"/>
      <c r="C133" s="172" t="str">
        <f>IF('04（様式３）単位数の新旧対照表 '!D117="","",'04（様式３）単位数の新旧対照表 '!D117)</f>
        <v/>
      </c>
      <c r="D133" s="172" t="str">
        <f>IF('04（様式３）単位数の新旧対照表 '!E117="","",'04（様式３）単位数の新旧対照表 '!E117)</f>
        <v/>
      </c>
      <c r="E133" s="44"/>
      <c r="F133" s="44"/>
    </row>
    <row r="134" spans="2:6" ht="19.5" thickBot="1" x14ac:dyDescent="0.2">
      <c r="B134" s="340"/>
      <c r="C134" s="172" t="str">
        <f>IF('04（様式３）単位数の新旧対照表 '!D118="","",'04（様式３）単位数の新旧対照表 '!D118)</f>
        <v/>
      </c>
      <c r="D134" s="172" t="str">
        <f>IF('04（様式３）単位数の新旧対照表 '!E118="","",'04（様式３）単位数の新旧対照表 '!E118)</f>
        <v/>
      </c>
      <c r="E134" s="44"/>
      <c r="F134" s="44"/>
    </row>
    <row r="135" spans="2:6" ht="19.5" thickBot="1" x14ac:dyDescent="0.2">
      <c r="B135" s="338" t="s">
        <v>49</v>
      </c>
      <c r="C135" s="172" t="str">
        <f>IF('04（様式３）単位数の新旧対照表 '!D119="","",'04（様式３）単位数の新旧対照表 '!D119)</f>
        <v/>
      </c>
      <c r="D135" s="172" t="str">
        <f>IF('04（様式３）単位数の新旧対照表 '!E119="","",'04（様式３）単位数の新旧対照表 '!E119)</f>
        <v/>
      </c>
      <c r="E135" s="44"/>
      <c r="F135" s="44"/>
    </row>
    <row r="136" spans="2:6" ht="19.5" thickBot="1" x14ac:dyDescent="0.2">
      <c r="B136" s="339"/>
      <c r="C136" s="172" t="str">
        <f>IF('04（様式３）単位数の新旧対照表 '!D120="","",'04（様式３）単位数の新旧対照表 '!D120)</f>
        <v/>
      </c>
      <c r="D136" s="172" t="str">
        <f>IF('04（様式３）単位数の新旧対照表 '!E120="","",'04（様式３）単位数の新旧対照表 '!E120)</f>
        <v/>
      </c>
      <c r="E136" s="44"/>
      <c r="F136" s="44"/>
    </row>
    <row r="137" spans="2:6" ht="19.5" thickBot="1" x14ac:dyDescent="0.2">
      <c r="B137" s="339"/>
      <c r="C137" s="172" t="str">
        <f>IF('04（様式３）単位数の新旧対照表 '!D121="","",'04（様式３）単位数の新旧対照表 '!D121)</f>
        <v/>
      </c>
      <c r="D137" s="172" t="str">
        <f>IF('04（様式３）単位数の新旧対照表 '!E121="","",'04（様式３）単位数の新旧対照表 '!E121)</f>
        <v/>
      </c>
      <c r="E137" s="44"/>
      <c r="F137" s="44"/>
    </row>
    <row r="138" spans="2:6" ht="19.5" thickBot="1" x14ac:dyDescent="0.2">
      <c r="B138" s="339"/>
      <c r="C138" s="172" t="str">
        <f>IF('04（様式３）単位数の新旧対照表 '!D122="","",'04（様式３）単位数の新旧対照表 '!D122)</f>
        <v/>
      </c>
      <c r="D138" s="172" t="str">
        <f>IF('04（様式３）単位数の新旧対照表 '!E122="","",'04（様式３）単位数の新旧対照表 '!E122)</f>
        <v/>
      </c>
      <c r="E138" s="44"/>
      <c r="F138" s="44"/>
    </row>
    <row r="139" spans="2:6" ht="19.5" thickBot="1" x14ac:dyDescent="0.2">
      <c r="B139" s="340"/>
      <c r="C139" s="172" t="str">
        <f>IF('04（様式３）単位数の新旧対照表 '!D123="","",'04（様式３）単位数の新旧対照表 '!D123)</f>
        <v/>
      </c>
      <c r="D139" s="172" t="str">
        <f>IF('04（様式３）単位数の新旧対照表 '!E123="","",'04（様式３）単位数の新旧対照表 '!E123)</f>
        <v/>
      </c>
      <c r="E139" s="44"/>
      <c r="F139" s="44"/>
    </row>
    <row r="140" spans="2:6" ht="19.5" thickBot="1" x14ac:dyDescent="0.2">
      <c r="B140" s="338" t="s">
        <v>50</v>
      </c>
      <c r="C140" s="172" t="str">
        <f>IF('04（様式３）単位数の新旧対照表 '!D131="","",'04（様式３）単位数の新旧対照表 '!D131)</f>
        <v/>
      </c>
      <c r="D140" s="172" t="str">
        <f>IF('04（様式３）単位数の新旧対照表 '!E131="","",'04（様式３）単位数の新旧対照表 '!E131)</f>
        <v/>
      </c>
      <c r="E140" s="44"/>
      <c r="F140" s="44"/>
    </row>
    <row r="141" spans="2:6" ht="19.5" thickBot="1" x14ac:dyDescent="0.2">
      <c r="B141" s="339"/>
      <c r="C141" s="172" t="str">
        <f>IF('04（様式３）単位数の新旧対照表 '!D132="","",'04（様式３）単位数の新旧対照表 '!D132)</f>
        <v/>
      </c>
      <c r="D141" s="172" t="str">
        <f>IF('04（様式３）単位数の新旧対照表 '!E132="","",'04（様式３）単位数の新旧対照表 '!E132)</f>
        <v/>
      </c>
      <c r="E141" s="44"/>
      <c r="F141" s="44"/>
    </row>
    <row r="142" spans="2:6" ht="19.5" thickBot="1" x14ac:dyDescent="0.2">
      <c r="B142" s="339"/>
      <c r="C142" s="172" t="str">
        <f>IF('04（様式３）単位数の新旧対照表 '!D133="","",'04（様式３）単位数の新旧対照表 '!D133)</f>
        <v/>
      </c>
      <c r="D142" s="172" t="str">
        <f>IF('04（様式３）単位数の新旧対照表 '!E133="","",'04（様式３）単位数の新旧対照表 '!E133)</f>
        <v/>
      </c>
      <c r="E142" s="44"/>
      <c r="F142" s="44"/>
    </row>
    <row r="143" spans="2:6" ht="19.5" thickBot="1" x14ac:dyDescent="0.2">
      <c r="B143" s="339"/>
      <c r="C143" s="172" t="str">
        <f>IF('04（様式３）単位数の新旧対照表 '!D134="","",'04（様式３）単位数の新旧対照表 '!D134)</f>
        <v/>
      </c>
      <c r="D143" s="172" t="str">
        <f>IF('04（様式３）単位数の新旧対照表 '!E134="","",'04（様式３）単位数の新旧対照表 '!E134)</f>
        <v/>
      </c>
      <c r="E143" s="44"/>
      <c r="F143" s="44"/>
    </row>
    <row r="144" spans="2:6" ht="19.5" thickBot="1" x14ac:dyDescent="0.2">
      <c r="B144" s="340"/>
      <c r="C144" s="172" t="str">
        <f>IF('04（様式３）単位数の新旧対照表 '!D135="","",'04（様式３）単位数の新旧対照表 '!D135)</f>
        <v/>
      </c>
      <c r="D144" s="172" t="str">
        <f>IF('04（様式３）単位数の新旧対照表 '!E135="","",'04（様式３）単位数の新旧対照表 '!E135)</f>
        <v/>
      </c>
      <c r="E144" s="44"/>
      <c r="F144" s="44"/>
    </row>
    <row r="145" spans="2:6" ht="19.5" thickBot="1" x14ac:dyDescent="0.2">
      <c r="B145" s="338" t="s">
        <v>51</v>
      </c>
      <c r="C145" s="172" t="str">
        <f>IF('04（様式３）単位数の新旧対照表 '!D136="","",'04（様式３）単位数の新旧対照表 '!D136)</f>
        <v/>
      </c>
      <c r="D145" s="172" t="str">
        <f>IF('04（様式３）単位数の新旧対照表 '!E136="","",'04（様式３）単位数の新旧対照表 '!E136)</f>
        <v/>
      </c>
      <c r="E145" s="44"/>
      <c r="F145" s="44"/>
    </row>
    <row r="146" spans="2:6" ht="19.5" thickBot="1" x14ac:dyDescent="0.2">
      <c r="B146" s="339"/>
      <c r="C146" s="172" t="str">
        <f>IF('04（様式３）単位数の新旧対照表 '!D137="","",'04（様式３）単位数の新旧対照表 '!D137)</f>
        <v/>
      </c>
      <c r="D146" s="172" t="str">
        <f>IF('04（様式３）単位数の新旧対照表 '!E137="","",'04（様式３）単位数の新旧対照表 '!E137)</f>
        <v/>
      </c>
      <c r="E146" s="44"/>
      <c r="F146" s="44"/>
    </row>
    <row r="147" spans="2:6" ht="19.5" thickBot="1" x14ac:dyDescent="0.2">
      <c r="B147" s="339"/>
      <c r="C147" s="172" t="str">
        <f>IF('04（様式３）単位数の新旧対照表 '!D138="","",'04（様式３）単位数の新旧対照表 '!D138)</f>
        <v/>
      </c>
      <c r="D147" s="172" t="str">
        <f>IF('04（様式３）単位数の新旧対照表 '!E138="","",'04（様式３）単位数の新旧対照表 '!E138)</f>
        <v/>
      </c>
      <c r="E147" s="44"/>
      <c r="F147" s="44"/>
    </row>
    <row r="148" spans="2:6" ht="19.5" thickBot="1" x14ac:dyDescent="0.2">
      <c r="B148" s="339"/>
      <c r="C148" s="172" t="str">
        <f>IF('04（様式３）単位数の新旧対照表 '!D139="","",'04（様式３）単位数の新旧対照表 '!D139)</f>
        <v/>
      </c>
      <c r="D148" s="172" t="str">
        <f>IF('04（様式３）単位数の新旧対照表 '!E139="","",'04（様式３）単位数の新旧対照表 '!E139)</f>
        <v/>
      </c>
      <c r="E148" s="44"/>
      <c r="F148" s="44"/>
    </row>
    <row r="149" spans="2:6" ht="19.5" thickBot="1" x14ac:dyDescent="0.2">
      <c r="B149" s="339"/>
      <c r="C149" s="172" t="str">
        <f>IF('04（様式３）単位数の新旧対照表 '!D140="","",'04（様式３）単位数の新旧対照表 '!D140)</f>
        <v/>
      </c>
      <c r="D149" s="172" t="str">
        <f>IF('04（様式３）単位数の新旧対照表 '!E140="","",'04（様式３）単位数の新旧対照表 '!E140)</f>
        <v/>
      </c>
      <c r="E149" s="44"/>
      <c r="F149" s="44"/>
    </row>
    <row r="150" spans="2:6" ht="19.5" thickBot="1" x14ac:dyDescent="0.2">
      <c r="B150" s="339"/>
      <c r="C150" s="172" t="str">
        <f>IF('04（様式３）単位数の新旧対照表 '!D179="","",'04（様式３）単位数の新旧対照表 '!D179)</f>
        <v/>
      </c>
      <c r="D150" s="172" t="str">
        <f>IF('04（様式３）単位数の新旧対照表 '!E179="","",'04（様式３）単位数の新旧対照表 '!E179)</f>
        <v/>
      </c>
      <c r="E150" s="44"/>
      <c r="F150" s="44"/>
    </row>
    <row r="151" spans="2:6" ht="19.5" thickBot="1" x14ac:dyDescent="0.2">
      <c r="B151" s="339"/>
      <c r="C151" s="172" t="str">
        <f>IF('04（様式３）単位数の新旧対照表 '!D180="","",'04（様式３）単位数の新旧対照表 '!D180)</f>
        <v/>
      </c>
      <c r="D151" s="172" t="str">
        <f>IF('04（様式３）単位数の新旧対照表 '!E180="","",'04（様式３）単位数の新旧対照表 '!E180)</f>
        <v/>
      </c>
      <c r="E151" s="44"/>
      <c r="F151" s="44"/>
    </row>
    <row r="152" spans="2:6" ht="19.5" thickBot="1" x14ac:dyDescent="0.2">
      <c r="B152" s="339"/>
      <c r="C152" s="172" t="str">
        <f>IF('04（様式３）単位数の新旧対照表 '!D181="","",'04（様式３）単位数の新旧対照表 '!D181)</f>
        <v/>
      </c>
      <c r="D152" s="172" t="str">
        <f>IF('04（様式３）単位数の新旧対照表 '!E181="","",'04（様式３）単位数の新旧対照表 '!E181)</f>
        <v/>
      </c>
      <c r="E152" s="44"/>
      <c r="F152" s="44"/>
    </row>
    <row r="153" spans="2:6" ht="19.5" thickBot="1" x14ac:dyDescent="0.2">
      <c r="B153" s="339"/>
      <c r="C153" s="172" t="str">
        <f>IF('04（様式３）単位数の新旧対照表 '!D182="","",'04（様式３）単位数の新旧対照表 '!D182)</f>
        <v/>
      </c>
      <c r="D153" s="172" t="str">
        <f>IF('04（様式３）単位数の新旧対照表 '!E182="","",'04（様式３）単位数の新旧対照表 '!E182)</f>
        <v/>
      </c>
      <c r="E153" s="44"/>
      <c r="F153" s="44"/>
    </row>
    <row r="154" spans="2:6" ht="19.5" thickBot="1" x14ac:dyDescent="0.2">
      <c r="B154" s="340"/>
      <c r="C154" s="172" t="str">
        <f>IF('04（様式３）単位数の新旧対照表 '!D183="","",'04（様式３）単位数の新旧対照表 '!D183)</f>
        <v/>
      </c>
      <c r="D154" s="172" t="str">
        <f>IF('04（様式３）単位数の新旧対照表 '!E183="","",'04（様式３）単位数の新旧対照表 '!E183)</f>
        <v/>
      </c>
      <c r="E154" s="44"/>
      <c r="F154" s="44"/>
    </row>
    <row r="155" spans="2:6" ht="19.5" thickBot="1" x14ac:dyDescent="0.2">
      <c r="B155" s="338" t="s">
        <v>52</v>
      </c>
      <c r="C155" s="172" t="str">
        <f>IF('04（様式３）単位数の新旧対照表 '!D141="","",'04（様式３）単位数の新旧対照表 '!D141)</f>
        <v/>
      </c>
      <c r="D155" s="172" t="str">
        <f>IF('04（様式３）単位数の新旧対照表 '!E141="","",'04（様式３）単位数の新旧対照表 '!E141)</f>
        <v/>
      </c>
      <c r="E155" s="44"/>
      <c r="F155" s="44"/>
    </row>
    <row r="156" spans="2:6" ht="19.5" thickBot="1" x14ac:dyDescent="0.2">
      <c r="B156" s="339"/>
      <c r="C156" s="172" t="str">
        <f>IF('04（様式３）単位数の新旧対照表 '!D142="","",'04（様式３）単位数の新旧対照表 '!D142)</f>
        <v/>
      </c>
      <c r="D156" s="172" t="str">
        <f>IF('04（様式３）単位数の新旧対照表 '!E142="","",'04（様式３）単位数の新旧対照表 '!E142)</f>
        <v/>
      </c>
      <c r="E156" s="44"/>
      <c r="F156" s="44"/>
    </row>
    <row r="157" spans="2:6" ht="19.5" thickBot="1" x14ac:dyDescent="0.2">
      <c r="B157" s="339"/>
      <c r="C157" s="172" t="str">
        <f>IF('04（様式３）単位数の新旧対照表 '!D143="","",'04（様式３）単位数の新旧対照表 '!D143)</f>
        <v/>
      </c>
      <c r="D157" s="172" t="str">
        <f>IF('04（様式３）単位数の新旧対照表 '!E143="","",'04（様式３）単位数の新旧対照表 '!E143)</f>
        <v/>
      </c>
      <c r="E157" s="44"/>
      <c r="F157" s="44"/>
    </row>
    <row r="158" spans="2:6" ht="19.5" thickBot="1" x14ac:dyDescent="0.2">
      <c r="B158" s="339"/>
      <c r="C158" s="172" t="str">
        <f>IF('04（様式３）単位数の新旧対照表 '!D144="","",'04（様式３）単位数の新旧対照表 '!D144)</f>
        <v/>
      </c>
      <c r="D158" s="172" t="str">
        <f>IF('04（様式３）単位数の新旧対照表 '!E144="","",'04（様式３）単位数の新旧対照表 '!E144)</f>
        <v/>
      </c>
      <c r="E158" s="44"/>
      <c r="F158" s="44"/>
    </row>
    <row r="159" spans="2:6" ht="19.5" thickBot="1" x14ac:dyDescent="0.2">
      <c r="B159" s="339"/>
      <c r="C159" s="172" t="str">
        <f>IF('04（様式３）単位数の新旧対照表 '!D145="","",'04（様式３）単位数の新旧対照表 '!D145)</f>
        <v/>
      </c>
      <c r="D159" s="172" t="str">
        <f>IF('04（様式３）単位数の新旧対照表 '!E145="","",'04（様式３）単位数の新旧対照表 '!E145)</f>
        <v/>
      </c>
      <c r="E159" s="44"/>
      <c r="F159" s="44"/>
    </row>
    <row r="160" spans="2:6" ht="19.5" thickBot="1" x14ac:dyDescent="0.2">
      <c r="B160" s="339"/>
      <c r="C160" s="172" t="str">
        <f>IF('04（様式３）単位数の新旧対照表 '!D146="","",'04（様式３）単位数の新旧対照表 '!D146)</f>
        <v/>
      </c>
      <c r="D160" s="172" t="str">
        <f>IF('04（様式３）単位数の新旧対照表 '!E146="","",'04（様式３）単位数の新旧対照表 '!E146)</f>
        <v/>
      </c>
      <c r="E160" s="44"/>
      <c r="F160" s="44"/>
    </row>
    <row r="161" spans="2:6" ht="19.5" thickBot="1" x14ac:dyDescent="0.2">
      <c r="B161" s="339"/>
      <c r="C161" s="172" t="str">
        <f>IF('04（様式３）単位数の新旧対照表 '!D147="","",'04（様式３）単位数の新旧対照表 '!D147)</f>
        <v/>
      </c>
      <c r="D161" s="172" t="str">
        <f>IF('04（様式３）単位数の新旧対照表 '!E147="","",'04（様式３）単位数の新旧対照表 '!E147)</f>
        <v/>
      </c>
      <c r="E161" s="44"/>
      <c r="F161" s="44"/>
    </row>
    <row r="162" spans="2:6" ht="19.5" thickBot="1" x14ac:dyDescent="0.2">
      <c r="B162" s="339"/>
      <c r="C162" s="172" t="str">
        <f>IF('04（様式３）単位数の新旧対照表 '!D184="","",'04（様式３）単位数の新旧対照表 '!D184)</f>
        <v/>
      </c>
      <c r="D162" s="172" t="str">
        <f>IF('04（様式３）単位数の新旧対照表 '!E184="","",'04（様式３）単位数の新旧対照表 '!E184)</f>
        <v/>
      </c>
      <c r="E162" s="44"/>
      <c r="F162" s="44"/>
    </row>
    <row r="163" spans="2:6" ht="19.5" thickBot="1" x14ac:dyDescent="0.2">
      <c r="B163" s="339"/>
      <c r="C163" s="172" t="str">
        <f>IF('04（様式３）単位数の新旧対照表 '!D185="","",'04（様式３）単位数の新旧対照表 '!D185)</f>
        <v/>
      </c>
      <c r="D163" s="172" t="str">
        <f>IF('04（様式３）単位数の新旧対照表 '!E185="","",'04（様式３）単位数の新旧対照表 '!E185)</f>
        <v/>
      </c>
      <c r="E163" s="44"/>
      <c r="F163" s="44"/>
    </row>
    <row r="164" spans="2:6" ht="19.5" thickBot="1" x14ac:dyDescent="0.2">
      <c r="B164" s="339"/>
      <c r="C164" s="172" t="str">
        <f>IF('04（様式３）単位数の新旧対照表 '!D186="","",'04（様式３）単位数の新旧対照表 '!D186)</f>
        <v/>
      </c>
      <c r="D164" s="172" t="str">
        <f>IF('04（様式３）単位数の新旧対照表 '!E186="","",'04（様式３）単位数の新旧対照表 '!E186)</f>
        <v/>
      </c>
      <c r="E164" s="44"/>
      <c r="F164" s="44"/>
    </row>
    <row r="165" spans="2:6" ht="19.5" thickBot="1" x14ac:dyDescent="0.2">
      <c r="B165" s="339"/>
      <c r="C165" s="172" t="str">
        <f>IF('04（様式３）単位数の新旧対照表 '!D187="","",'04（様式３）単位数の新旧対照表 '!D187)</f>
        <v/>
      </c>
      <c r="D165" s="172" t="str">
        <f>IF('04（様式３）単位数の新旧対照表 '!E187="","",'04（様式３）単位数の新旧対照表 '!E187)</f>
        <v/>
      </c>
      <c r="E165" s="44"/>
      <c r="F165" s="44"/>
    </row>
    <row r="166" spans="2:6" ht="19.5" thickBot="1" x14ac:dyDescent="0.2">
      <c r="B166" s="339"/>
      <c r="C166" s="172" t="str">
        <f>IF('04（様式３）単位数の新旧対照表 '!D188="","",'04（様式３）単位数の新旧対照表 '!D188)</f>
        <v/>
      </c>
      <c r="D166" s="172" t="str">
        <f>IF('04（様式３）単位数の新旧対照表 '!E188="","",'04（様式３）単位数の新旧対照表 '!E188)</f>
        <v/>
      </c>
      <c r="E166" s="44"/>
      <c r="F166" s="44"/>
    </row>
    <row r="167" spans="2:6" ht="19.5" thickBot="1" x14ac:dyDescent="0.2">
      <c r="B167" s="339"/>
      <c r="C167" s="172" t="str">
        <f>IF('04（様式３）単位数の新旧対照表 '!D189="","",'04（様式３）単位数の新旧対照表 '!D189)</f>
        <v/>
      </c>
      <c r="D167" s="172" t="str">
        <f>IF('04（様式３）単位数の新旧対照表 '!E189="","",'04（様式３）単位数の新旧対照表 '!E189)</f>
        <v/>
      </c>
      <c r="E167" s="44"/>
      <c r="F167" s="44"/>
    </row>
    <row r="168" spans="2:6" ht="19.5" thickBot="1" x14ac:dyDescent="0.2">
      <c r="B168" s="340"/>
      <c r="C168" s="172" t="str">
        <f>IF('04（様式３）単位数の新旧対照表 '!D190="","",'04（様式３）単位数の新旧対照表 '!D190)</f>
        <v/>
      </c>
      <c r="D168" s="172" t="str">
        <f>IF('04（様式３）単位数の新旧対照表 '!E190="","",'04（様式３）単位数の新旧対照表 '!E190)</f>
        <v/>
      </c>
      <c r="E168" s="44"/>
      <c r="F168" s="44"/>
    </row>
    <row r="169" spans="2:6" ht="19.5" thickBot="1" x14ac:dyDescent="0.2">
      <c r="B169" s="338" t="s">
        <v>53</v>
      </c>
      <c r="C169" s="172" t="str">
        <f>IF('04（様式３）単位数の新旧対照表 '!D148="","",'04（様式３）単位数の新旧対照表 '!D148)</f>
        <v/>
      </c>
      <c r="D169" s="172" t="str">
        <f>IF('04（様式３）単位数の新旧対照表 '!E148="","",'04（様式３）単位数の新旧対照表 '!E148)</f>
        <v/>
      </c>
      <c r="E169" s="44"/>
      <c r="F169" s="44"/>
    </row>
    <row r="170" spans="2:6" ht="19.5" thickBot="1" x14ac:dyDescent="0.2">
      <c r="B170" s="339"/>
      <c r="C170" s="172" t="str">
        <f>IF('04（様式３）単位数の新旧対照表 '!D149="","",'04（様式３）単位数の新旧対照表 '!D149)</f>
        <v/>
      </c>
      <c r="D170" s="172" t="str">
        <f>IF('04（様式３）単位数の新旧対照表 '!E149="","",'04（様式３）単位数の新旧対照表 '!E149)</f>
        <v/>
      </c>
      <c r="E170" s="44"/>
      <c r="F170" s="44"/>
    </row>
    <row r="171" spans="2:6" ht="19.5" thickBot="1" x14ac:dyDescent="0.2">
      <c r="B171" s="339"/>
      <c r="C171" s="172" t="str">
        <f>IF('04（様式３）単位数の新旧対照表 '!D150="","",'04（様式３）単位数の新旧対照表 '!D150)</f>
        <v/>
      </c>
      <c r="D171" s="172" t="str">
        <f>IF('04（様式３）単位数の新旧対照表 '!E150="","",'04（様式３）単位数の新旧対照表 '!E150)</f>
        <v/>
      </c>
      <c r="E171" s="44"/>
      <c r="F171" s="44"/>
    </row>
    <row r="172" spans="2:6" ht="19.5" thickBot="1" x14ac:dyDescent="0.2">
      <c r="B172" s="339"/>
      <c r="C172" s="172" t="str">
        <f>IF('04（様式３）単位数の新旧対照表 '!D151="","",'04（様式３）単位数の新旧対照表 '!D151)</f>
        <v/>
      </c>
      <c r="D172" s="172" t="str">
        <f>IF('04（様式３）単位数の新旧対照表 '!E151="","",'04（様式３）単位数の新旧対照表 '!E151)</f>
        <v/>
      </c>
      <c r="E172" s="44"/>
      <c r="F172" s="44"/>
    </row>
    <row r="173" spans="2:6" ht="19.5" thickBot="1" x14ac:dyDescent="0.2">
      <c r="B173" s="340"/>
      <c r="C173" s="172" t="str">
        <f>IF('04（様式３）単位数の新旧対照表 '!D152="","",'04（様式３）単位数の新旧対照表 '!D152)</f>
        <v/>
      </c>
      <c r="D173" s="172" t="str">
        <f>IF('04（様式３）単位数の新旧対照表 '!E152="","",'04（様式３）単位数の新旧対照表 '!E152)</f>
        <v/>
      </c>
      <c r="E173" s="44"/>
      <c r="F173" s="44"/>
    </row>
    <row r="174" spans="2:6" ht="19.5" thickBot="1" x14ac:dyDescent="0.2">
      <c r="B174" s="338" t="s">
        <v>54</v>
      </c>
      <c r="C174" s="172" t="str">
        <f>IF('04（様式３）単位数の新旧対照表 '!D153="","",'04（様式３）単位数の新旧対照表 '!D153)</f>
        <v/>
      </c>
      <c r="D174" s="172" t="str">
        <f>IF('04（様式３）単位数の新旧対照表 '!E153="","",'04（様式３）単位数の新旧対照表 '!E153)</f>
        <v/>
      </c>
      <c r="E174" s="44"/>
      <c r="F174" s="44"/>
    </row>
    <row r="175" spans="2:6" ht="19.5" thickBot="1" x14ac:dyDescent="0.2">
      <c r="B175" s="339"/>
      <c r="C175" s="172" t="str">
        <f>IF('04（様式３）単位数の新旧対照表 '!D154="","",'04（様式３）単位数の新旧対照表 '!D154)</f>
        <v/>
      </c>
      <c r="D175" s="172" t="str">
        <f>IF('04（様式３）単位数の新旧対照表 '!E154="","",'04（様式３）単位数の新旧対照表 '!E154)</f>
        <v/>
      </c>
      <c r="E175" s="44"/>
      <c r="F175" s="44"/>
    </row>
    <row r="176" spans="2:6" ht="19.5" thickBot="1" x14ac:dyDescent="0.2">
      <c r="B176" s="339"/>
      <c r="C176" s="172" t="str">
        <f>IF('04（様式３）単位数の新旧対照表 '!D155="","",'04（様式３）単位数の新旧対照表 '!D155)</f>
        <v/>
      </c>
      <c r="D176" s="172" t="str">
        <f>IF('04（様式３）単位数の新旧対照表 '!E155="","",'04（様式３）単位数の新旧対照表 '!E155)</f>
        <v/>
      </c>
      <c r="E176" s="44"/>
      <c r="F176" s="44"/>
    </row>
    <row r="177" spans="2:6" ht="19.5" thickBot="1" x14ac:dyDescent="0.2">
      <c r="B177" s="339"/>
      <c r="C177" s="172" t="str">
        <f>IF('04（様式３）単位数の新旧対照表 '!D156="","",'04（様式３）単位数の新旧対照表 '!D156)</f>
        <v/>
      </c>
      <c r="D177" s="172" t="str">
        <f>IF('04（様式３）単位数の新旧対照表 '!E156="","",'04（様式３）単位数の新旧対照表 '!E156)</f>
        <v/>
      </c>
      <c r="E177" s="44"/>
      <c r="F177" s="44"/>
    </row>
    <row r="178" spans="2:6" ht="19.5" thickBot="1" x14ac:dyDescent="0.2">
      <c r="B178" s="339"/>
      <c r="C178" s="172" t="str">
        <f>IF('04（様式３）単位数の新旧対照表 '!D157="","",'04（様式３）単位数の新旧対照表 '!D157)</f>
        <v/>
      </c>
      <c r="D178" s="172" t="str">
        <f>IF('04（様式３）単位数の新旧対照表 '!E157="","",'04（様式３）単位数の新旧対照表 '!E157)</f>
        <v/>
      </c>
      <c r="E178" s="44"/>
      <c r="F178" s="44"/>
    </row>
    <row r="179" spans="2:6" ht="19.5" thickBot="1" x14ac:dyDescent="0.2">
      <c r="B179" s="339"/>
      <c r="C179" s="172" t="str">
        <f>IF('04（様式３）単位数の新旧対照表 '!D158="","",'04（様式３）単位数の新旧対照表 '!D158)</f>
        <v/>
      </c>
      <c r="D179" s="172" t="str">
        <f>IF('04（様式３）単位数の新旧対照表 '!E158="","",'04（様式３）単位数の新旧対照表 '!E158)</f>
        <v/>
      </c>
      <c r="E179" s="44"/>
      <c r="F179" s="44"/>
    </row>
    <row r="180" spans="2:6" ht="19.5" thickBot="1" x14ac:dyDescent="0.2">
      <c r="B180" s="339"/>
      <c r="C180" s="172" t="str">
        <f>IF('04（様式３）単位数の新旧対照表 '!D159="","",'04（様式３）単位数の新旧対照表 '!D159)</f>
        <v/>
      </c>
      <c r="D180" s="172" t="str">
        <f>IF('04（様式３）単位数の新旧対照表 '!E159="","",'04（様式３）単位数の新旧対照表 '!E159)</f>
        <v/>
      </c>
      <c r="E180" s="44"/>
      <c r="F180" s="44"/>
    </row>
    <row r="181" spans="2:6" ht="19.5" thickBot="1" x14ac:dyDescent="0.2">
      <c r="B181" s="339"/>
      <c r="C181" s="172" t="str">
        <f>IF('04（様式３）単位数の新旧対照表 '!D160="","",'04（様式３）単位数の新旧対照表 '!D160)</f>
        <v/>
      </c>
      <c r="D181" s="172" t="str">
        <f>IF('04（様式３）単位数の新旧対照表 '!E160="","",'04（様式３）単位数の新旧対照表 '!E160)</f>
        <v/>
      </c>
      <c r="E181" s="44"/>
      <c r="F181" s="44"/>
    </row>
    <row r="182" spans="2:6" ht="19.5" thickBot="1" x14ac:dyDescent="0.2">
      <c r="B182" s="339"/>
      <c r="C182" s="172" t="str">
        <f>IF('04（様式３）単位数の新旧対照表 '!D161="","",'04（様式３）単位数の新旧対照表 '!D161)</f>
        <v/>
      </c>
      <c r="D182" s="172" t="str">
        <f>IF('04（様式３）単位数の新旧対照表 '!E161="","",'04（様式３）単位数の新旧対照表 '!E161)</f>
        <v/>
      </c>
      <c r="E182" s="44"/>
      <c r="F182" s="44"/>
    </row>
    <row r="183" spans="2:6" ht="19.5" thickBot="1" x14ac:dyDescent="0.2">
      <c r="B183" s="339"/>
      <c r="C183" s="172" t="str">
        <f>IF('04（様式３）単位数の新旧対照表 '!D162="","",'04（様式３）単位数の新旧対照表 '!D162)</f>
        <v/>
      </c>
      <c r="D183" s="172" t="str">
        <f>IF('04（様式３）単位数の新旧対照表 '!E162="","",'04（様式３）単位数の新旧対照表 '!E162)</f>
        <v/>
      </c>
      <c r="E183" s="44"/>
      <c r="F183" s="44"/>
    </row>
    <row r="184" spans="2:6" ht="19.5" thickBot="1" x14ac:dyDescent="0.2">
      <c r="B184" s="339"/>
      <c r="C184" s="172" t="str">
        <f>IF('04（様式３）単位数の新旧対照表 '!D163="","",'04（様式３）単位数の新旧対照表 '!D163)</f>
        <v/>
      </c>
      <c r="D184" s="172" t="str">
        <f>IF('04（様式３）単位数の新旧対照表 '!E163="","",'04（様式３）単位数の新旧対照表 '!E163)</f>
        <v/>
      </c>
      <c r="E184" s="44"/>
      <c r="F184" s="44"/>
    </row>
    <row r="185" spans="2:6" ht="19.5" thickBot="1" x14ac:dyDescent="0.2">
      <c r="B185" s="339"/>
      <c r="C185" s="172" t="str">
        <f>IF('04（様式３）単位数の新旧対照表 '!D164="","",'04（様式３）単位数の新旧対照表 '!D164)</f>
        <v/>
      </c>
      <c r="D185" s="172" t="str">
        <f>IF('04（様式３）単位数の新旧対照表 '!E164="","",'04（様式３）単位数の新旧対照表 '!E164)</f>
        <v/>
      </c>
      <c r="E185" s="44"/>
      <c r="F185" s="44"/>
    </row>
    <row r="186" spans="2:6" ht="19.5" thickBot="1" x14ac:dyDescent="0.2">
      <c r="B186" s="339"/>
      <c r="C186" s="172" t="str">
        <f>IF('04（様式３）単位数の新旧対照表 '!D165="","",'04（様式３）単位数の新旧対照表 '!D165)</f>
        <v/>
      </c>
      <c r="D186" s="172" t="str">
        <f>IF('04（様式３）単位数の新旧対照表 '!E165="","",'04（様式３）単位数の新旧対照表 '!E165)</f>
        <v/>
      </c>
      <c r="E186" s="44"/>
      <c r="F186" s="44"/>
    </row>
    <row r="187" spans="2:6" ht="19.5" thickBot="1" x14ac:dyDescent="0.2">
      <c r="B187" s="339"/>
      <c r="C187" s="172" t="str">
        <f>IF('04（様式３）単位数の新旧対照表 '!D166="","",'04（様式３）単位数の新旧対照表 '!D166)</f>
        <v/>
      </c>
      <c r="D187" s="172" t="str">
        <f>IF('04（様式３）単位数の新旧対照表 '!E166="","",'04（様式３）単位数の新旧対照表 '!E166)</f>
        <v/>
      </c>
      <c r="E187" s="44"/>
      <c r="F187" s="44"/>
    </row>
    <row r="188" spans="2:6" ht="19.5" thickBot="1" x14ac:dyDescent="0.2">
      <c r="B188" s="340"/>
      <c r="C188" s="172" t="str">
        <f>IF('04（様式３）単位数の新旧対照表 '!D167="","",'04（様式３）単位数の新旧対照表 '!D167)</f>
        <v/>
      </c>
      <c r="D188" s="172" t="str">
        <f>IF('04（様式３）単位数の新旧対照表 '!E167="","",'04（様式３）単位数の新旧対照表 '!E167)</f>
        <v/>
      </c>
      <c r="E188" s="44"/>
      <c r="F188" s="44"/>
    </row>
    <row r="189" spans="2:6" ht="19.5" thickBot="1" x14ac:dyDescent="0.2">
      <c r="B189" s="338" t="s">
        <v>55</v>
      </c>
      <c r="C189" s="172" t="str">
        <f>IF('04（様式３）単位数の新旧対照表 '!D168="","",'04（様式３）単位数の新旧対照表 '!D168)</f>
        <v/>
      </c>
      <c r="D189" s="172" t="str">
        <f>IF('04（様式３）単位数の新旧対照表 '!E168="","",'04（様式３）単位数の新旧対照表 '!E168)</f>
        <v/>
      </c>
      <c r="E189" s="44"/>
      <c r="F189" s="44"/>
    </row>
    <row r="190" spans="2:6" ht="19.5" thickBot="1" x14ac:dyDescent="0.2">
      <c r="B190" s="339"/>
      <c r="C190" s="172" t="str">
        <f>IF('04（様式３）単位数の新旧対照表 '!D169="","",'04（様式３）単位数の新旧対照表 '!D169)</f>
        <v/>
      </c>
      <c r="D190" s="172" t="str">
        <f>IF('04（様式３）単位数の新旧対照表 '!E169="","",'04（様式３）単位数の新旧対照表 '!E169)</f>
        <v/>
      </c>
      <c r="E190" s="44"/>
      <c r="F190" s="44"/>
    </row>
    <row r="191" spans="2:6" ht="19.5" thickBot="1" x14ac:dyDescent="0.2">
      <c r="B191" s="339"/>
      <c r="C191" s="172" t="str">
        <f>IF('04（様式３）単位数の新旧対照表 '!D170="","",'04（様式３）単位数の新旧対照表 '!D170)</f>
        <v/>
      </c>
      <c r="D191" s="172" t="str">
        <f>IF('04（様式３）単位数の新旧対照表 '!E170="","",'04（様式３）単位数の新旧対照表 '!E170)</f>
        <v/>
      </c>
      <c r="E191" s="44"/>
      <c r="F191" s="44"/>
    </row>
    <row r="192" spans="2:6" ht="19.5" thickBot="1" x14ac:dyDescent="0.2">
      <c r="B192" s="339"/>
      <c r="C192" s="172" t="str">
        <f>IF('04（様式３）単位数の新旧対照表 '!D171="","",'04（様式３）単位数の新旧対照表 '!D171)</f>
        <v/>
      </c>
      <c r="D192" s="172" t="str">
        <f>IF('04（様式３）単位数の新旧対照表 '!E171="","",'04（様式３）単位数の新旧対照表 '!E171)</f>
        <v/>
      </c>
      <c r="E192" s="44"/>
      <c r="F192" s="44"/>
    </row>
    <row r="193" spans="2:6" ht="19.5" thickBot="1" x14ac:dyDescent="0.2">
      <c r="B193" s="339"/>
      <c r="C193" s="172" t="str">
        <f>IF('04（様式３）単位数の新旧対照表 '!D172="","",'04（様式３）単位数の新旧対照表 '!D172)</f>
        <v/>
      </c>
      <c r="D193" s="172" t="str">
        <f>IF('04（様式３）単位数の新旧対照表 '!E172="","",'04（様式３）単位数の新旧対照表 '!E172)</f>
        <v/>
      </c>
      <c r="E193" s="44"/>
      <c r="F193" s="44"/>
    </row>
    <row r="194" spans="2:6" ht="19.5" thickBot="1" x14ac:dyDescent="0.2">
      <c r="B194" s="339"/>
      <c r="C194" s="172" t="str">
        <f>IF('04（様式３）単位数の新旧対照表 '!D173="","",'04（様式３）単位数の新旧対照表 '!D173)</f>
        <v/>
      </c>
      <c r="D194" s="172" t="str">
        <f>IF('04（様式３）単位数の新旧対照表 '!E173="","",'04（様式３）単位数の新旧対照表 '!E173)</f>
        <v/>
      </c>
      <c r="E194" s="44"/>
      <c r="F194" s="44"/>
    </row>
    <row r="195" spans="2:6" ht="19.5" thickBot="1" x14ac:dyDescent="0.2">
      <c r="B195" s="339"/>
      <c r="C195" s="172" t="str">
        <f>IF('04（様式３）単位数の新旧対照表 '!D174="","",'04（様式３）単位数の新旧対照表 '!D174)</f>
        <v/>
      </c>
      <c r="D195" s="172" t="str">
        <f>IF('04（様式３）単位数の新旧対照表 '!E174="","",'04（様式３）単位数の新旧対照表 '!E174)</f>
        <v/>
      </c>
      <c r="E195" s="44"/>
      <c r="F195" s="44"/>
    </row>
    <row r="196" spans="2:6" ht="19.5" thickBot="1" x14ac:dyDescent="0.2">
      <c r="B196" s="339"/>
      <c r="C196" s="172" t="str">
        <f>IF('04（様式３）単位数の新旧対照表 '!D175="","",'04（様式３）単位数の新旧対照表 '!D175)</f>
        <v/>
      </c>
      <c r="D196" s="172" t="str">
        <f>IF('04（様式３）単位数の新旧対照表 '!E175="","",'04（様式３）単位数の新旧対照表 '!E175)</f>
        <v/>
      </c>
      <c r="E196" s="44"/>
      <c r="F196" s="44"/>
    </row>
    <row r="197" spans="2:6" ht="19.5" thickBot="1" x14ac:dyDescent="0.2">
      <c r="B197" s="339"/>
      <c r="C197" s="172" t="str">
        <f>IF('04（様式３）単位数の新旧対照表 '!D176="","",'04（様式３）単位数の新旧対照表 '!D176)</f>
        <v/>
      </c>
      <c r="D197" s="172" t="str">
        <f>IF('04（様式３）単位数の新旧対照表 '!E176="","",'04（様式３）単位数の新旧対照表 '!E176)</f>
        <v/>
      </c>
      <c r="E197" s="44"/>
      <c r="F197" s="44"/>
    </row>
    <row r="198" spans="2:6" ht="19.5" thickBot="1" x14ac:dyDescent="0.2">
      <c r="B198" s="339"/>
      <c r="C198" s="172" t="str">
        <f>IF('04（様式３）単位数の新旧対照表 '!D177="","",'04（様式３）単位数の新旧対照表 '!D177)</f>
        <v/>
      </c>
      <c r="D198" s="172" t="str">
        <f>IF('04（様式３）単位数の新旧対照表 '!E177="","",'04（様式３）単位数の新旧対照表 '!E177)</f>
        <v/>
      </c>
      <c r="E198" s="44"/>
      <c r="F198" s="44"/>
    </row>
    <row r="199" spans="2:6" ht="19.5" thickBot="1" x14ac:dyDescent="0.2">
      <c r="B199" s="340"/>
      <c r="C199" s="172" t="str">
        <f>IF('04（様式３）単位数の新旧対照表 '!D178="","",'04（様式３）単位数の新旧対照表 '!D178)</f>
        <v/>
      </c>
      <c r="D199" s="172" t="str">
        <f>IF('04（様式３）単位数の新旧対照表 '!E178="","",'04（様式３）単位数の新旧対照表 '!E178)</f>
        <v/>
      </c>
      <c r="E199" s="44"/>
      <c r="F199" s="44"/>
    </row>
    <row r="200" spans="2:6" ht="19.5" thickBot="1" x14ac:dyDescent="0.2">
      <c r="B200" s="338" t="s">
        <v>56</v>
      </c>
      <c r="C200" s="172" t="str">
        <f>IF('04（様式３）単位数の新旧対照表 '!D196="","",'04（様式３）単位数の新旧対照表 '!D196)</f>
        <v/>
      </c>
      <c r="D200" s="172" t="str">
        <f>IF('04（様式３）単位数の新旧対照表 '!E196="","",'04（様式３）単位数の新旧対照表 '!E196)</f>
        <v/>
      </c>
      <c r="E200" s="44"/>
      <c r="F200" s="44"/>
    </row>
    <row r="201" spans="2:6" ht="19.5" thickBot="1" x14ac:dyDescent="0.2">
      <c r="B201" s="339"/>
      <c r="C201" s="172" t="str">
        <f>IF('04（様式３）単位数の新旧対照表 '!D197="","",'04（様式３）単位数の新旧対照表 '!D197)</f>
        <v/>
      </c>
      <c r="D201" s="172" t="str">
        <f>IF('04（様式３）単位数の新旧対照表 '!E197="","",'04（様式３）単位数の新旧対照表 '!E197)</f>
        <v/>
      </c>
      <c r="E201" s="44"/>
      <c r="F201" s="44"/>
    </row>
    <row r="202" spans="2:6" ht="19.5" thickBot="1" x14ac:dyDescent="0.2">
      <c r="B202" s="339"/>
      <c r="C202" s="172" t="str">
        <f>IF('04（様式３）単位数の新旧対照表 '!D198="","",'04（様式３）単位数の新旧対照表 '!D198)</f>
        <v/>
      </c>
      <c r="D202" s="172" t="str">
        <f>IF('04（様式３）単位数の新旧対照表 '!E198="","",'04（様式３）単位数の新旧対照表 '!E198)</f>
        <v/>
      </c>
      <c r="E202" s="44"/>
      <c r="F202" s="44"/>
    </row>
    <row r="203" spans="2:6" ht="19.5" thickBot="1" x14ac:dyDescent="0.2">
      <c r="B203" s="339"/>
      <c r="C203" s="172" t="str">
        <f>IF('04（様式３）単位数の新旧対照表 '!D199="","",'04（様式３）単位数の新旧対照表 '!D199)</f>
        <v/>
      </c>
      <c r="D203" s="172" t="str">
        <f>IF('04（様式３）単位数の新旧対照表 '!E199="","",'04（様式３）単位数の新旧対照表 '!E199)</f>
        <v/>
      </c>
      <c r="E203" s="44"/>
      <c r="F203" s="44"/>
    </row>
    <row r="204" spans="2:6" ht="19.5" thickBot="1" x14ac:dyDescent="0.2">
      <c r="B204" s="339"/>
      <c r="C204" s="172" t="str">
        <f>IF('04（様式３）単位数の新旧対照表 '!D200="","",'04（様式３）単位数の新旧対照表 '!D200)</f>
        <v/>
      </c>
      <c r="D204" s="172" t="str">
        <f>IF('04（様式３）単位数の新旧対照表 '!E200="","",'04（様式３）単位数の新旧対照表 '!E200)</f>
        <v/>
      </c>
      <c r="E204" s="44"/>
      <c r="F204" s="44"/>
    </row>
    <row r="205" spans="2:6" ht="19.5" thickBot="1" x14ac:dyDescent="0.2">
      <c r="B205" s="339"/>
      <c r="C205" s="172" t="str">
        <f>IF('04（様式３）単位数の新旧対照表 '!D201="","",'04（様式３）単位数の新旧対照表 '!D201)</f>
        <v/>
      </c>
      <c r="D205" s="172" t="str">
        <f>IF('04（様式３）単位数の新旧対照表 '!E201="","",'04（様式３）単位数の新旧対照表 '!E201)</f>
        <v/>
      </c>
      <c r="E205" s="44"/>
      <c r="F205" s="44"/>
    </row>
    <row r="206" spans="2:6" ht="19.5" thickBot="1" x14ac:dyDescent="0.2">
      <c r="B206" s="339"/>
      <c r="C206" s="172" t="str">
        <f>IF('04（様式３）単位数の新旧対照表 '!D202="","",'04（様式３）単位数の新旧対照表 '!D202)</f>
        <v/>
      </c>
      <c r="D206" s="172" t="str">
        <f>IF('04（様式３）単位数の新旧対照表 '!E202="","",'04（様式３）単位数の新旧対照表 '!E202)</f>
        <v/>
      </c>
      <c r="E206" s="44"/>
      <c r="F206" s="44"/>
    </row>
    <row r="207" spans="2:6" ht="19.5" thickBot="1" x14ac:dyDescent="0.2">
      <c r="B207" s="339"/>
      <c r="C207" s="172" t="str">
        <f>IF('04（様式３）単位数の新旧対照表 '!D203="","",'04（様式３）単位数の新旧対照表 '!D203)</f>
        <v/>
      </c>
      <c r="D207" s="172" t="str">
        <f>IF('04（様式３）単位数の新旧対照表 '!E203="","",'04（様式３）単位数の新旧対照表 '!E203)</f>
        <v/>
      </c>
      <c r="E207" s="44"/>
      <c r="F207" s="44"/>
    </row>
    <row r="208" spans="2:6" ht="19.5" thickBot="1" x14ac:dyDescent="0.2">
      <c r="B208" s="339"/>
      <c r="C208" s="172" t="str">
        <f>IF('04（様式３）単位数の新旧対照表 '!D204="","",'04（様式３）単位数の新旧対照表 '!D204)</f>
        <v/>
      </c>
      <c r="D208" s="172" t="str">
        <f>IF('04（様式３）単位数の新旧対照表 '!E204="","",'04（様式３）単位数の新旧対照表 '!E204)</f>
        <v/>
      </c>
      <c r="E208" s="44"/>
      <c r="F208" s="44"/>
    </row>
    <row r="209" spans="2:6" ht="19.5" thickBot="1" x14ac:dyDescent="0.2">
      <c r="B209" s="340"/>
      <c r="C209" s="172" t="str">
        <f>IF('04（様式３）単位数の新旧対照表 '!D205="","",'04（様式３）単位数の新旧対照表 '!D205)</f>
        <v/>
      </c>
      <c r="D209" s="172" t="str">
        <f>IF('04（様式３）単位数の新旧対照表 '!E205="","",'04（様式３）単位数の新旧対照表 '!E205)</f>
        <v/>
      </c>
      <c r="E209" s="44"/>
      <c r="F209" s="44"/>
    </row>
    <row r="210" spans="2:6" ht="19.5" thickBot="1" x14ac:dyDescent="0.2">
      <c r="B210" s="338" t="s">
        <v>57</v>
      </c>
      <c r="C210" s="172" t="str">
        <f>IF('04（様式３）単位数の新旧対照表 '!D206="","",'04（様式３）単位数の新旧対照表 '!D206)</f>
        <v/>
      </c>
      <c r="D210" s="172" t="str">
        <f>IF('04（様式３）単位数の新旧対照表 '!E206="","",'04（様式３）単位数の新旧対照表 '!E206)</f>
        <v/>
      </c>
      <c r="E210" s="44"/>
      <c r="F210" s="44"/>
    </row>
    <row r="211" spans="2:6" ht="19.5" thickBot="1" x14ac:dyDescent="0.2">
      <c r="B211" s="339"/>
      <c r="C211" s="172" t="str">
        <f>IF('04（様式３）単位数の新旧対照表 '!D207="","",'04（様式３）単位数の新旧対照表 '!D207)</f>
        <v/>
      </c>
      <c r="D211" s="172" t="str">
        <f>IF('04（様式３）単位数の新旧対照表 '!E207="","",'04（様式３）単位数の新旧対照表 '!E207)</f>
        <v/>
      </c>
      <c r="E211" s="44"/>
      <c r="F211" s="44"/>
    </row>
    <row r="212" spans="2:6" ht="19.5" thickBot="1" x14ac:dyDescent="0.2">
      <c r="B212" s="339"/>
      <c r="C212" s="172" t="str">
        <f>IF('04（様式３）単位数の新旧対照表 '!D208="","",'04（様式３）単位数の新旧対照表 '!D208)</f>
        <v/>
      </c>
      <c r="D212" s="172" t="str">
        <f>IF('04（様式３）単位数の新旧対照表 '!E208="","",'04（様式３）単位数の新旧対照表 '!E208)</f>
        <v/>
      </c>
      <c r="E212" s="44"/>
      <c r="F212" s="44"/>
    </row>
    <row r="213" spans="2:6" ht="19.5" thickBot="1" x14ac:dyDescent="0.2">
      <c r="B213" s="339"/>
      <c r="C213" s="172" t="str">
        <f>IF('04（様式３）単位数の新旧対照表 '!D209="","",'04（様式３）単位数の新旧対照表 '!D209)</f>
        <v/>
      </c>
      <c r="D213" s="172" t="str">
        <f>IF('04（様式３）単位数の新旧対照表 '!E209="","",'04（様式３）単位数の新旧対照表 '!E209)</f>
        <v/>
      </c>
      <c r="E213" s="44"/>
      <c r="F213" s="44"/>
    </row>
    <row r="214" spans="2:6" ht="19.5" thickBot="1" x14ac:dyDescent="0.2">
      <c r="B214" s="340"/>
      <c r="C214" s="172" t="str">
        <f>IF('04（様式３）単位数の新旧対照表 '!D210="","",'04（様式３）単位数の新旧対照表 '!D210)</f>
        <v/>
      </c>
      <c r="D214" s="172" t="str">
        <f>IF('04（様式３）単位数の新旧対照表 '!E210="","",'04（様式３）単位数の新旧対照表 '!E210)</f>
        <v/>
      </c>
      <c r="E214" s="44"/>
      <c r="F214" s="44"/>
    </row>
    <row r="215" spans="2:6" ht="19.5" thickBot="1" x14ac:dyDescent="0.2">
      <c r="B215" s="331" t="s">
        <v>58</v>
      </c>
      <c r="C215" s="332"/>
      <c r="D215" s="64">
        <f>SUM(D16:D214)</f>
        <v>0</v>
      </c>
      <c r="E215" s="44"/>
      <c r="F215" s="44"/>
    </row>
    <row r="216" spans="2:6" x14ac:dyDescent="0.15">
      <c r="B216" s="63"/>
      <c r="C216" s="62"/>
      <c r="D216" s="62"/>
      <c r="E216" s="44"/>
      <c r="F216" s="44"/>
    </row>
    <row r="217" spans="2:6" x14ac:dyDescent="0.15">
      <c r="B217" s="45"/>
      <c r="E217" s="44"/>
      <c r="F217" s="44"/>
    </row>
    <row r="218" spans="2:6" x14ac:dyDescent="0.15">
      <c r="B218" s="111" t="s">
        <v>59</v>
      </c>
      <c r="C218" s="111"/>
      <c r="D218" s="111"/>
      <c r="E218" s="44"/>
      <c r="F218" s="44"/>
    </row>
    <row r="219" spans="2:6" x14ac:dyDescent="0.15">
      <c r="B219" s="110" t="s">
        <v>60</v>
      </c>
      <c r="C219" s="110"/>
      <c r="D219" s="110"/>
      <c r="E219" s="44"/>
      <c r="F219" s="44"/>
    </row>
    <row r="220" spans="2:6" x14ac:dyDescent="0.15">
      <c r="B220" s="61" t="s">
        <v>61</v>
      </c>
      <c r="C220" s="110"/>
      <c r="D220" s="110"/>
      <c r="E220" s="44"/>
      <c r="F220" s="44"/>
    </row>
    <row r="221" spans="2:6" x14ac:dyDescent="0.15">
      <c r="B221" s="110" t="s">
        <v>62</v>
      </c>
      <c r="C221" s="110"/>
      <c r="D221" s="110"/>
      <c r="E221" s="44"/>
      <c r="F221" s="44"/>
    </row>
    <row r="222" spans="2:6" x14ac:dyDescent="0.15">
      <c r="B222" s="61" t="s">
        <v>774</v>
      </c>
      <c r="C222" s="110"/>
      <c r="D222" s="110"/>
      <c r="E222" s="44"/>
      <c r="F222" s="44"/>
    </row>
    <row r="223" spans="2:6" x14ac:dyDescent="0.15">
      <c r="B223" s="61" t="s">
        <v>837</v>
      </c>
      <c r="C223" s="110"/>
      <c r="D223" s="110"/>
      <c r="E223" s="44"/>
      <c r="F223" s="44"/>
    </row>
    <row r="224" spans="2:6" x14ac:dyDescent="0.15">
      <c r="B224" s="61" t="s">
        <v>838</v>
      </c>
      <c r="C224" s="110"/>
      <c r="D224" s="110"/>
      <c r="E224" s="44"/>
      <c r="F224" s="44"/>
    </row>
    <row r="225" spans="2:6" x14ac:dyDescent="0.15">
      <c r="B225" s="61" t="s">
        <v>839</v>
      </c>
      <c r="C225" s="110"/>
      <c r="D225" s="110"/>
      <c r="E225" s="44"/>
      <c r="F225" s="44"/>
    </row>
    <row r="226" spans="2:6" x14ac:dyDescent="0.15">
      <c r="B226" s="110" t="s">
        <v>840</v>
      </c>
      <c r="C226" s="110"/>
      <c r="D226" s="110"/>
      <c r="E226" s="44"/>
      <c r="F226" s="44"/>
    </row>
    <row r="227" spans="2:6" x14ac:dyDescent="0.15">
      <c r="E227" s="44"/>
      <c r="F227" s="44"/>
    </row>
    <row r="228" spans="2:6" x14ac:dyDescent="0.15">
      <c r="E228" s="44"/>
      <c r="F228" s="44"/>
    </row>
    <row r="229" spans="2:6" x14ac:dyDescent="0.15">
      <c r="E229" s="44"/>
      <c r="F229" s="44"/>
    </row>
    <row r="230" spans="2:6" x14ac:dyDescent="0.15">
      <c r="E230" s="44"/>
      <c r="F230" s="44"/>
    </row>
    <row r="231" spans="2:6" x14ac:dyDescent="0.15">
      <c r="E231" s="44"/>
      <c r="F231" s="44"/>
    </row>
    <row r="232" spans="2:6" x14ac:dyDescent="0.15">
      <c r="E232" s="44"/>
      <c r="F232" s="44"/>
    </row>
    <row r="233" spans="2:6" x14ac:dyDescent="0.15">
      <c r="E233" s="44"/>
      <c r="F233" s="44"/>
    </row>
    <row r="234" spans="2:6" x14ac:dyDescent="0.15">
      <c r="E234" s="44"/>
      <c r="F234" s="44"/>
    </row>
    <row r="235" spans="2:6" x14ac:dyDescent="0.15">
      <c r="E235" s="44"/>
      <c r="F235" s="44"/>
    </row>
    <row r="236" spans="2:6" x14ac:dyDescent="0.15">
      <c r="E236" s="44"/>
      <c r="F236" s="44"/>
    </row>
    <row r="237" spans="2:6" x14ac:dyDescent="0.15">
      <c r="E237" s="44"/>
      <c r="F237" s="44"/>
    </row>
    <row r="238" spans="2:6" x14ac:dyDescent="0.15">
      <c r="E238" s="44"/>
      <c r="F238" s="44"/>
    </row>
    <row r="239" spans="2:6" x14ac:dyDescent="0.15">
      <c r="E239" s="44"/>
      <c r="F239" s="44"/>
    </row>
    <row r="240" spans="2:6" x14ac:dyDescent="0.15">
      <c r="E240" s="44"/>
      <c r="F240" s="44"/>
    </row>
    <row r="241" spans="5:6" x14ac:dyDescent="0.15">
      <c r="E241" s="44"/>
      <c r="F241" s="44"/>
    </row>
    <row r="242" spans="5:6" x14ac:dyDescent="0.15">
      <c r="E242" s="44"/>
      <c r="F242" s="44"/>
    </row>
    <row r="243" spans="5:6" x14ac:dyDescent="0.15">
      <c r="E243" s="44"/>
      <c r="F243" s="44"/>
    </row>
    <row r="244" spans="5:6" x14ac:dyDescent="0.15">
      <c r="E244" s="44"/>
      <c r="F244" s="44"/>
    </row>
    <row r="245" spans="5:6" x14ac:dyDescent="0.15">
      <c r="E245" s="44"/>
      <c r="F245" s="44"/>
    </row>
    <row r="246" spans="5:6" x14ac:dyDescent="0.15">
      <c r="E246" s="44"/>
      <c r="F246" s="44"/>
    </row>
    <row r="247" spans="5:6" x14ac:dyDescent="0.15">
      <c r="E247" s="44"/>
      <c r="F247" s="44"/>
    </row>
    <row r="248" spans="5:6" x14ac:dyDescent="0.15">
      <c r="E248" s="44"/>
      <c r="F248" s="44"/>
    </row>
    <row r="249" spans="5:6" x14ac:dyDescent="0.15">
      <c r="E249" s="44"/>
      <c r="F249" s="44"/>
    </row>
    <row r="250" spans="5:6" x14ac:dyDescent="0.15">
      <c r="E250" s="44"/>
      <c r="F250" s="44"/>
    </row>
    <row r="251" spans="5:6" x14ac:dyDescent="0.15">
      <c r="E251" s="44"/>
      <c r="F251" s="44"/>
    </row>
    <row r="252" spans="5:6" x14ac:dyDescent="0.15">
      <c r="E252" s="44"/>
      <c r="F252" s="44"/>
    </row>
    <row r="253" spans="5:6" x14ac:dyDescent="0.15">
      <c r="E253" s="44"/>
      <c r="F253" s="44"/>
    </row>
    <row r="254" spans="5:6" x14ac:dyDescent="0.15">
      <c r="E254" s="44"/>
      <c r="F254" s="44"/>
    </row>
    <row r="255" spans="5:6" x14ac:dyDescent="0.15">
      <c r="E255" s="44"/>
      <c r="F255" s="44"/>
    </row>
    <row r="256" spans="5:6" x14ac:dyDescent="0.15">
      <c r="E256" s="44"/>
      <c r="F256" s="44"/>
    </row>
    <row r="257" spans="5:6" x14ac:dyDescent="0.15">
      <c r="E257" s="44"/>
      <c r="F257" s="44"/>
    </row>
    <row r="258" spans="5:6" x14ac:dyDescent="0.15">
      <c r="E258" s="44"/>
      <c r="F258" s="44"/>
    </row>
    <row r="259" spans="5:6" x14ac:dyDescent="0.15">
      <c r="E259" s="44"/>
      <c r="F259" s="44"/>
    </row>
    <row r="260" spans="5:6" x14ac:dyDescent="0.15">
      <c r="E260" s="44"/>
      <c r="F260" s="44"/>
    </row>
    <row r="261" spans="5:6" x14ac:dyDescent="0.15">
      <c r="E261" s="44"/>
      <c r="F261" s="44"/>
    </row>
    <row r="262" spans="5:6" x14ac:dyDescent="0.15">
      <c r="E262" s="44"/>
      <c r="F262" s="44"/>
    </row>
    <row r="263" spans="5:6" x14ac:dyDescent="0.15">
      <c r="E263" s="44"/>
      <c r="F263" s="44"/>
    </row>
    <row r="264" spans="5:6" x14ac:dyDescent="0.15">
      <c r="E264" s="44"/>
      <c r="F264" s="44"/>
    </row>
    <row r="265" spans="5:6" x14ac:dyDescent="0.15">
      <c r="E265" s="44"/>
      <c r="F265" s="44"/>
    </row>
    <row r="266" spans="5:6" x14ac:dyDescent="0.15">
      <c r="E266" s="44"/>
      <c r="F266" s="44"/>
    </row>
    <row r="267" spans="5:6" x14ac:dyDescent="0.15">
      <c r="E267" s="44"/>
      <c r="F267" s="44"/>
    </row>
    <row r="268" spans="5:6" x14ac:dyDescent="0.15">
      <c r="E268" s="44"/>
      <c r="F268" s="44"/>
    </row>
    <row r="269" spans="5:6" x14ac:dyDescent="0.15">
      <c r="E269" s="44"/>
      <c r="F269" s="44"/>
    </row>
    <row r="270" spans="5:6" x14ac:dyDescent="0.15">
      <c r="E270" s="44"/>
      <c r="F270" s="44"/>
    </row>
    <row r="271" spans="5:6" x14ac:dyDescent="0.15">
      <c r="E271" s="44"/>
      <c r="F271" s="44"/>
    </row>
    <row r="272" spans="5:6" x14ac:dyDescent="0.15">
      <c r="E272" s="44"/>
      <c r="F272" s="44"/>
    </row>
    <row r="273" spans="5:6" x14ac:dyDescent="0.15">
      <c r="E273" s="44"/>
      <c r="F273" s="44"/>
    </row>
    <row r="274" spans="5:6" x14ac:dyDescent="0.15">
      <c r="E274" s="44"/>
      <c r="F274" s="44"/>
    </row>
    <row r="275" spans="5:6" x14ac:dyDescent="0.15">
      <c r="E275" s="44"/>
      <c r="F275" s="44"/>
    </row>
    <row r="276" spans="5:6" x14ac:dyDescent="0.15">
      <c r="E276" s="44"/>
      <c r="F276" s="44"/>
    </row>
    <row r="277" spans="5:6" x14ac:dyDescent="0.15">
      <c r="E277" s="44"/>
      <c r="F277" s="44"/>
    </row>
    <row r="278" spans="5:6" x14ac:dyDescent="0.15">
      <c r="E278" s="44"/>
      <c r="F278" s="44"/>
    </row>
    <row r="279" spans="5:6" x14ac:dyDescent="0.15">
      <c r="E279" s="44"/>
      <c r="F279" s="44"/>
    </row>
    <row r="280" spans="5:6" x14ac:dyDescent="0.15">
      <c r="E280" s="44"/>
      <c r="F280" s="44"/>
    </row>
    <row r="281" spans="5:6" x14ac:dyDescent="0.15">
      <c r="E281" s="44"/>
      <c r="F281" s="44"/>
    </row>
    <row r="282" spans="5:6" x14ac:dyDescent="0.15">
      <c r="E282" s="44"/>
      <c r="F282" s="44"/>
    </row>
    <row r="283" spans="5:6" x14ac:dyDescent="0.15">
      <c r="E283" s="44"/>
      <c r="F283" s="44"/>
    </row>
    <row r="284" spans="5:6" x14ac:dyDescent="0.15">
      <c r="E284" s="44"/>
      <c r="F284" s="44"/>
    </row>
    <row r="285" spans="5:6" x14ac:dyDescent="0.15">
      <c r="E285" s="44"/>
      <c r="F285" s="44"/>
    </row>
    <row r="286" spans="5:6" x14ac:dyDescent="0.15">
      <c r="E286" s="44"/>
      <c r="F286" s="44"/>
    </row>
    <row r="287" spans="5:6" x14ac:dyDescent="0.15">
      <c r="E287" s="44"/>
      <c r="F287" s="44"/>
    </row>
    <row r="288" spans="5:6" x14ac:dyDescent="0.15">
      <c r="E288" s="44"/>
      <c r="F288" s="44"/>
    </row>
    <row r="289" spans="5:6" x14ac:dyDescent="0.15">
      <c r="E289" s="44"/>
      <c r="F289" s="44"/>
    </row>
    <row r="290" spans="5:6" x14ac:dyDescent="0.15">
      <c r="E290" s="44"/>
      <c r="F290" s="44"/>
    </row>
    <row r="291" spans="5:6" x14ac:dyDescent="0.15">
      <c r="E291" s="44"/>
      <c r="F291" s="44"/>
    </row>
    <row r="292" spans="5:6" x14ac:dyDescent="0.15">
      <c r="E292" s="44"/>
      <c r="F292" s="44"/>
    </row>
    <row r="293" spans="5:6" x14ac:dyDescent="0.15">
      <c r="E293" s="44"/>
      <c r="F293" s="44"/>
    </row>
    <row r="294" spans="5:6" x14ac:dyDescent="0.15">
      <c r="E294" s="44"/>
      <c r="F294" s="44"/>
    </row>
    <row r="295" spans="5:6" x14ac:dyDescent="0.15">
      <c r="E295" s="44"/>
      <c r="F295" s="44"/>
    </row>
    <row r="296" spans="5:6" x14ac:dyDescent="0.15">
      <c r="E296" s="44"/>
      <c r="F296" s="44"/>
    </row>
    <row r="297" spans="5:6" x14ac:dyDescent="0.15">
      <c r="E297" s="44"/>
      <c r="F297" s="44"/>
    </row>
    <row r="298" spans="5:6" x14ac:dyDescent="0.15">
      <c r="E298" s="44"/>
      <c r="F298" s="44"/>
    </row>
    <row r="299" spans="5:6" x14ac:dyDescent="0.15">
      <c r="E299" s="44"/>
      <c r="F299" s="44"/>
    </row>
    <row r="300" spans="5:6" x14ac:dyDescent="0.15">
      <c r="E300" s="44"/>
      <c r="F300" s="44"/>
    </row>
    <row r="301" spans="5:6" x14ac:dyDescent="0.15">
      <c r="E301" s="44"/>
      <c r="F301" s="44"/>
    </row>
    <row r="302" spans="5:6" x14ac:dyDescent="0.15">
      <c r="E302" s="44"/>
      <c r="F302" s="44"/>
    </row>
    <row r="303" spans="5:6" x14ac:dyDescent="0.15">
      <c r="E303" s="44"/>
      <c r="F303" s="44"/>
    </row>
    <row r="304" spans="5:6" x14ac:dyDescent="0.15">
      <c r="E304" s="44"/>
      <c r="F304" s="44"/>
    </row>
    <row r="305" spans="5:6" x14ac:dyDescent="0.15">
      <c r="E305" s="44"/>
      <c r="F305" s="44"/>
    </row>
    <row r="306" spans="5:6" x14ac:dyDescent="0.15">
      <c r="E306" s="44"/>
      <c r="F306" s="44"/>
    </row>
    <row r="307" spans="5:6" x14ac:dyDescent="0.15">
      <c r="E307" s="44"/>
      <c r="F307" s="44"/>
    </row>
    <row r="308" spans="5:6" x14ac:dyDescent="0.15">
      <c r="E308" s="44"/>
      <c r="F308" s="44"/>
    </row>
    <row r="309" spans="5:6" x14ac:dyDescent="0.15">
      <c r="E309" s="44"/>
      <c r="F309" s="44"/>
    </row>
    <row r="310" spans="5:6" x14ac:dyDescent="0.15">
      <c r="E310" s="44"/>
      <c r="F310" s="44"/>
    </row>
    <row r="311" spans="5:6" x14ac:dyDescent="0.15">
      <c r="E311" s="44"/>
      <c r="F311" s="44"/>
    </row>
    <row r="312" spans="5:6" x14ac:dyDescent="0.15">
      <c r="E312" s="44"/>
      <c r="F312" s="44"/>
    </row>
    <row r="313" spans="5:6" x14ac:dyDescent="0.15">
      <c r="E313" s="44"/>
      <c r="F313" s="44"/>
    </row>
    <row r="314" spans="5:6" x14ac:dyDescent="0.15">
      <c r="E314" s="44"/>
      <c r="F314" s="44"/>
    </row>
    <row r="315" spans="5:6" x14ac:dyDescent="0.15">
      <c r="E315" s="44"/>
      <c r="F315" s="44"/>
    </row>
    <row r="316" spans="5:6" x14ac:dyDescent="0.15">
      <c r="E316" s="44"/>
      <c r="F316" s="44"/>
    </row>
    <row r="317" spans="5:6" x14ac:dyDescent="0.15">
      <c r="E317" s="44"/>
      <c r="F317" s="44"/>
    </row>
    <row r="318" spans="5:6" x14ac:dyDescent="0.15">
      <c r="E318" s="44"/>
      <c r="F318" s="44"/>
    </row>
    <row r="319" spans="5:6" x14ac:dyDescent="0.15">
      <c r="E319" s="44"/>
      <c r="F319" s="44"/>
    </row>
    <row r="320" spans="5:6" x14ac:dyDescent="0.15">
      <c r="E320" s="44"/>
      <c r="F320" s="44"/>
    </row>
    <row r="321" spans="5:6" x14ac:dyDescent="0.15">
      <c r="E321" s="44"/>
      <c r="F321" s="44"/>
    </row>
    <row r="322" spans="5:6" x14ac:dyDescent="0.15">
      <c r="E322" s="44"/>
      <c r="F322" s="44"/>
    </row>
    <row r="323" spans="5:6" x14ac:dyDescent="0.15">
      <c r="E323" s="44"/>
      <c r="F323" s="44"/>
    </row>
    <row r="324" spans="5:6" x14ac:dyDescent="0.15">
      <c r="E324" s="44"/>
      <c r="F324" s="44"/>
    </row>
    <row r="325" spans="5:6" x14ac:dyDescent="0.15">
      <c r="E325" s="44"/>
      <c r="F325" s="44"/>
    </row>
    <row r="326" spans="5:6" x14ac:dyDescent="0.15">
      <c r="E326" s="44"/>
      <c r="F326" s="44"/>
    </row>
    <row r="327" spans="5:6" x14ac:dyDescent="0.15">
      <c r="E327" s="44"/>
      <c r="F327" s="44"/>
    </row>
    <row r="328" spans="5:6" x14ac:dyDescent="0.15">
      <c r="E328" s="44"/>
      <c r="F328" s="44"/>
    </row>
    <row r="329" spans="5:6" x14ac:dyDescent="0.15">
      <c r="E329" s="44"/>
      <c r="F329" s="44"/>
    </row>
    <row r="330" spans="5:6" x14ac:dyDescent="0.15">
      <c r="E330" s="44"/>
      <c r="F330" s="44"/>
    </row>
    <row r="331" spans="5:6" x14ac:dyDescent="0.15">
      <c r="E331" s="44"/>
      <c r="F331" s="44"/>
    </row>
    <row r="332" spans="5:6" x14ac:dyDescent="0.15">
      <c r="E332" s="44"/>
      <c r="F332" s="44"/>
    </row>
    <row r="333" spans="5:6" x14ac:dyDescent="0.15">
      <c r="E333" s="44"/>
      <c r="F333" s="44"/>
    </row>
    <row r="334" spans="5:6" x14ac:dyDescent="0.15">
      <c r="E334" s="44"/>
      <c r="F334" s="44"/>
    </row>
    <row r="335" spans="5:6" x14ac:dyDescent="0.15">
      <c r="E335" s="44"/>
      <c r="F335" s="44"/>
    </row>
    <row r="336" spans="5:6" x14ac:dyDescent="0.15">
      <c r="E336" s="44"/>
      <c r="F336" s="44"/>
    </row>
    <row r="340" spans="5:6" x14ac:dyDescent="0.15">
      <c r="E340" s="111"/>
      <c r="F340" s="111"/>
    </row>
    <row r="341" spans="5:6" x14ac:dyDescent="0.15">
      <c r="E341" s="110"/>
      <c r="F341" s="110"/>
    </row>
    <row r="342" spans="5:6" ht="18.75" customHeight="1" x14ac:dyDescent="0.15">
      <c r="E342" s="110"/>
      <c r="F342" s="110"/>
    </row>
    <row r="343" spans="5:6" x14ac:dyDescent="0.15">
      <c r="E343" s="110"/>
      <c r="F343" s="110"/>
    </row>
    <row r="344" spans="5:6" ht="13.5" customHeight="1" x14ac:dyDescent="0.15">
      <c r="E344" s="110"/>
      <c r="F344" s="110"/>
    </row>
    <row r="345" spans="5:6" ht="13.5" customHeight="1" x14ac:dyDescent="0.15">
      <c r="E345" s="110"/>
      <c r="F345" s="110"/>
    </row>
    <row r="346" spans="5:6" x14ac:dyDescent="0.15">
      <c r="E346" s="110"/>
      <c r="F346" s="110"/>
    </row>
  </sheetData>
  <sheetProtection algorithmName="SHA-512" hashValue="2oZ6K2LxIJjy4V/+JOBTbyP4vFmTpA1CQcv8f+CNmBokcMyM3fCu08Dh4w8yYagpC8tY12bTQayuMCXFmlGBWA==" saltValue="w3mH2IvlPG18tEoRQJSMMQ==" spinCount="100000" sheet="1" formatCells="0"/>
  <mergeCells count="35">
    <mergeCell ref="B174:B188"/>
    <mergeCell ref="B189:B199"/>
    <mergeCell ref="B200:B209"/>
    <mergeCell ref="B91:B95"/>
    <mergeCell ref="B96:B103"/>
    <mergeCell ref="B104:B108"/>
    <mergeCell ref="B109:B129"/>
    <mergeCell ref="B130:B134"/>
    <mergeCell ref="B145:B154"/>
    <mergeCell ref="B155:B168"/>
    <mergeCell ref="B169:B173"/>
    <mergeCell ref="B9:D9"/>
    <mergeCell ref="B10:D10"/>
    <mergeCell ref="B56:B60"/>
    <mergeCell ref="B61:B65"/>
    <mergeCell ref="B66:B75"/>
    <mergeCell ref="B76:B83"/>
    <mergeCell ref="B84:B90"/>
    <mergeCell ref="B12:D12"/>
    <mergeCell ref="B215:C215"/>
    <mergeCell ref="B2:D2"/>
    <mergeCell ref="B3:D3"/>
    <mergeCell ref="B4:D4"/>
    <mergeCell ref="B5:E5"/>
    <mergeCell ref="B7:D7"/>
    <mergeCell ref="B16:B20"/>
    <mergeCell ref="B21:B25"/>
    <mergeCell ref="B26:B35"/>
    <mergeCell ref="B36:B40"/>
    <mergeCell ref="B41:B45"/>
    <mergeCell ref="B46:B50"/>
    <mergeCell ref="B51:B55"/>
    <mergeCell ref="B210:B214"/>
    <mergeCell ref="B135:B139"/>
    <mergeCell ref="B140:B144"/>
  </mergeCells>
  <phoneticPr fontId="7"/>
  <conditionalFormatting sqref="B16 B21 B26 B36 B41 B46 B51 B56 B61 B66 B76 B84 B91 B96 B104 B109:B114 B130 B135 B140 B145 B155 B169 B174 B189:B195 B200 B210">
    <cfRule type="expression" dxfId="20" priority="24">
      <formula>$R$12="×"</formula>
    </cfRule>
  </conditionalFormatting>
  <conditionalFormatting sqref="B215:B216">
    <cfRule type="expression" dxfId="19" priority="12">
      <formula>$R$311="×"</formula>
    </cfRule>
  </conditionalFormatting>
  <pageMargins left="0.75" right="0.75" top="1" bottom="1" header="0.5" footer="0.5"/>
  <pageSetup paperSize="9" scale="98" fitToHeight="0" orientation="portrait" r:id="rId1"/>
  <rowBreaks count="4" manualBreakCount="4">
    <brk id="199" max="4" man="1"/>
    <brk id="253" max="4" man="1"/>
    <brk id="279" max="4" man="1"/>
    <brk id="31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1:M345"/>
  <sheetViews>
    <sheetView showGridLines="0" view="pageBreakPreview" zoomScaleNormal="100" zoomScaleSheetLayoutView="100" workbookViewId="0">
      <selection activeCell="D227" sqref="D227"/>
    </sheetView>
  </sheetViews>
  <sheetFormatPr defaultColWidth="9" defaultRowHeight="18.75" x14ac:dyDescent="0.15"/>
  <cols>
    <col min="1" max="2" width="2.375" style="25" customWidth="1"/>
    <col min="3" max="3" width="28.25" style="28" customWidth="1"/>
    <col min="4" max="4" width="44.875" style="25" customWidth="1"/>
    <col min="5" max="5" width="8.375" style="25" customWidth="1"/>
    <col min="6" max="6" width="14.75" style="25" customWidth="1"/>
    <col min="7" max="8" width="2.375" style="25" customWidth="1"/>
    <col min="9" max="9" width="6.125" style="25" customWidth="1"/>
    <col min="10" max="10" width="9" style="25" hidden="1" customWidth="1"/>
    <col min="11" max="11" width="8.375" style="25" customWidth="1"/>
    <col min="12" max="16384" width="9" style="25"/>
  </cols>
  <sheetData>
    <row r="1" spans="2:11" ht="19.5" thickBot="1" x14ac:dyDescent="0.2">
      <c r="I1" s="10"/>
      <c r="J1" s="2"/>
      <c r="K1" s="1" t="str">
        <f>IF(COUNTIF(I:I,"×")&gt;0,"×","○")</f>
        <v>×</v>
      </c>
    </row>
    <row r="2" spans="2:11" x14ac:dyDescent="0.15">
      <c r="C2" s="333" t="s">
        <v>63</v>
      </c>
      <c r="D2" s="333"/>
      <c r="E2" s="333"/>
      <c r="F2" s="349"/>
      <c r="G2"/>
      <c r="I2" s="174"/>
      <c r="K2" s="174" t="s">
        <v>64</v>
      </c>
    </row>
    <row r="3" spans="2:11" ht="19.5" thickBot="1" x14ac:dyDescent="0.2"/>
    <row r="4" spans="2:11" ht="19.5" thickBot="1" x14ac:dyDescent="0.2">
      <c r="B4" s="346" t="s">
        <v>65</v>
      </c>
      <c r="C4" s="347"/>
      <c r="D4" s="347"/>
      <c r="E4" s="347"/>
      <c r="F4" s="347"/>
      <c r="G4" s="348"/>
      <c r="K4" s="174" t="s">
        <v>66</v>
      </c>
    </row>
    <row r="5" spans="2:11" x14ac:dyDescent="0.15">
      <c r="B5" s="52"/>
      <c r="C5" s="350"/>
      <c r="D5" s="350"/>
      <c r="E5" s="350"/>
      <c r="F5" s="350"/>
      <c r="G5" s="48"/>
    </row>
    <row r="6" spans="2:11" x14ac:dyDescent="0.15">
      <c r="B6" s="53"/>
      <c r="C6" s="351" t="s">
        <v>67</v>
      </c>
      <c r="D6" s="351"/>
      <c r="E6" s="351"/>
      <c r="F6" s="351"/>
      <c r="G6" s="49"/>
    </row>
    <row r="7" spans="2:11" x14ac:dyDescent="0.15">
      <c r="B7" s="53"/>
      <c r="C7" s="351" t="s">
        <v>68</v>
      </c>
      <c r="D7" s="351"/>
      <c r="E7" s="351"/>
      <c r="F7" s="351"/>
      <c r="G7" s="49"/>
    </row>
    <row r="8" spans="2:11" x14ac:dyDescent="0.15">
      <c r="B8" s="53"/>
      <c r="C8" s="351" t="s">
        <v>69</v>
      </c>
      <c r="D8" s="351"/>
      <c r="E8" s="351"/>
      <c r="F8" s="351"/>
      <c r="G8" s="49"/>
    </row>
    <row r="9" spans="2:11" x14ac:dyDescent="0.15">
      <c r="B9" s="53"/>
      <c r="C9" s="344"/>
      <c r="D9" s="344"/>
      <c r="E9" s="344"/>
      <c r="F9" s="344"/>
      <c r="G9" s="50"/>
    </row>
    <row r="10" spans="2:11" ht="64.5" customHeight="1" thickBot="1" x14ac:dyDescent="0.2">
      <c r="B10" s="53"/>
      <c r="C10" s="345" t="s">
        <v>70</v>
      </c>
      <c r="D10" s="345"/>
      <c r="E10" s="345"/>
      <c r="F10" s="345"/>
      <c r="G10" s="50"/>
      <c r="J10" s="174"/>
    </row>
    <row r="11" spans="2:11" x14ac:dyDescent="0.15">
      <c r="B11" s="53"/>
      <c r="C11" s="27"/>
      <c r="D11" s="32"/>
      <c r="E11" s="48"/>
      <c r="F11" s="33"/>
      <c r="G11" s="35"/>
      <c r="J11" s="174"/>
    </row>
    <row r="12" spans="2:11" x14ac:dyDescent="0.15">
      <c r="B12" s="53"/>
      <c r="C12" s="29" t="s">
        <v>29</v>
      </c>
      <c r="D12" s="34" t="s">
        <v>71</v>
      </c>
      <c r="E12" s="35" t="s">
        <v>31</v>
      </c>
      <c r="F12" s="35" t="s">
        <v>72</v>
      </c>
      <c r="G12" s="35"/>
      <c r="J12" s="174"/>
    </row>
    <row r="13" spans="2:11" ht="19.5" thickBot="1" x14ac:dyDescent="0.2">
      <c r="B13" s="53"/>
      <c r="C13" s="30"/>
      <c r="D13" s="36"/>
      <c r="E13" s="37"/>
      <c r="F13" s="36"/>
      <c r="G13" s="54"/>
    </row>
    <row r="14" spans="2:11" ht="19.5" thickBot="1" x14ac:dyDescent="0.2">
      <c r="B14" s="53"/>
      <c r="C14" s="338" t="s">
        <v>32</v>
      </c>
      <c r="D14" s="172" t="str">
        <f>IF('04（様式３）単位数の新旧対照表 '!D12="","",'04（様式３）単位数の新旧対照表 '!D12)</f>
        <v/>
      </c>
      <c r="E14" s="173" t="str">
        <f>IF('04（様式３）単位数の新旧対照表 '!E12="","",'04（様式３）単位数の新旧対照表 '!E12)</f>
        <v/>
      </c>
      <c r="F14" s="172" t="s">
        <v>73</v>
      </c>
      <c r="G14" s="55"/>
    </row>
    <row r="15" spans="2:11" ht="19.5" customHeight="1" thickBot="1" x14ac:dyDescent="0.2">
      <c r="B15" s="53"/>
      <c r="C15" s="339"/>
      <c r="D15" s="172" t="str">
        <f>IF('04（様式３）単位数の新旧対照表 '!D13="","",'04（様式３）単位数の新旧対照表 '!D13)</f>
        <v/>
      </c>
      <c r="E15" s="173" t="str">
        <f>IF('04（様式３）単位数の新旧対照表 '!E13="","",'04（様式３）単位数の新旧対照表 '!E13)</f>
        <v/>
      </c>
      <c r="F15" s="172"/>
      <c r="G15" s="55"/>
    </row>
    <row r="16" spans="2:11" ht="19.5" customHeight="1" thickBot="1" x14ac:dyDescent="0.2">
      <c r="B16" s="53"/>
      <c r="C16" s="339"/>
      <c r="D16" s="172" t="str">
        <f>IF('04（様式３）単位数の新旧対照表 '!D14="","",'04（様式３）単位数の新旧対照表 '!D14)</f>
        <v/>
      </c>
      <c r="E16" s="173" t="str">
        <f>IF('04（様式３）単位数の新旧対照表 '!E14="","",'04（様式３）単位数の新旧対照表 '!E14)</f>
        <v/>
      </c>
      <c r="F16" s="172"/>
      <c r="G16" s="55"/>
    </row>
    <row r="17" spans="2:7" ht="19.5" customHeight="1" thickBot="1" x14ac:dyDescent="0.2">
      <c r="B17" s="53"/>
      <c r="C17" s="339"/>
      <c r="D17" s="172" t="str">
        <f>IF('04（様式３）単位数の新旧対照表 '!D15="","",'04（様式３）単位数の新旧対照表 '!D15)</f>
        <v/>
      </c>
      <c r="E17" s="173" t="str">
        <f>IF('04（様式３）単位数の新旧対照表 '!E15="","",'04（様式３）単位数の新旧対照表 '!E15)</f>
        <v/>
      </c>
      <c r="F17" s="172"/>
      <c r="G17" s="55"/>
    </row>
    <row r="18" spans="2:7" ht="19.5" customHeight="1" thickBot="1" x14ac:dyDescent="0.2">
      <c r="B18" s="53"/>
      <c r="C18" s="340"/>
      <c r="D18" s="172" t="str">
        <f>IF('04（様式３）単位数の新旧対照表 '!D16="","",'04（様式３）単位数の新旧対照表 '!D16)</f>
        <v/>
      </c>
      <c r="E18" s="173" t="str">
        <f>IF('04（様式３）単位数の新旧対照表 '!E16="","",'04（様式３）単位数の新旧対照表 '!E16)</f>
        <v/>
      </c>
      <c r="F18" s="172"/>
      <c r="G18" s="55"/>
    </row>
    <row r="19" spans="2:7" ht="19.5" thickBot="1" x14ac:dyDescent="0.2">
      <c r="B19" s="53"/>
      <c r="C19" s="338" t="s">
        <v>33</v>
      </c>
      <c r="D19" s="172" t="str">
        <f>IF('04（様式３）単位数の新旧対照表 '!D17="","",'04（様式３）単位数の新旧対照表 '!D17)</f>
        <v/>
      </c>
      <c r="E19" s="173" t="str">
        <f>IF('04（様式３）単位数の新旧対照表 '!E17="","",'04（様式３）単位数の新旧対照表 '!E17)</f>
        <v/>
      </c>
      <c r="F19" s="172"/>
      <c r="G19" s="55"/>
    </row>
    <row r="20" spans="2:7" ht="19.5" thickBot="1" x14ac:dyDescent="0.2">
      <c r="B20" s="53"/>
      <c r="C20" s="339"/>
      <c r="D20" s="172" t="str">
        <f>IF('04（様式３）単位数の新旧対照表 '!D18="","",'04（様式３）単位数の新旧対照表 '!D18)</f>
        <v/>
      </c>
      <c r="E20" s="173" t="str">
        <f>IF('04（様式３）単位数の新旧対照表 '!E18="","",'04（様式３）単位数の新旧対照表 '!E18)</f>
        <v/>
      </c>
      <c r="F20" s="172"/>
      <c r="G20" s="55"/>
    </row>
    <row r="21" spans="2:7" ht="19.5" thickBot="1" x14ac:dyDescent="0.2">
      <c r="B21" s="53"/>
      <c r="C21" s="339"/>
      <c r="D21" s="172" t="str">
        <f>IF('04（様式３）単位数の新旧対照表 '!D19="","",'04（様式３）単位数の新旧対照表 '!D19)</f>
        <v/>
      </c>
      <c r="E21" s="173" t="str">
        <f>IF('04（様式３）単位数の新旧対照表 '!E19="","",'04（様式３）単位数の新旧対照表 '!E19)</f>
        <v/>
      </c>
      <c r="F21" s="172"/>
      <c r="G21" s="55"/>
    </row>
    <row r="22" spans="2:7" ht="19.5" thickBot="1" x14ac:dyDescent="0.2">
      <c r="B22" s="53"/>
      <c r="C22" s="339"/>
      <c r="D22" s="172" t="str">
        <f>IF('04（様式３）単位数の新旧対照表 '!D20="","",'04（様式３）単位数の新旧対照表 '!D20)</f>
        <v/>
      </c>
      <c r="E22" s="173" t="str">
        <f>IF('04（様式３）単位数の新旧対照表 '!E20="","",'04（様式３）単位数の新旧対照表 '!E20)</f>
        <v/>
      </c>
      <c r="F22" s="172"/>
      <c r="G22" s="55"/>
    </row>
    <row r="23" spans="2:7" ht="19.5" thickBot="1" x14ac:dyDescent="0.2">
      <c r="B23" s="53"/>
      <c r="C23" s="340"/>
      <c r="D23" s="172" t="str">
        <f>IF('04（様式３）単位数の新旧対照表 '!D21="","",'04（様式３）単位数の新旧対照表 '!D21)</f>
        <v/>
      </c>
      <c r="E23" s="173" t="str">
        <f>IF('04（様式３）単位数の新旧対照表 '!E21="","",'04（様式３）単位数の新旧対照表 '!E21)</f>
        <v/>
      </c>
      <c r="F23" s="172"/>
      <c r="G23" s="55"/>
    </row>
    <row r="24" spans="2:7" ht="19.5" thickBot="1" x14ac:dyDescent="0.2">
      <c r="B24" s="53"/>
      <c r="C24" s="338" t="s">
        <v>34</v>
      </c>
      <c r="D24" s="172" t="str">
        <f>IF('04（様式３）単位数の新旧対照表 '!D22="","",'04（様式３）単位数の新旧対照表 '!D22)</f>
        <v/>
      </c>
      <c r="E24" s="173" t="str">
        <f>IF('04（様式３）単位数の新旧対照表 '!E22="","",'04（様式３）単位数の新旧対照表 '!E22)</f>
        <v/>
      </c>
      <c r="F24" s="172"/>
      <c r="G24" s="55"/>
    </row>
    <row r="25" spans="2:7" ht="19.5" thickBot="1" x14ac:dyDescent="0.2">
      <c r="B25" s="53"/>
      <c r="C25" s="339"/>
      <c r="D25" s="172" t="str">
        <f>IF('04（様式３）単位数の新旧対照表 '!D23="","",'04（様式３）単位数の新旧対照表 '!D23)</f>
        <v/>
      </c>
      <c r="E25" s="173" t="str">
        <f>IF('04（様式３）単位数の新旧対照表 '!E23="","",'04（様式３）単位数の新旧対照表 '!E23)</f>
        <v/>
      </c>
      <c r="F25" s="172"/>
      <c r="G25" s="55"/>
    </row>
    <row r="26" spans="2:7" ht="19.5" thickBot="1" x14ac:dyDescent="0.2">
      <c r="B26" s="53"/>
      <c r="C26" s="339"/>
      <c r="D26" s="172" t="str">
        <f>IF('04（様式３）単位数の新旧対照表 '!D24="","",'04（様式３）単位数の新旧対照表 '!D24)</f>
        <v/>
      </c>
      <c r="E26" s="173" t="str">
        <f>IF('04（様式３）単位数の新旧対照表 '!E24="","",'04（様式３）単位数の新旧対照表 '!E24)</f>
        <v/>
      </c>
      <c r="F26" s="172"/>
      <c r="G26" s="55"/>
    </row>
    <row r="27" spans="2:7" ht="19.5" thickBot="1" x14ac:dyDescent="0.2">
      <c r="B27" s="53"/>
      <c r="C27" s="339"/>
      <c r="D27" s="172" t="str">
        <f>IF('04（様式３）単位数の新旧対照表 '!D25="","",'04（様式３）単位数の新旧対照表 '!D25)</f>
        <v/>
      </c>
      <c r="E27" s="173" t="str">
        <f>IF('04（様式３）単位数の新旧対照表 '!E25="","",'04（様式３）単位数の新旧対照表 '!E25)</f>
        <v/>
      </c>
      <c r="F27" s="172"/>
      <c r="G27" s="55"/>
    </row>
    <row r="28" spans="2:7" ht="19.5" thickBot="1" x14ac:dyDescent="0.2">
      <c r="B28" s="53"/>
      <c r="C28" s="339"/>
      <c r="D28" s="172" t="str">
        <f>IF('04（様式３）単位数の新旧対照表 '!D26="","",'04（様式３）単位数の新旧対照表 '!D26)</f>
        <v/>
      </c>
      <c r="E28" s="173" t="str">
        <f>IF('04（様式３）単位数の新旧対照表 '!E26="","",'04（様式３）単位数の新旧対照表 '!E26)</f>
        <v/>
      </c>
      <c r="F28" s="172"/>
      <c r="G28" s="55"/>
    </row>
    <row r="29" spans="2:7" ht="19.5" thickBot="1" x14ac:dyDescent="0.2">
      <c r="B29" s="53"/>
      <c r="C29" s="339"/>
      <c r="D29" s="172" t="str">
        <f>IF('04（様式３）単位数の新旧対照表 '!D42="","",'04（様式３）単位数の新旧対照表 '!D42)</f>
        <v/>
      </c>
      <c r="E29" s="173" t="str">
        <f>IF('04（様式３）単位数の新旧対照表 '!E42="","",'04（様式３）単位数の新旧対照表 '!E42)</f>
        <v/>
      </c>
      <c r="F29" s="172"/>
      <c r="G29" s="55"/>
    </row>
    <row r="30" spans="2:7" ht="19.5" thickBot="1" x14ac:dyDescent="0.2">
      <c r="B30" s="53"/>
      <c r="C30" s="339"/>
      <c r="D30" s="172" t="str">
        <f>IF('04（様式３）単位数の新旧対照表 '!D43="","",'04（様式３）単位数の新旧対照表 '!D43)</f>
        <v/>
      </c>
      <c r="E30" s="173" t="str">
        <f>IF('04（様式３）単位数の新旧対照表 '!E43="","",'04（様式３）単位数の新旧対照表 '!E43)</f>
        <v/>
      </c>
      <c r="F30" s="172"/>
      <c r="G30" s="55"/>
    </row>
    <row r="31" spans="2:7" ht="19.5" thickBot="1" x14ac:dyDescent="0.2">
      <c r="B31" s="53"/>
      <c r="C31" s="339"/>
      <c r="D31" s="172" t="str">
        <f>IF('04（様式３）単位数の新旧対照表 '!D44="","",'04（様式３）単位数の新旧対照表 '!D44)</f>
        <v/>
      </c>
      <c r="E31" s="173" t="str">
        <f>IF('04（様式３）単位数の新旧対照表 '!E44="","",'04（様式３）単位数の新旧対照表 '!E44)</f>
        <v/>
      </c>
      <c r="F31" s="172"/>
      <c r="G31" s="55"/>
    </row>
    <row r="32" spans="2:7" ht="19.5" thickBot="1" x14ac:dyDescent="0.2">
      <c r="B32" s="53"/>
      <c r="C32" s="339"/>
      <c r="D32" s="172" t="str">
        <f>IF('04（様式３）単位数の新旧対照表 '!D45="","",'04（様式３）単位数の新旧対照表 '!D45)</f>
        <v/>
      </c>
      <c r="E32" s="173" t="str">
        <f>IF('04（様式３）単位数の新旧対照表 '!E45="","",'04（様式３）単位数の新旧対照表 '!E45)</f>
        <v/>
      </c>
      <c r="F32" s="172"/>
      <c r="G32" s="55"/>
    </row>
    <row r="33" spans="2:7" ht="19.5" thickBot="1" x14ac:dyDescent="0.2">
      <c r="B33" s="53"/>
      <c r="C33" s="340"/>
      <c r="D33" s="172" t="str">
        <f>IF('04（様式３）単位数の新旧対照表 '!D46="","",'04（様式３）単位数の新旧対照表 '!D46)</f>
        <v/>
      </c>
      <c r="E33" s="173" t="str">
        <f>IF('04（様式３）単位数の新旧対照表 '!E46="","",'04（様式３）単位数の新旧対照表 '!E46)</f>
        <v/>
      </c>
      <c r="F33" s="172"/>
      <c r="G33" s="55"/>
    </row>
    <row r="34" spans="2:7" ht="19.5" thickBot="1" x14ac:dyDescent="0.2">
      <c r="B34" s="53"/>
      <c r="C34" s="338" t="s">
        <v>35</v>
      </c>
      <c r="D34" s="172" t="str">
        <f>IF('04（様式３）単位数の新旧対照表 '!D27="","",'04（様式３）単位数の新旧対照表 '!D27)</f>
        <v/>
      </c>
      <c r="E34" s="173" t="str">
        <f>IF('04（様式３）単位数の新旧対照表 '!E27="","",'04（様式３）単位数の新旧対照表 '!E27)</f>
        <v/>
      </c>
      <c r="F34" s="172"/>
      <c r="G34" s="55"/>
    </row>
    <row r="35" spans="2:7" ht="19.5" thickBot="1" x14ac:dyDescent="0.2">
      <c r="B35" s="53"/>
      <c r="C35" s="339"/>
      <c r="D35" s="172" t="str">
        <f>IF('04（様式３）単位数の新旧対照表 '!D28="","",'04（様式３）単位数の新旧対照表 '!D28)</f>
        <v/>
      </c>
      <c r="E35" s="173" t="str">
        <f>IF('04（様式３）単位数の新旧対照表 '!E28="","",'04（様式３）単位数の新旧対照表 '!E28)</f>
        <v/>
      </c>
      <c r="F35" s="172"/>
      <c r="G35" s="55"/>
    </row>
    <row r="36" spans="2:7" ht="19.5" thickBot="1" x14ac:dyDescent="0.2">
      <c r="B36" s="53"/>
      <c r="C36" s="339"/>
      <c r="D36" s="172" t="str">
        <f>IF('04（様式３）単位数の新旧対照表 '!D29="","",'04（様式３）単位数の新旧対照表 '!D29)</f>
        <v/>
      </c>
      <c r="E36" s="173" t="str">
        <f>IF('04（様式３）単位数の新旧対照表 '!E29="","",'04（様式３）単位数の新旧対照表 '!E29)</f>
        <v/>
      </c>
      <c r="F36" s="172"/>
      <c r="G36" s="55"/>
    </row>
    <row r="37" spans="2:7" ht="19.5" thickBot="1" x14ac:dyDescent="0.2">
      <c r="B37" s="53"/>
      <c r="C37" s="339"/>
      <c r="D37" s="172" t="str">
        <f>IF('04（様式３）単位数の新旧対照表 '!D30="","",'04（様式３）単位数の新旧対照表 '!D30)</f>
        <v/>
      </c>
      <c r="E37" s="173" t="str">
        <f>IF('04（様式３）単位数の新旧対照表 '!E30="","",'04（様式３）単位数の新旧対照表 '!E30)</f>
        <v/>
      </c>
      <c r="F37" s="172"/>
      <c r="G37" s="55"/>
    </row>
    <row r="38" spans="2:7" ht="19.5" thickBot="1" x14ac:dyDescent="0.2">
      <c r="B38" s="53"/>
      <c r="C38" s="340"/>
      <c r="D38" s="172" t="str">
        <f>IF('04（様式３）単位数の新旧対照表 '!D31="","",'04（様式３）単位数の新旧対照表 '!D31)</f>
        <v/>
      </c>
      <c r="E38" s="173" t="str">
        <f>IF('04（様式３）単位数の新旧対照表 '!E31="","",'04（様式３）単位数の新旧対照表 '!E31)</f>
        <v/>
      </c>
      <c r="F38" s="172"/>
      <c r="G38" s="55"/>
    </row>
    <row r="39" spans="2:7" ht="19.5" thickBot="1" x14ac:dyDescent="0.2">
      <c r="B39" s="53"/>
      <c r="C39" s="338" t="s">
        <v>36</v>
      </c>
      <c r="D39" s="172" t="str">
        <f>IF('04（様式３）単位数の新旧対照表 '!D32="","",'04（様式３）単位数の新旧対照表 '!D32)</f>
        <v/>
      </c>
      <c r="E39" s="173" t="str">
        <f>IF('04（様式３）単位数の新旧対照表 '!E32="","",'04（様式３）単位数の新旧対照表 '!E32)</f>
        <v/>
      </c>
      <c r="F39" s="172"/>
      <c r="G39" s="55"/>
    </row>
    <row r="40" spans="2:7" ht="19.5" thickBot="1" x14ac:dyDescent="0.2">
      <c r="B40" s="53"/>
      <c r="C40" s="339"/>
      <c r="D40" s="172" t="str">
        <f>IF('04（様式３）単位数の新旧対照表 '!D33="","",'04（様式３）単位数の新旧対照表 '!D33)</f>
        <v/>
      </c>
      <c r="E40" s="173" t="str">
        <f>IF('04（様式３）単位数の新旧対照表 '!E33="","",'04（様式３）単位数の新旧対照表 '!E33)</f>
        <v/>
      </c>
      <c r="F40" s="172"/>
      <c r="G40" s="55"/>
    </row>
    <row r="41" spans="2:7" ht="19.5" thickBot="1" x14ac:dyDescent="0.2">
      <c r="B41" s="53"/>
      <c r="C41" s="339"/>
      <c r="D41" s="172" t="str">
        <f>IF('04（様式３）単位数の新旧対照表 '!D34="","",'04（様式３）単位数の新旧対照表 '!D34)</f>
        <v/>
      </c>
      <c r="E41" s="173" t="str">
        <f>IF('04（様式３）単位数の新旧対照表 '!E34="","",'04（様式３）単位数の新旧対照表 '!E34)</f>
        <v/>
      </c>
      <c r="F41" s="172"/>
      <c r="G41" s="55"/>
    </row>
    <row r="42" spans="2:7" ht="19.5" thickBot="1" x14ac:dyDescent="0.2">
      <c r="B42" s="53"/>
      <c r="C42" s="339"/>
      <c r="D42" s="172" t="str">
        <f>IF('04（様式３）単位数の新旧対照表 '!D35="","",'04（様式３）単位数の新旧対照表 '!D35)</f>
        <v/>
      </c>
      <c r="E42" s="173" t="str">
        <f>IF('04（様式３）単位数の新旧対照表 '!E35="","",'04（様式３）単位数の新旧対照表 '!E35)</f>
        <v/>
      </c>
      <c r="F42" s="172"/>
      <c r="G42" s="55"/>
    </row>
    <row r="43" spans="2:7" ht="19.5" thickBot="1" x14ac:dyDescent="0.2">
      <c r="B43" s="53"/>
      <c r="C43" s="340"/>
      <c r="D43" s="172" t="str">
        <f>IF('04（様式３）単位数の新旧対照表 '!D36="","",'04（様式３）単位数の新旧対照表 '!D36)</f>
        <v/>
      </c>
      <c r="E43" s="173" t="str">
        <f>IF('04（様式３）単位数の新旧対照表 '!E36="","",'04（様式３）単位数の新旧対照表 '!E36)</f>
        <v/>
      </c>
      <c r="F43" s="172"/>
      <c r="G43" s="55"/>
    </row>
    <row r="44" spans="2:7" ht="19.5" thickBot="1" x14ac:dyDescent="0.2">
      <c r="B44" s="53"/>
      <c r="C44" s="338" t="s">
        <v>37</v>
      </c>
      <c r="D44" s="172" t="str">
        <f>IF('04（様式３）単位数の新旧対照表 '!D37="","",'04（様式３）単位数の新旧対照表 '!D37)</f>
        <v/>
      </c>
      <c r="E44" s="173" t="str">
        <f>IF('04（様式３）単位数の新旧対照表 '!E37="","",'04（様式３）単位数の新旧対照表 '!E37)</f>
        <v/>
      </c>
      <c r="F44" s="172"/>
      <c r="G44" s="55"/>
    </row>
    <row r="45" spans="2:7" ht="19.5" thickBot="1" x14ac:dyDescent="0.2">
      <c r="B45" s="53"/>
      <c r="C45" s="339"/>
      <c r="D45" s="172" t="str">
        <f>IF('04（様式３）単位数の新旧対照表 '!D38="","",'04（様式３）単位数の新旧対照表 '!D38)</f>
        <v/>
      </c>
      <c r="E45" s="173" t="str">
        <f>IF('04（様式３）単位数の新旧対照表 '!E38="","",'04（様式３）単位数の新旧対照表 '!E38)</f>
        <v/>
      </c>
      <c r="F45" s="172"/>
      <c r="G45" s="55"/>
    </row>
    <row r="46" spans="2:7" ht="19.5" thickBot="1" x14ac:dyDescent="0.2">
      <c r="B46" s="53"/>
      <c r="C46" s="339"/>
      <c r="D46" s="172" t="str">
        <f>IF('04（様式３）単位数の新旧対照表 '!D39="","",'04（様式３）単位数の新旧対照表 '!D39)</f>
        <v/>
      </c>
      <c r="E46" s="173" t="str">
        <f>IF('04（様式３）単位数の新旧対照表 '!E39="","",'04（様式３）単位数の新旧対照表 '!E39)</f>
        <v/>
      </c>
      <c r="F46" s="172"/>
      <c r="G46" s="55"/>
    </row>
    <row r="47" spans="2:7" ht="19.5" thickBot="1" x14ac:dyDescent="0.2">
      <c r="B47" s="53"/>
      <c r="C47" s="339"/>
      <c r="D47" s="172" t="str">
        <f>IF('04（様式３）単位数の新旧対照表 '!D40="","",'04（様式３）単位数の新旧対照表 '!D40)</f>
        <v/>
      </c>
      <c r="E47" s="173" t="str">
        <f>IF('04（様式３）単位数の新旧対照表 '!E40="","",'04（様式３）単位数の新旧対照表 '!E40)</f>
        <v/>
      </c>
      <c r="F47" s="172"/>
      <c r="G47" s="55"/>
    </row>
    <row r="48" spans="2:7" ht="19.5" thickBot="1" x14ac:dyDescent="0.2">
      <c r="B48" s="53"/>
      <c r="C48" s="340"/>
      <c r="D48" s="172" t="str">
        <f>IF('04（様式３）単位数の新旧対照表 '!D41="","",'04（様式３）単位数の新旧対照表 '!D41)</f>
        <v/>
      </c>
      <c r="E48" s="173" t="str">
        <f>IF('04（様式３）単位数の新旧対照表 '!E41="","",'04（様式３）単位数の新旧対照表 '!E41)</f>
        <v/>
      </c>
      <c r="F48" s="172"/>
      <c r="G48" s="55"/>
    </row>
    <row r="49" spans="2:7" ht="19.5" thickBot="1" x14ac:dyDescent="0.2">
      <c r="B49" s="53"/>
      <c r="C49" s="338" t="s">
        <v>38</v>
      </c>
      <c r="D49" s="172" t="str">
        <f>IF('04（様式３）単位数の新旧対照表 '!D47="","",'04（様式３）単位数の新旧対照表 '!D47)</f>
        <v/>
      </c>
      <c r="E49" s="173" t="str">
        <f>IF('04（様式３）単位数の新旧対照表 '!E47="","",'04（様式３）単位数の新旧対照表 '!E47)</f>
        <v/>
      </c>
      <c r="F49" s="172"/>
      <c r="G49" s="55"/>
    </row>
    <row r="50" spans="2:7" ht="19.5" thickBot="1" x14ac:dyDescent="0.2">
      <c r="B50" s="53"/>
      <c r="C50" s="339"/>
      <c r="D50" s="172" t="str">
        <f>IF('04（様式３）単位数の新旧対照表 '!D48="","",'04（様式３）単位数の新旧対照表 '!D48)</f>
        <v/>
      </c>
      <c r="E50" s="173" t="str">
        <f>IF('04（様式３）単位数の新旧対照表 '!E48="","",'04（様式３）単位数の新旧対照表 '!E48)</f>
        <v/>
      </c>
      <c r="F50" s="172"/>
      <c r="G50" s="55"/>
    </row>
    <row r="51" spans="2:7" ht="19.5" thickBot="1" x14ac:dyDescent="0.2">
      <c r="B51" s="53"/>
      <c r="C51" s="339"/>
      <c r="D51" s="172" t="str">
        <f>IF('04（様式３）単位数の新旧対照表 '!D49="","",'04（様式３）単位数の新旧対照表 '!D49)</f>
        <v/>
      </c>
      <c r="E51" s="173" t="str">
        <f>IF('04（様式３）単位数の新旧対照表 '!E49="","",'04（様式３）単位数の新旧対照表 '!E49)</f>
        <v/>
      </c>
      <c r="F51" s="172"/>
      <c r="G51" s="55"/>
    </row>
    <row r="52" spans="2:7" ht="19.5" thickBot="1" x14ac:dyDescent="0.2">
      <c r="B52" s="53"/>
      <c r="C52" s="339"/>
      <c r="D52" s="172" t="str">
        <f>IF('04（様式３）単位数の新旧対照表 '!D50="","",'04（様式３）単位数の新旧対照表 '!D50)</f>
        <v/>
      </c>
      <c r="E52" s="173" t="str">
        <f>IF('04（様式３）単位数の新旧対照表 '!E50="","",'04（様式３）単位数の新旧対照表 '!E50)</f>
        <v/>
      </c>
      <c r="F52" s="172"/>
      <c r="G52" s="55"/>
    </row>
    <row r="53" spans="2:7" ht="19.5" thickBot="1" x14ac:dyDescent="0.2">
      <c r="B53" s="53"/>
      <c r="C53" s="340"/>
      <c r="D53" s="172" t="str">
        <f>IF('04（様式３）単位数の新旧対照表 '!D51="","",'04（様式３）単位数の新旧対照表 '!D51)</f>
        <v/>
      </c>
      <c r="E53" s="173" t="str">
        <f>IF('04（様式３）単位数の新旧対照表 '!E51="","",'04（様式３）単位数の新旧対照表 '!E51)</f>
        <v/>
      </c>
      <c r="F53" s="172"/>
      <c r="G53" s="55"/>
    </row>
    <row r="54" spans="2:7" ht="19.5" thickBot="1" x14ac:dyDescent="0.2">
      <c r="B54" s="53"/>
      <c r="C54" s="338" t="s">
        <v>39</v>
      </c>
      <c r="D54" s="172" t="str">
        <f>IF('04（様式３）単位数の新旧対照表 '!D52="","",'04（様式３）単位数の新旧対照表 '!D52)</f>
        <v/>
      </c>
      <c r="E54" s="173" t="str">
        <f>IF('04（様式３）単位数の新旧対照表 '!E52="","",'04（様式３）単位数の新旧対照表 '!E52)</f>
        <v/>
      </c>
      <c r="F54" s="172"/>
      <c r="G54" s="55"/>
    </row>
    <row r="55" spans="2:7" ht="19.5" thickBot="1" x14ac:dyDescent="0.2">
      <c r="B55" s="53"/>
      <c r="C55" s="339"/>
      <c r="D55" s="172" t="str">
        <f>IF('04（様式３）単位数の新旧対照表 '!D53="","",'04（様式３）単位数の新旧対照表 '!D53)</f>
        <v/>
      </c>
      <c r="E55" s="173" t="str">
        <f>IF('04（様式３）単位数の新旧対照表 '!E53="","",'04（様式３）単位数の新旧対照表 '!E53)</f>
        <v/>
      </c>
      <c r="F55" s="172"/>
      <c r="G55" s="55"/>
    </row>
    <row r="56" spans="2:7" ht="19.5" thickBot="1" x14ac:dyDescent="0.2">
      <c r="B56" s="53"/>
      <c r="C56" s="339"/>
      <c r="D56" s="172" t="str">
        <f>IF('04（様式３）単位数の新旧対照表 '!D54="","",'04（様式３）単位数の新旧対照表 '!D54)</f>
        <v/>
      </c>
      <c r="E56" s="173" t="str">
        <f>IF('04（様式３）単位数の新旧対照表 '!E54="","",'04（様式３）単位数の新旧対照表 '!E54)</f>
        <v/>
      </c>
      <c r="F56" s="172"/>
      <c r="G56" s="55"/>
    </row>
    <row r="57" spans="2:7" ht="19.5" thickBot="1" x14ac:dyDescent="0.2">
      <c r="B57" s="53"/>
      <c r="C57" s="339"/>
      <c r="D57" s="172" t="str">
        <f>IF('04（様式３）単位数の新旧対照表 '!D55="","",'04（様式３）単位数の新旧対照表 '!D55)</f>
        <v/>
      </c>
      <c r="E57" s="173" t="str">
        <f>IF('04（様式３）単位数の新旧対照表 '!E55="","",'04（様式３）単位数の新旧対照表 '!E55)</f>
        <v/>
      </c>
      <c r="F57" s="172"/>
      <c r="G57" s="55"/>
    </row>
    <row r="58" spans="2:7" ht="19.5" thickBot="1" x14ac:dyDescent="0.2">
      <c r="B58" s="53"/>
      <c r="C58" s="340"/>
      <c r="D58" s="172" t="str">
        <f>IF('04（様式３）単位数の新旧対照表 '!D56="","",'04（様式３）単位数の新旧対照表 '!D56)</f>
        <v/>
      </c>
      <c r="E58" s="173" t="str">
        <f>IF('04（様式３）単位数の新旧対照表 '!E56="","",'04（様式３）単位数の新旧対照表 '!E56)</f>
        <v/>
      </c>
      <c r="F58" s="172"/>
      <c r="G58" s="55"/>
    </row>
    <row r="59" spans="2:7" ht="19.5" thickBot="1" x14ac:dyDescent="0.2">
      <c r="B59" s="53"/>
      <c r="C59" s="338" t="s">
        <v>40</v>
      </c>
      <c r="D59" s="172" t="str">
        <f>IF('04（様式３）単位数の新旧対照表 '!D57="","",'04（様式３）単位数の新旧対照表 '!D57)</f>
        <v/>
      </c>
      <c r="E59" s="173" t="str">
        <f>IF('04（様式３）単位数の新旧対照表 '!E57="","",'04（様式３）単位数の新旧対照表 '!E57)</f>
        <v/>
      </c>
      <c r="F59" s="172"/>
      <c r="G59" s="55"/>
    </row>
    <row r="60" spans="2:7" ht="19.5" thickBot="1" x14ac:dyDescent="0.2">
      <c r="B60" s="53"/>
      <c r="C60" s="339"/>
      <c r="D60" s="172" t="str">
        <f>IF('04（様式３）単位数の新旧対照表 '!D58="","",'04（様式３）単位数の新旧対照表 '!D58)</f>
        <v/>
      </c>
      <c r="E60" s="173" t="str">
        <f>IF('04（様式３）単位数の新旧対照表 '!E58="","",'04（様式３）単位数の新旧対照表 '!E58)</f>
        <v/>
      </c>
      <c r="F60" s="172"/>
      <c r="G60" s="55"/>
    </row>
    <row r="61" spans="2:7" ht="19.5" thickBot="1" x14ac:dyDescent="0.2">
      <c r="B61" s="53"/>
      <c r="C61" s="339"/>
      <c r="D61" s="172" t="str">
        <f>IF('04（様式３）単位数の新旧対照表 '!D59="","",'04（様式３）単位数の新旧対照表 '!D59)</f>
        <v/>
      </c>
      <c r="E61" s="173" t="str">
        <f>IF('04（様式３）単位数の新旧対照表 '!E59="","",'04（様式３）単位数の新旧対照表 '!E59)</f>
        <v/>
      </c>
      <c r="F61" s="172"/>
      <c r="G61" s="55"/>
    </row>
    <row r="62" spans="2:7" ht="19.5" thickBot="1" x14ac:dyDescent="0.2">
      <c r="B62" s="53"/>
      <c r="C62" s="339"/>
      <c r="D62" s="172" t="str">
        <f>IF('04（様式３）単位数の新旧対照表 '!D60="","",'04（様式３）単位数の新旧対照表 '!D60)</f>
        <v/>
      </c>
      <c r="E62" s="173" t="str">
        <f>IF('04（様式３）単位数の新旧対照表 '!E60="","",'04（様式３）単位数の新旧対照表 '!E60)</f>
        <v/>
      </c>
      <c r="F62" s="172"/>
      <c r="G62" s="55"/>
    </row>
    <row r="63" spans="2:7" ht="19.5" thickBot="1" x14ac:dyDescent="0.2">
      <c r="B63" s="53"/>
      <c r="C63" s="340"/>
      <c r="D63" s="172" t="str">
        <f>IF('04（様式３）単位数の新旧対照表 '!D61="","",'04（様式３）単位数の新旧対照表 '!D61)</f>
        <v/>
      </c>
      <c r="E63" s="173" t="str">
        <f>IF('04（様式３）単位数の新旧対照表 '!E61="","",'04（様式３）単位数の新旧対照表 '!E61)</f>
        <v/>
      </c>
      <c r="F63" s="172"/>
      <c r="G63" s="55"/>
    </row>
    <row r="64" spans="2:7" ht="19.5" thickBot="1" x14ac:dyDescent="0.2">
      <c r="B64" s="53"/>
      <c r="C64" s="338" t="s">
        <v>41</v>
      </c>
      <c r="D64" s="172" t="str">
        <f>IF('04（様式３）単位数の新旧対照表 '!D62="","",'04（様式３）単位数の新旧対照表 '!D62)</f>
        <v/>
      </c>
      <c r="E64" s="173" t="str">
        <f>IF('04（様式３）単位数の新旧対照表 '!E62="","",'04（様式３）単位数の新旧対照表 '!E62)</f>
        <v/>
      </c>
      <c r="F64" s="172"/>
      <c r="G64" s="55"/>
    </row>
    <row r="65" spans="2:7" ht="19.5" thickBot="1" x14ac:dyDescent="0.2">
      <c r="B65" s="53"/>
      <c r="C65" s="339"/>
      <c r="D65" s="172" t="str">
        <f>IF('04（様式３）単位数の新旧対照表 '!D63="","",'04（様式３）単位数の新旧対照表 '!D63)</f>
        <v/>
      </c>
      <c r="E65" s="173" t="str">
        <f>IF('04（様式３）単位数の新旧対照表 '!E63="","",'04（様式３）単位数の新旧対照表 '!E63)</f>
        <v/>
      </c>
      <c r="F65" s="172"/>
      <c r="G65" s="55"/>
    </row>
    <row r="66" spans="2:7" ht="19.5" thickBot="1" x14ac:dyDescent="0.2">
      <c r="B66" s="53"/>
      <c r="C66" s="339"/>
      <c r="D66" s="172" t="str">
        <f>IF('04（様式３）単位数の新旧対照表 '!D64="","",'04（様式３）単位数の新旧対照表 '!D64)</f>
        <v/>
      </c>
      <c r="E66" s="173" t="str">
        <f>IF('04（様式３）単位数の新旧対照表 '!E64="","",'04（様式３）単位数の新旧対照表 '!E64)</f>
        <v/>
      </c>
      <c r="F66" s="172"/>
      <c r="G66" s="55"/>
    </row>
    <row r="67" spans="2:7" ht="19.5" thickBot="1" x14ac:dyDescent="0.2">
      <c r="B67" s="53"/>
      <c r="C67" s="339"/>
      <c r="D67" s="172" t="str">
        <f>IF('04（様式３）単位数の新旧対照表 '!D65="","",'04（様式３）単位数の新旧対照表 '!D65)</f>
        <v/>
      </c>
      <c r="E67" s="173" t="str">
        <f>IF('04（様式３）単位数の新旧対照表 '!E65="","",'04（様式３）単位数の新旧対照表 '!E65)</f>
        <v/>
      </c>
      <c r="F67" s="172"/>
      <c r="G67" s="55"/>
    </row>
    <row r="68" spans="2:7" ht="19.5" thickBot="1" x14ac:dyDescent="0.2">
      <c r="B68" s="53"/>
      <c r="C68" s="339"/>
      <c r="D68" s="172" t="str">
        <f>IF('04（様式３）単位数の新旧対照表 '!D66="","",'04（様式３）単位数の新旧対照表 '!D66)</f>
        <v/>
      </c>
      <c r="E68" s="173" t="str">
        <f>IF('04（様式３）単位数の新旧対照表 '!E66="","",'04（様式３）単位数の新旧対照表 '!E66)</f>
        <v/>
      </c>
      <c r="F68" s="172"/>
      <c r="G68" s="55"/>
    </row>
    <row r="69" spans="2:7" ht="19.5" thickBot="1" x14ac:dyDescent="0.2">
      <c r="B69" s="53"/>
      <c r="C69" s="339"/>
      <c r="D69" s="172" t="str">
        <f>IF('04（様式３）単位数の新旧対照表 '!D191="","",'04（様式３）単位数の新旧対照表 '!D191)</f>
        <v/>
      </c>
      <c r="E69" s="173" t="str">
        <f>IF('04（様式３）単位数の新旧対照表 '!E191="","",'04（様式３）単位数の新旧対照表 '!E191)</f>
        <v/>
      </c>
      <c r="F69" s="172"/>
      <c r="G69" s="55"/>
    </row>
    <row r="70" spans="2:7" ht="19.5" thickBot="1" x14ac:dyDescent="0.2">
      <c r="B70" s="53"/>
      <c r="C70" s="339"/>
      <c r="D70" s="172" t="str">
        <f>IF('04（様式３）単位数の新旧対照表 '!D192="","",'04（様式３）単位数の新旧対照表 '!D192)</f>
        <v/>
      </c>
      <c r="E70" s="173" t="str">
        <f>IF('04（様式３）単位数の新旧対照表 '!E192="","",'04（様式３）単位数の新旧対照表 '!E192)</f>
        <v/>
      </c>
      <c r="F70" s="172"/>
      <c r="G70" s="55"/>
    </row>
    <row r="71" spans="2:7" ht="19.5" thickBot="1" x14ac:dyDescent="0.2">
      <c r="B71" s="53"/>
      <c r="C71" s="339"/>
      <c r="D71" s="172" t="str">
        <f>IF('04（様式３）単位数の新旧対照表 '!D193="","",'04（様式３）単位数の新旧対照表 '!D193)</f>
        <v/>
      </c>
      <c r="E71" s="173" t="str">
        <f>IF('04（様式３）単位数の新旧対照表 '!E193="","",'04（様式３）単位数の新旧対照表 '!E193)</f>
        <v/>
      </c>
      <c r="F71" s="172"/>
      <c r="G71" s="55"/>
    </row>
    <row r="72" spans="2:7" ht="19.5" thickBot="1" x14ac:dyDescent="0.2">
      <c r="B72" s="53"/>
      <c r="C72" s="339"/>
      <c r="D72" s="172" t="str">
        <f>IF('04（様式３）単位数の新旧対照表 '!D194="","",'04（様式３）単位数の新旧対照表 '!D194)</f>
        <v/>
      </c>
      <c r="E72" s="173" t="str">
        <f>IF('04（様式３）単位数の新旧対照表 '!E194="","",'04（様式３）単位数の新旧対照表 '!E194)</f>
        <v/>
      </c>
      <c r="F72" s="172"/>
      <c r="G72" s="55"/>
    </row>
    <row r="73" spans="2:7" ht="19.5" thickBot="1" x14ac:dyDescent="0.2">
      <c r="B73" s="53"/>
      <c r="C73" s="340"/>
      <c r="D73" s="172" t="str">
        <f>IF('04（様式３）単位数の新旧対照表 '!D195="","",'04（様式３）単位数の新旧対照表 '!D195)</f>
        <v/>
      </c>
      <c r="E73" s="173" t="str">
        <f>IF('04（様式３）単位数の新旧対照表 '!E195="","",'04（様式３）単位数の新旧対照表 '!E195)</f>
        <v/>
      </c>
      <c r="F73" s="172"/>
      <c r="G73" s="55"/>
    </row>
    <row r="74" spans="2:7" ht="19.5" thickBot="1" x14ac:dyDescent="0.2">
      <c r="B74" s="53"/>
      <c r="C74" s="338" t="s">
        <v>42</v>
      </c>
      <c r="D74" s="172" t="str">
        <f>IF('04（様式３）単位数の新旧対照表 '!D67="","",'04（様式３）単位数の新旧対照表 '!D67)</f>
        <v/>
      </c>
      <c r="E74" s="173" t="str">
        <f>IF('04（様式３）単位数の新旧対照表 '!E67="","",'04（様式３）単位数の新旧対照表 '!E67)</f>
        <v/>
      </c>
      <c r="F74" s="172"/>
      <c r="G74" s="55"/>
    </row>
    <row r="75" spans="2:7" ht="19.5" thickBot="1" x14ac:dyDescent="0.2">
      <c r="B75" s="53"/>
      <c r="C75" s="339"/>
      <c r="D75" s="172" t="str">
        <f>IF('04（様式３）単位数の新旧対照表 '!D68="","",'04（様式３）単位数の新旧対照表 '!D68)</f>
        <v/>
      </c>
      <c r="E75" s="173" t="str">
        <f>IF('04（様式３）単位数の新旧対照表 '!E68="","",'04（様式３）単位数の新旧対照表 '!E68)</f>
        <v/>
      </c>
      <c r="F75" s="172"/>
      <c r="G75" s="55"/>
    </row>
    <row r="76" spans="2:7" ht="19.5" thickBot="1" x14ac:dyDescent="0.2">
      <c r="B76" s="53"/>
      <c r="C76" s="339"/>
      <c r="D76" s="172" t="str">
        <f>IF('04（様式３）単位数の新旧対照表 '!D69="","",'04（様式３）単位数の新旧対照表 '!D69)</f>
        <v/>
      </c>
      <c r="E76" s="173" t="str">
        <f>IF('04（様式３）単位数の新旧対照表 '!E69="","",'04（様式３）単位数の新旧対照表 '!E69)</f>
        <v/>
      </c>
      <c r="F76" s="172"/>
      <c r="G76" s="55"/>
    </row>
    <row r="77" spans="2:7" ht="19.5" thickBot="1" x14ac:dyDescent="0.2">
      <c r="B77" s="53"/>
      <c r="C77" s="339"/>
      <c r="D77" s="172" t="str">
        <f>IF('04（様式３）単位数の新旧対照表 '!D70="","",'04（様式３）単位数の新旧対照表 '!D70)</f>
        <v/>
      </c>
      <c r="E77" s="173" t="str">
        <f>IF('04（様式３）単位数の新旧対照表 '!E70="","",'04（様式３）単位数の新旧対照表 '!E70)</f>
        <v/>
      </c>
      <c r="F77" s="172"/>
      <c r="G77" s="55"/>
    </row>
    <row r="78" spans="2:7" ht="19.5" thickBot="1" x14ac:dyDescent="0.2">
      <c r="B78" s="53"/>
      <c r="C78" s="339"/>
      <c r="D78" s="172" t="str">
        <f>IF('04（様式３）単位数の新旧対照表 '!D71="","",'04（様式３）単位数の新旧対照表 '!D71)</f>
        <v/>
      </c>
      <c r="E78" s="173" t="str">
        <f>IF('04（様式３）単位数の新旧対照表 '!E71="","",'04（様式３）単位数の新旧対照表 '!E71)</f>
        <v/>
      </c>
      <c r="F78" s="172"/>
      <c r="G78" s="55"/>
    </row>
    <row r="79" spans="2:7" ht="19.5" thickBot="1" x14ac:dyDescent="0.2">
      <c r="B79" s="53"/>
      <c r="C79" s="339"/>
      <c r="D79" s="172" t="str">
        <f>IF('04（様式３）単位数の新旧対照表 '!D72="","",'04（様式３）単位数の新旧対照表 '!D72)</f>
        <v/>
      </c>
      <c r="E79" s="173" t="str">
        <f>IF('04（様式３）単位数の新旧対照表 '!E72="","",'04（様式３）単位数の新旧対照表 '!E72)</f>
        <v/>
      </c>
      <c r="F79" s="172"/>
      <c r="G79" s="55"/>
    </row>
    <row r="80" spans="2:7" ht="19.5" thickBot="1" x14ac:dyDescent="0.2">
      <c r="B80" s="53"/>
      <c r="C80" s="339"/>
      <c r="D80" s="172" t="str">
        <f>IF('04（様式３）単位数の新旧対照表 '!D73="","",'04（様式３）単位数の新旧対照表 '!D73)</f>
        <v/>
      </c>
      <c r="E80" s="173" t="str">
        <f>IF('04（様式３）単位数の新旧対照表 '!E73="","",'04（様式３）単位数の新旧対照表 '!E73)</f>
        <v/>
      </c>
      <c r="F80" s="172"/>
      <c r="G80" s="55"/>
    </row>
    <row r="81" spans="2:7" ht="19.5" thickBot="1" x14ac:dyDescent="0.2">
      <c r="B81" s="53"/>
      <c r="C81" s="340"/>
      <c r="D81" s="172" t="str">
        <f>IF('04（様式３）単位数の新旧対照表 '!D74="","",'04（様式３）単位数の新旧対照表 '!D74)</f>
        <v/>
      </c>
      <c r="E81" s="173" t="str">
        <f>IF('04（様式３）単位数の新旧対照表 '!E74="","",'04（様式３）単位数の新旧対照表 '!E74)</f>
        <v/>
      </c>
      <c r="F81" s="172"/>
      <c r="G81" s="55"/>
    </row>
    <row r="82" spans="2:7" ht="19.5" thickBot="1" x14ac:dyDescent="0.2">
      <c r="B82" s="53"/>
      <c r="C82" s="338" t="s">
        <v>43</v>
      </c>
      <c r="D82" s="172" t="str">
        <f>IF('04（様式３）単位数の新旧対照表 '!D75="","",'04（様式３）単位数の新旧対照表 '!D75)</f>
        <v/>
      </c>
      <c r="E82" s="173" t="str">
        <f>IF('04（様式３）単位数の新旧対照表 '!E75="","",'04（様式３）単位数の新旧対照表 '!E75)</f>
        <v/>
      </c>
      <c r="F82" s="172"/>
      <c r="G82" s="55"/>
    </row>
    <row r="83" spans="2:7" ht="19.5" thickBot="1" x14ac:dyDescent="0.2">
      <c r="B83" s="53"/>
      <c r="C83" s="339"/>
      <c r="D83" s="172" t="str">
        <f>IF('04（様式３）単位数の新旧対照表 '!D76="","",'04（様式３）単位数の新旧対照表 '!D76)</f>
        <v/>
      </c>
      <c r="E83" s="173" t="str">
        <f>IF('04（様式３）単位数の新旧対照表 '!E76="","",'04（様式３）単位数の新旧対照表 '!E76)</f>
        <v/>
      </c>
      <c r="F83" s="172"/>
      <c r="G83" s="55"/>
    </row>
    <row r="84" spans="2:7" ht="19.5" thickBot="1" x14ac:dyDescent="0.2">
      <c r="B84" s="53"/>
      <c r="C84" s="339"/>
      <c r="D84" s="172" t="str">
        <f>IF('04（様式３）単位数の新旧対照表 '!D77="","",'04（様式３）単位数の新旧対照表 '!D77)</f>
        <v/>
      </c>
      <c r="E84" s="173" t="str">
        <f>IF('04（様式３）単位数の新旧対照表 '!E77="","",'04（様式３）単位数の新旧対照表 '!E77)</f>
        <v/>
      </c>
      <c r="F84" s="172"/>
      <c r="G84" s="55"/>
    </row>
    <row r="85" spans="2:7" ht="19.5" thickBot="1" x14ac:dyDescent="0.2">
      <c r="B85" s="53"/>
      <c r="C85" s="339"/>
      <c r="D85" s="172" t="str">
        <f>IF('04（様式３）単位数の新旧対照表 '!D78="","",'04（様式３）単位数の新旧対照表 '!D78)</f>
        <v/>
      </c>
      <c r="E85" s="173" t="str">
        <f>IF('04（様式３）単位数の新旧対照表 '!E78="","",'04（様式３）単位数の新旧対照表 '!E78)</f>
        <v/>
      </c>
      <c r="F85" s="172"/>
      <c r="G85" s="55"/>
    </row>
    <row r="86" spans="2:7" ht="19.5" thickBot="1" x14ac:dyDescent="0.2">
      <c r="B86" s="53"/>
      <c r="C86" s="339"/>
      <c r="D86" s="172" t="str">
        <f>IF('04（様式３）単位数の新旧対照表 '!D79="","",'04（様式３）単位数の新旧対照表 '!D79)</f>
        <v/>
      </c>
      <c r="E86" s="173" t="str">
        <f>IF('04（様式３）単位数の新旧対照表 '!E79="","",'04（様式３）単位数の新旧対照表 '!E79)</f>
        <v/>
      </c>
      <c r="F86" s="172"/>
      <c r="G86" s="55"/>
    </row>
    <row r="87" spans="2:7" ht="19.5" thickBot="1" x14ac:dyDescent="0.2">
      <c r="B87" s="53"/>
      <c r="C87" s="339"/>
      <c r="D87" s="172" t="str">
        <f>IF('04（様式３）単位数の新旧対照表 '!D80="","",'04（様式３）単位数の新旧対照表 '!D80)</f>
        <v/>
      </c>
      <c r="E87" s="173" t="str">
        <f>IF('04（様式３）単位数の新旧対照表 '!E80="","",'04（様式３）単位数の新旧対照表 '!E80)</f>
        <v/>
      </c>
      <c r="F87" s="172"/>
      <c r="G87" s="55"/>
    </row>
    <row r="88" spans="2:7" ht="19.5" thickBot="1" x14ac:dyDescent="0.2">
      <c r="B88" s="53"/>
      <c r="C88" s="340"/>
      <c r="D88" s="172" t="str">
        <f>IF('04（様式３）単位数の新旧対照表 '!D81="","",'04（様式３）単位数の新旧対照表 '!D81)</f>
        <v/>
      </c>
      <c r="E88" s="173" t="str">
        <f>IF('04（様式３）単位数の新旧対照表 '!E81="","",'04（様式３）単位数の新旧対照表 '!E81)</f>
        <v/>
      </c>
      <c r="F88" s="172"/>
      <c r="G88" s="55"/>
    </row>
    <row r="89" spans="2:7" ht="19.5" thickBot="1" x14ac:dyDescent="0.2">
      <c r="B89" s="53"/>
      <c r="C89" s="338" t="s">
        <v>44</v>
      </c>
      <c r="D89" s="172" t="str">
        <f>IF('04（様式３）単位数の新旧対照表 '!D82="","",'04（様式３）単位数の新旧対照表 '!D82)</f>
        <v/>
      </c>
      <c r="E89" s="173" t="str">
        <f>IF('04（様式３）単位数の新旧対照表 '!E82="","",'04（様式３）単位数の新旧対照表 '!E82)</f>
        <v/>
      </c>
      <c r="F89" s="172"/>
      <c r="G89" s="55"/>
    </row>
    <row r="90" spans="2:7" ht="19.5" thickBot="1" x14ac:dyDescent="0.2">
      <c r="B90" s="53"/>
      <c r="C90" s="339"/>
      <c r="D90" s="172" t="str">
        <f>IF('04（様式３）単位数の新旧対照表 '!D83="","",'04（様式３）単位数の新旧対照表 '!D83)</f>
        <v/>
      </c>
      <c r="E90" s="173" t="str">
        <f>IF('04（様式３）単位数の新旧対照表 '!E83="","",'04（様式３）単位数の新旧対照表 '!E83)</f>
        <v/>
      </c>
      <c r="F90" s="172"/>
      <c r="G90" s="55"/>
    </row>
    <row r="91" spans="2:7" ht="19.5" thickBot="1" x14ac:dyDescent="0.2">
      <c r="B91" s="53"/>
      <c r="C91" s="339"/>
      <c r="D91" s="172" t="str">
        <f>IF('04（様式３）単位数の新旧対照表 '!D84="","",'04（様式３）単位数の新旧対照表 '!D84)</f>
        <v/>
      </c>
      <c r="E91" s="173" t="str">
        <f>IF('04（様式３）単位数の新旧対照表 '!E84="","",'04（様式３）単位数の新旧対照表 '!E84)</f>
        <v/>
      </c>
      <c r="F91" s="172"/>
      <c r="G91" s="55"/>
    </row>
    <row r="92" spans="2:7" ht="19.5" thickBot="1" x14ac:dyDescent="0.2">
      <c r="B92" s="53"/>
      <c r="C92" s="339"/>
      <c r="D92" s="172" t="str">
        <f>IF('04（様式３）単位数の新旧対照表 '!D85="","",'04（様式３）単位数の新旧対照表 '!D85)</f>
        <v/>
      </c>
      <c r="E92" s="173" t="str">
        <f>IF('04（様式３）単位数の新旧対照表 '!E85="","",'04（様式３）単位数の新旧対照表 '!E85)</f>
        <v/>
      </c>
      <c r="F92" s="172"/>
      <c r="G92" s="55"/>
    </row>
    <row r="93" spans="2:7" ht="19.5" thickBot="1" x14ac:dyDescent="0.2">
      <c r="B93" s="53"/>
      <c r="C93" s="340"/>
      <c r="D93" s="172" t="str">
        <f>IF('04（様式３）単位数の新旧対照表 '!D86="","",'04（様式３）単位数の新旧対照表 '!D86)</f>
        <v/>
      </c>
      <c r="E93" s="173" t="str">
        <f>IF('04（様式３）単位数の新旧対照表 '!E86="","",'04（様式３）単位数の新旧対照表 '!E86)</f>
        <v/>
      </c>
      <c r="F93" s="172"/>
      <c r="G93" s="55"/>
    </row>
    <row r="94" spans="2:7" ht="19.5" thickBot="1" x14ac:dyDescent="0.2">
      <c r="B94" s="53"/>
      <c r="C94" s="338" t="s">
        <v>45</v>
      </c>
      <c r="D94" s="172" t="str">
        <f>IF('04（様式３）単位数の新旧対照表 '!D87="","",'04（様式３）単位数の新旧対照表 '!D87)</f>
        <v/>
      </c>
      <c r="E94" s="173" t="str">
        <f>IF('04（様式３）単位数の新旧対照表 '!E87="","",'04（様式３）単位数の新旧対照表 '!E87)</f>
        <v/>
      </c>
      <c r="F94" s="172"/>
      <c r="G94" s="55"/>
    </row>
    <row r="95" spans="2:7" ht="19.5" thickBot="1" x14ac:dyDescent="0.2">
      <c r="B95" s="53"/>
      <c r="C95" s="339"/>
      <c r="D95" s="172" t="str">
        <f>IF('04（様式３）単位数の新旧対照表 '!D88="","",'04（様式３）単位数の新旧対照表 '!D88)</f>
        <v/>
      </c>
      <c r="E95" s="173" t="str">
        <f>IF('04（様式３）単位数の新旧対照表 '!E88="","",'04（様式３）単位数の新旧対照表 '!E88)</f>
        <v/>
      </c>
      <c r="F95" s="172"/>
      <c r="G95" s="55"/>
    </row>
    <row r="96" spans="2:7" ht="19.5" thickBot="1" x14ac:dyDescent="0.2">
      <c r="B96" s="53"/>
      <c r="C96" s="339"/>
      <c r="D96" s="172" t="str">
        <f>IF('04（様式３）単位数の新旧対照表 '!D89="","",'04（様式３）単位数の新旧対照表 '!D89)</f>
        <v/>
      </c>
      <c r="E96" s="173" t="str">
        <f>IF('04（様式３）単位数の新旧対照表 '!E89="","",'04（様式３）単位数の新旧対照表 '!E89)</f>
        <v/>
      </c>
      <c r="F96" s="172"/>
      <c r="G96" s="55"/>
    </row>
    <row r="97" spans="2:7" ht="19.5" thickBot="1" x14ac:dyDescent="0.2">
      <c r="B97" s="53"/>
      <c r="C97" s="339"/>
      <c r="D97" s="172" t="str">
        <f>IF('04（様式３）単位数の新旧対照表 '!D90="","",'04（様式３）単位数の新旧対照表 '!D90)</f>
        <v/>
      </c>
      <c r="E97" s="173" t="str">
        <f>IF('04（様式３）単位数の新旧対照表 '!E90="","",'04（様式３）単位数の新旧対照表 '!E90)</f>
        <v/>
      </c>
      <c r="F97" s="172"/>
      <c r="G97" s="55"/>
    </row>
    <row r="98" spans="2:7" ht="19.5" thickBot="1" x14ac:dyDescent="0.2">
      <c r="B98" s="53"/>
      <c r="C98" s="339"/>
      <c r="D98" s="172" t="str">
        <f>IF('04（様式３）単位数の新旧対照表 '!D91="","",'04（様式３）単位数の新旧対照表 '!D91)</f>
        <v/>
      </c>
      <c r="E98" s="173" t="str">
        <f>IF('04（様式３）単位数の新旧対照表 '!E91="","",'04（様式３）単位数の新旧対照表 '!E91)</f>
        <v/>
      </c>
      <c r="F98" s="172"/>
      <c r="G98" s="55"/>
    </row>
    <row r="99" spans="2:7" ht="19.5" thickBot="1" x14ac:dyDescent="0.2">
      <c r="B99" s="53"/>
      <c r="C99" s="339"/>
      <c r="D99" s="172" t="str">
        <f>IF('04（様式３）単位数の新旧対照表 '!D92="","",'04（様式３）単位数の新旧対照表 '!D92)</f>
        <v/>
      </c>
      <c r="E99" s="173" t="str">
        <f>IF('04（様式３）単位数の新旧対照表 '!E92="","",'04（様式３）単位数の新旧対照表 '!E92)</f>
        <v/>
      </c>
      <c r="F99" s="172"/>
      <c r="G99" s="55"/>
    </row>
    <row r="100" spans="2:7" ht="19.5" thickBot="1" x14ac:dyDescent="0.2">
      <c r="B100" s="53"/>
      <c r="C100" s="339"/>
      <c r="D100" s="172" t="str">
        <f>IF('04（様式３）単位数の新旧対照表 '!D93="","",'04（様式３）単位数の新旧対照表 '!D93)</f>
        <v/>
      </c>
      <c r="E100" s="173" t="str">
        <f>IF('04（様式３）単位数の新旧対照表 '!E93="","",'04（様式３）単位数の新旧対照表 '!E93)</f>
        <v/>
      </c>
      <c r="F100" s="172"/>
      <c r="G100" s="55"/>
    </row>
    <row r="101" spans="2:7" ht="19.5" thickBot="1" x14ac:dyDescent="0.2">
      <c r="B101" s="53"/>
      <c r="C101" s="340"/>
      <c r="D101" s="172" t="str">
        <f>IF('04（様式３）単位数の新旧対照表 '!D94="","",'04（様式３）単位数の新旧対照表 '!D94)</f>
        <v/>
      </c>
      <c r="E101" s="173" t="str">
        <f>IF('04（様式３）単位数の新旧対照表 '!E94="","",'04（様式３）単位数の新旧対照表 '!E94)</f>
        <v/>
      </c>
      <c r="F101" s="172"/>
      <c r="G101" s="55"/>
    </row>
    <row r="102" spans="2:7" ht="19.5" thickBot="1" x14ac:dyDescent="0.2">
      <c r="B102" s="53"/>
      <c r="C102" s="338" t="s">
        <v>46</v>
      </c>
      <c r="D102" s="172" t="str">
        <f>IF('04（様式３）単位数の新旧対照表 '!D95="","",'04（様式３）単位数の新旧対照表 '!D95)</f>
        <v/>
      </c>
      <c r="E102" s="173" t="str">
        <f>IF('04（様式３）単位数の新旧対照表 '!E95="","",'04（様式３）単位数の新旧対照表 '!E95)</f>
        <v/>
      </c>
      <c r="F102" s="172"/>
      <c r="G102" s="55"/>
    </row>
    <row r="103" spans="2:7" ht="19.5" thickBot="1" x14ac:dyDescent="0.2">
      <c r="B103" s="53"/>
      <c r="C103" s="339"/>
      <c r="D103" s="172" t="str">
        <f>IF('04（様式３）単位数の新旧対照表 '!D96="","",'04（様式３）単位数の新旧対照表 '!D96)</f>
        <v/>
      </c>
      <c r="E103" s="173" t="str">
        <f>IF('04（様式３）単位数の新旧対照表 '!E96="","",'04（様式３）単位数の新旧対照表 '!E96)</f>
        <v/>
      </c>
      <c r="F103" s="172"/>
      <c r="G103" s="55"/>
    </row>
    <row r="104" spans="2:7" ht="19.5" thickBot="1" x14ac:dyDescent="0.2">
      <c r="B104" s="53"/>
      <c r="C104" s="339"/>
      <c r="D104" s="172" t="str">
        <f>IF('04（様式３）単位数の新旧対照表 '!D97="","",'04（様式３）単位数の新旧対照表 '!D97)</f>
        <v/>
      </c>
      <c r="E104" s="173" t="str">
        <f>IF('04（様式３）単位数の新旧対照表 '!E97="","",'04（様式３）単位数の新旧対照表 '!E97)</f>
        <v/>
      </c>
      <c r="F104" s="172"/>
      <c r="G104" s="55"/>
    </row>
    <row r="105" spans="2:7" ht="19.5" thickBot="1" x14ac:dyDescent="0.2">
      <c r="B105" s="53"/>
      <c r="C105" s="339"/>
      <c r="D105" s="172" t="str">
        <f>IF('04（様式３）単位数の新旧対照表 '!D98="","",'04（様式３）単位数の新旧対照表 '!D98)</f>
        <v/>
      </c>
      <c r="E105" s="173" t="str">
        <f>IF('04（様式３）単位数の新旧対照表 '!E98="","",'04（様式３）単位数の新旧対照表 '!E98)</f>
        <v/>
      </c>
      <c r="F105" s="172"/>
      <c r="G105" s="55"/>
    </row>
    <row r="106" spans="2:7" ht="19.5" thickBot="1" x14ac:dyDescent="0.2">
      <c r="B106" s="53"/>
      <c r="C106" s="340"/>
      <c r="D106" s="172" t="str">
        <f>IF('04（様式３）単位数の新旧対照表 '!D99="","",'04（様式３）単位数の新旧対照表 '!D99)</f>
        <v/>
      </c>
      <c r="E106" s="173" t="str">
        <f>IF('04（様式３）単位数の新旧対照表 '!E99="","",'04（様式３）単位数の新旧対照表 '!E99)</f>
        <v/>
      </c>
      <c r="F106" s="172"/>
      <c r="G106" s="55"/>
    </row>
    <row r="107" spans="2:7" ht="19.5" thickBot="1" x14ac:dyDescent="0.2">
      <c r="B107" s="53"/>
      <c r="C107" s="338" t="s">
        <v>47</v>
      </c>
      <c r="D107" s="172" t="str">
        <f>IF('04（様式３）単位数の新旧対照表 '!D100="","",'04（様式３）単位数の新旧対照表 '!D100)</f>
        <v/>
      </c>
      <c r="E107" s="173" t="str">
        <f>IF('04（様式３）単位数の新旧対照表 '!E100="","",'04（様式３）単位数の新旧対照表 '!E100)</f>
        <v/>
      </c>
      <c r="F107" s="172"/>
      <c r="G107" s="55"/>
    </row>
    <row r="108" spans="2:7" ht="19.5" thickBot="1" x14ac:dyDescent="0.2">
      <c r="B108" s="53"/>
      <c r="C108" s="339"/>
      <c r="D108" s="172" t="str">
        <f>IF('04（様式３）単位数の新旧対照表 '!D101="","",'04（様式３）単位数の新旧対照表 '!D101)</f>
        <v/>
      </c>
      <c r="E108" s="173" t="str">
        <f>IF('04（様式３）単位数の新旧対照表 '!E101="","",'04（様式３）単位数の新旧対照表 '!E101)</f>
        <v/>
      </c>
      <c r="F108" s="172"/>
      <c r="G108" s="55"/>
    </row>
    <row r="109" spans="2:7" ht="19.5" thickBot="1" x14ac:dyDescent="0.2">
      <c r="B109" s="53"/>
      <c r="C109" s="339"/>
      <c r="D109" s="172" t="str">
        <f>IF('04（様式３）単位数の新旧対照表 '!D102="","",'04（様式３）単位数の新旧対照表 '!D102)</f>
        <v/>
      </c>
      <c r="E109" s="173" t="str">
        <f>IF('04（様式３）単位数の新旧対照表 '!E102="","",'04（様式３）単位数の新旧対照表 '!E102)</f>
        <v/>
      </c>
      <c r="F109" s="172"/>
      <c r="G109" s="55"/>
    </row>
    <row r="110" spans="2:7" ht="19.5" thickBot="1" x14ac:dyDescent="0.2">
      <c r="B110" s="53"/>
      <c r="C110" s="339"/>
      <c r="D110" s="172" t="str">
        <f>IF('04（様式３）単位数の新旧対照表 '!D103="","",'04（様式３）単位数の新旧対照表 '!D103)</f>
        <v/>
      </c>
      <c r="E110" s="173" t="str">
        <f>IF('04（様式３）単位数の新旧対照表 '!E103="","",'04（様式３）単位数の新旧対照表 '!E103)</f>
        <v/>
      </c>
      <c r="F110" s="172"/>
      <c r="G110" s="55"/>
    </row>
    <row r="111" spans="2:7" ht="19.5" thickBot="1" x14ac:dyDescent="0.2">
      <c r="B111" s="53"/>
      <c r="C111" s="339"/>
      <c r="D111" s="172" t="str">
        <f>IF('04（様式３）単位数の新旧対照表 '!D104="","",'04（様式３）単位数の新旧対照表 '!D104)</f>
        <v/>
      </c>
      <c r="E111" s="173" t="str">
        <f>IF('04（様式３）単位数の新旧対照表 '!E104="","",'04（様式３）単位数の新旧対照表 '!E104)</f>
        <v/>
      </c>
      <c r="F111" s="172"/>
      <c r="G111" s="55"/>
    </row>
    <row r="112" spans="2:7" ht="19.5" thickBot="1" x14ac:dyDescent="0.2">
      <c r="B112" s="53"/>
      <c r="C112" s="339"/>
      <c r="D112" s="172" t="str">
        <f>IF('04（様式３）単位数の新旧対照表 '!D105="","",'04（様式３）単位数の新旧対照表 '!D105)</f>
        <v/>
      </c>
      <c r="E112" s="173" t="str">
        <f>IF('04（様式３）単位数の新旧対照表 '!E105="","",'04（様式３）単位数の新旧対照表 '!E105)</f>
        <v/>
      </c>
      <c r="F112" s="172"/>
      <c r="G112" s="55"/>
    </row>
    <row r="113" spans="2:7" ht="19.5" thickBot="1" x14ac:dyDescent="0.2">
      <c r="B113" s="53"/>
      <c r="C113" s="339"/>
      <c r="D113" s="172" t="str">
        <f>IF('04（様式３）単位数の新旧対照表 '!D106="","",'04（様式３）単位数の新旧対照表 '!D106)</f>
        <v/>
      </c>
      <c r="E113" s="173" t="str">
        <f>IF('04（様式３）単位数の新旧対照表 '!E106="","",'04（様式３）単位数の新旧対照表 '!E106)</f>
        <v/>
      </c>
      <c r="F113" s="172"/>
      <c r="G113" s="55"/>
    </row>
    <row r="114" spans="2:7" ht="19.5" thickBot="1" x14ac:dyDescent="0.2">
      <c r="B114" s="53"/>
      <c r="C114" s="339"/>
      <c r="D114" s="172" t="str">
        <f>IF('04（様式３）単位数の新旧対照表 '!D107="","",'04（様式３）単位数の新旧対照表 '!D107)</f>
        <v/>
      </c>
      <c r="E114" s="173" t="str">
        <f>IF('04（様式３）単位数の新旧対照表 '!E107="","",'04（様式３）単位数の新旧対照表 '!E107)</f>
        <v/>
      </c>
      <c r="F114" s="172"/>
      <c r="G114" s="55"/>
    </row>
    <row r="115" spans="2:7" ht="19.5" thickBot="1" x14ac:dyDescent="0.2">
      <c r="B115" s="53"/>
      <c r="C115" s="339"/>
      <c r="D115" s="172" t="str">
        <f>IF('04（様式３）単位数の新旧対照表 '!D108="","",'04（様式３）単位数の新旧対照表 '!D108)</f>
        <v/>
      </c>
      <c r="E115" s="173" t="str">
        <f>IF('04（様式３）単位数の新旧対照表 '!E108="","",'04（様式３）単位数の新旧対照表 '!E108)</f>
        <v/>
      </c>
      <c r="F115" s="172"/>
      <c r="G115" s="55"/>
    </row>
    <row r="116" spans="2:7" ht="19.5" thickBot="1" x14ac:dyDescent="0.2">
      <c r="B116" s="53"/>
      <c r="C116" s="339"/>
      <c r="D116" s="172" t="str">
        <f>IF('04（様式３）単位数の新旧対照表 '!D109="","",'04（様式３）単位数の新旧対照表 '!D109)</f>
        <v/>
      </c>
      <c r="E116" s="173" t="str">
        <f>IF('04（様式３）単位数の新旧対照表 '!E109="","",'04（様式３）単位数の新旧対照表 '!E109)</f>
        <v/>
      </c>
      <c r="F116" s="172"/>
      <c r="G116" s="55"/>
    </row>
    <row r="117" spans="2:7" ht="19.5" thickBot="1" x14ac:dyDescent="0.2">
      <c r="B117" s="53"/>
      <c r="C117" s="339"/>
      <c r="D117" s="172" t="str">
        <f>IF('04（様式３）単位数の新旧対照表 '!D110="","",'04（様式３）単位数の新旧対照表 '!D110)</f>
        <v/>
      </c>
      <c r="E117" s="173" t="str">
        <f>IF('04（様式３）単位数の新旧対照表 '!E110="","",'04（様式３）単位数の新旧対照表 '!E110)</f>
        <v/>
      </c>
      <c r="F117" s="172"/>
      <c r="G117" s="55"/>
    </row>
    <row r="118" spans="2:7" ht="19.5" thickBot="1" x14ac:dyDescent="0.2">
      <c r="B118" s="53"/>
      <c r="C118" s="339"/>
      <c r="D118" s="172" t="str">
        <f>IF('04（様式３）単位数の新旧対照表 '!D111="","",'04（様式３）単位数の新旧対照表 '!D111)</f>
        <v/>
      </c>
      <c r="E118" s="173" t="str">
        <f>IF('04（様式３）単位数の新旧対照表 '!E111="","",'04（様式３）単位数の新旧対照表 '!E111)</f>
        <v/>
      </c>
      <c r="F118" s="172"/>
      <c r="G118" s="55"/>
    </row>
    <row r="119" spans="2:7" ht="19.5" thickBot="1" x14ac:dyDescent="0.2">
      <c r="B119" s="53"/>
      <c r="C119" s="339"/>
      <c r="D119" s="172" t="str">
        <f>IF('04（様式３）単位数の新旧対照表 '!D112="","",'04（様式３）単位数の新旧対照表 '!D112)</f>
        <v/>
      </c>
      <c r="E119" s="173" t="str">
        <f>IF('04（様式３）単位数の新旧対照表 '!E112="","",'04（様式３）単位数の新旧対照表 '!E112)</f>
        <v/>
      </c>
      <c r="F119" s="172"/>
      <c r="G119" s="55"/>
    </row>
    <row r="120" spans="2:7" ht="19.5" thickBot="1" x14ac:dyDescent="0.2">
      <c r="B120" s="53"/>
      <c r="C120" s="339"/>
      <c r="D120" s="172" t="str">
        <f>IF('04（様式３）単位数の新旧対照表 '!D113="","",'04（様式３）単位数の新旧対照表 '!D113)</f>
        <v/>
      </c>
      <c r="E120" s="173" t="str">
        <f>IF('04（様式３）単位数の新旧対照表 '!E113="","",'04（様式３）単位数の新旧対照表 '!E113)</f>
        <v/>
      </c>
      <c r="F120" s="172"/>
      <c r="G120" s="55"/>
    </row>
    <row r="121" spans="2:7" ht="19.5" thickBot="1" x14ac:dyDescent="0.2">
      <c r="B121" s="53"/>
      <c r="C121" s="339"/>
      <c r="D121" s="172" t="str">
        <f>IF('04（様式３）単位数の新旧対照表 '!D124="","",'04（様式３）単位数の新旧対照表 '!D124)</f>
        <v/>
      </c>
      <c r="E121" s="173" t="str">
        <f>IF('04（様式３）単位数の新旧対照表 '!E124="","",'04（様式３）単位数の新旧対照表 '!E124)</f>
        <v/>
      </c>
      <c r="F121" s="172"/>
      <c r="G121" s="55"/>
    </row>
    <row r="122" spans="2:7" ht="19.5" thickBot="1" x14ac:dyDescent="0.2">
      <c r="B122" s="53"/>
      <c r="C122" s="339"/>
      <c r="D122" s="172" t="str">
        <f>IF('04（様式３）単位数の新旧対照表 '!D125="","",'04（様式３）単位数の新旧対照表 '!D125)</f>
        <v/>
      </c>
      <c r="E122" s="173" t="str">
        <f>IF('04（様式３）単位数の新旧対照表 '!E125="","",'04（様式３）単位数の新旧対照表 '!E125)</f>
        <v/>
      </c>
      <c r="F122" s="172"/>
      <c r="G122" s="55"/>
    </row>
    <row r="123" spans="2:7" ht="19.5" thickBot="1" x14ac:dyDescent="0.2">
      <c r="B123" s="53"/>
      <c r="C123" s="339"/>
      <c r="D123" s="172" t="str">
        <f>IF('04（様式３）単位数の新旧対照表 '!D126="","",'04（様式３）単位数の新旧対照表 '!D126)</f>
        <v/>
      </c>
      <c r="E123" s="173" t="str">
        <f>IF('04（様式３）単位数の新旧対照表 '!E126="","",'04（様式３）単位数の新旧対照表 '!E126)</f>
        <v/>
      </c>
      <c r="F123" s="172"/>
      <c r="G123" s="55"/>
    </row>
    <row r="124" spans="2:7" ht="19.5" thickBot="1" x14ac:dyDescent="0.2">
      <c r="B124" s="53"/>
      <c r="C124" s="339"/>
      <c r="D124" s="172" t="str">
        <f>IF('04（様式３）単位数の新旧対照表 '!D127="","",'04（様式３）単位数の新旧対照表 '!D127)</f>
        <v/>
      </c>
      <c r="E124" s="173" t="str">
        <f>IF('04（様式３）単位数の新旧対照表 '!E127="","",'04（様式３）単位数の新旧対照表 '!E127)</f>
        <v/>
      </c>
      <c r="F124" s="172"/>
      <c r="G124" s="55"/>
    </row>
    <row r="125" spans="2:7" ht="19.5" thickBot="1" x14ac:dyDescent="0.2">
      <c r="B125" s="53"/>
      <c r="C125" s="339"/>
      <c r="D125" s="172" t="str">
        <f>IF('04（様式３）単位数の新旧対照表 '!D128="","",'04（様式３）単位数の新旧対照表 '!D128)</f>
        <v/>
      </c>
      <c r="E125" s="173" t="str">
        <f>IF('04（様式３）単位数の新旧対照表 '!E128="","",'04（様式３）単位数の新旧対照表 '!E128)</f>
        <v/>
      </c>
      <c r="F125" s="172"/>
      <c r="G125" s="55"/>
    </row>
    <row r="126" spans="2:7" ht="19.5" thickBot="1" x14ac:dyDescent="0.2">
      <c r="B126" s="53"/>
      <c r="C126" s="339"/>
      <c r="D126" s="172" t="str">
        <f>IF('04（様式３）単位数の新旧対照表 '!D129="","",'04（様式３）単位数の新旧対照表 '!D129)</f>
        <v/>
      </c>
      <c r="E126" s="173" t="str">
        <f>IF('04（様式３）単位数の新旧対照表 '!E129="","",'04（様式３）単位数の新旧対照表 '!E129)</f>
        <v/>
      </c>
      <c r="F126" s="172"/>
      <c r="G126" s="55"/>
    </row>
    <row r="127" spans="2:7" ht="19.5" thickBot="1" x14ac:dyDescent="0.2">
      <c r="B127" s="53"/>
      <c r="C127" s="340"/>
      <c r="D127" s="172" t="str">
        <f>IF('04（様式３）単位数の新旧対照表 '!D130="","",'04（様式３）単位数の新旧対照表 '!D130)</f>
        <v/>
      </c>
      <c r="E127" s="173" t="str">
        <f>IF('04（様式３）単位数の新旧対照表 '!E130="","",'04（様式３）単位数の新旧対照表 '!E130)</f>
        <v/>
      </c>
      <c r="F127" s="172"/>
      <c r="G127" s="55"/>
    </row>
    <row r="128" spans="2:7" ht="19.5" thickBot="1" x14ac:dyDescent="0.2">
      <c r="B128" s="53"/>
      <c r="C128" s="338" t="s">
        <v>48</v>
      </c>
      <c r="D128" s="172" t="str">
        <f>IF('04（様式３）単位数の新旧対照表 '!D114="","",'04（様式３）単位数の新旧対照表 '!D114)</f>
        <v/>
      </c>
      <c r="E128" s="173" t="str">
        <f>IF('04（様式３）単位数の新旧対照表 '!E114="","",'04（様式３）単位数の新旧対照表 '!E114)</f>
        <v/>
      </c>
      <c r="F128" s="172"/>
      <c r="G128" s="55"/>
    </row>
    <row r="129" spans="2:7" ht="19.5" thickBot="1" x14ac:dyDescent="0.2">
      <c r="B129" s="53"/>
      <c r="C129" s="339"/>
      <c r="D129" s="172" t="str">
        <f>IF('04（様式３）単位数の新旧対照表 '!D115="","",'04（様式３）単位数の新旧対照表 '!D115)</f>
        <v/>
      </c>
      <c r="E129" s="173" t="str">
        <f>IF('04（様式３）単位数の新旧対照表 '!E115="","",'04（様式３）単位数の新旧対照表 '!E115)</f>
        <v/>
      </c>
      <c r="F129" s="172"/>
      <c r="G129" s="55"/>
    </row>
    <row r="130" spans="2:7" ht="19.5" thickBot="1" x14ac:dyDescent="0.2">
      <c r="B130" s="53"/>
      <c r="C130" s="339"/>
      <c r="D130" s="172" t="str">
        <f>IF('04（様式３）単位数の新旧対照表 '!D116="","",'04（様式３）単位数の新旧対照表 '!D116)</f>
        <v/>
      </c>
      <c r="E130" s="173" t="str">
        <f>IF('04（様式３）単位数の新旧対照表 '!E116="","",'04（様式３）単位数の新旧対照表 '!E116)</f>
        <v/>
      </c>
      <c r="F130" s="172"/>
      <c r="G130" s="55"/>
    </row>
    <row r="131" spans="2:7" ht="19.5" thickBot="1" x14ac:dyDescent="0.2">
      <c r="B131" s="53"/>
      <c r="C131" s="339"/>
      <c r="D131" s="172" t="str">
        <f>IF('04（様式３）単位数の新旧対照表 '!D117="","",'04（様式３）単位数の新旧対照表 '!D117)</f>
        <v/>
      </c>
      <c r="E131" s="173" t="str">
        <f>IF('04（様式３）単位数の新旧対照表 '!E117="","",'04（様式３）単位数の新旧対照表 '!E117)</f>
        <v/>
      </c>
      <c r="F131" s="172"/>
      <c r="G131" s="55"/>
    </row>
    <row r="132" spans="2:7" ht="19.5" thickBot="1" x14ac:dyDescent="0.2">
      <c r="B132" s="53"/>
      <c r="C132" s="340"/>
      <c r="D132" s="172" t="str">
        <f>IF('04（様式３）単位数の新旧対照表 '!D118="","",'04（様式３）単位数の新旧対照表 '!D118)</f>
        <v/>
      </c>
      <c r="E132" s="173" t="str">
        <f>IF('04（様式３）単位数の新旧対照表 '!E118="","",'04（様式３）単位数の新旧対照表 '!E118)</f>
        <v/>
      </c>
      <c r="F132" s="172"/>
      <c r="G132" s="55"/>
    </row>
    <row r="133" spans="2:7" ht="19.5" thickBot="1" x14ac:dyDescent="0.2">
      <c r="B133" s="53"/>
      <c r="C133" s="338" t="s">
        <v>49</v>
      </c>
      <c r="D133" s="172" t="str">
        <f>IF('04（様式３）単位数の新旧対照表 '!D119="","",'04（様式３）単位数の新旧対照表 '!D119)</f>
        <v/>
      </c>
      <c r="E133" s="173" t="str">
        <f>IF('04（様式３）単位数の新旧対照表 '!E119="","",'04（様式３）単位数の新旧対照表 '!E119)</f>
        <v/>
      </c>
      <c r="F133" s="172"/>
      <c r="G133" s="55"/>
    </row>
    <row r="134" spans="2:7" ht="19.5" thickBot="1" x14ac:dyDescent="0.2">
      <c r="B134" s="53"/>
      <c r="C134" s="339"/>
      <c r="D134" s="172" t="str">
        <f>IF('04（様式３）単位数の新旧対照表 '!D120="","",'04（様式３）単位数の新旧対照表 '!D120)</f>
        <v/>
      </c>
      <c r="E134" s="173" t="str">
        <f>IF('04（様式３）単位数の新旧対照表 '!E120="","",'04（様式３）単位数の新旧対照表 '!E120)</f>
        <v/>
      </c>
      <c r="F134" s="172"/>
      <c r="G134" s="55"/>
    </row>
    <row r="135" spans="2:7" ht="19.5" thickBot="1" x14ac:dyDescent="0.2">
      <c r="B135" s="53"/>
      <c r="C135" s="339"/>
      <c r="D135" s="172" t="str">
        <f>IF('04（様式３）単位数の新旧対照表 '!D121="","",'04（様式３）単位数の新旧対照表 '!D121)</f>
        <v/>
      </c>
      <c r="E135" s="173" t="str">
        <f>IF('04（様式３）単位数の新旧対照表 '!E121="","",'04（様式３）単位数の新旧対照表 '!E121)</f>
        <v/>
      </c>
      <c r="F135" s="172"/>
      <c r="G135" s="55"/>
    </row>
    <row r="136" spans="2:7" ht="19.5" thickBot="1" x14ac:dyDescent="0.2">
      <c r="B136" s="53"/>
      <c r="C136" s="339"/>
      <c r="D136" s="172" t="str">
        <f>IF('04（様式３）単位数の新旧対照表 '!D122="","",'04（様式３）単位数の新旧対照表 '!D122)</f>
        <v/>
      </c>
      <c r="E136" s="173" t="str">
        <f>IF('04（様式３）単位数の新旧対照表 '!E122="","",'04（様式３）単位数の新旧対照表 '!E122)</f>
        <v/>
      </c>
      <c r="F136" s="172"/>
      <c r="G136" s="55"/>
    </row>
    <row r="137" spans="2:7" ht="19.5" thickBot="1" x14ac:dyDescent="0.2">
      <c r="B137" s="53"/>
      <c r="C137" s="340"/>
      <c r="D137" s="172" t="str">
        <f>IF('04（様式３）単位数の新旧対照表 '!D123="","",'04（様式３）単位数の新旧対照表 '!D123)</f>
        <v/>
      </c>
      <c r="E137" s="173" t="str">
        <f>IF('04（様式３）単位数の新旧対照表 '!E123="","",'04（様式３）単位数の新旧対照表 '!E123)</f>
        <v/>
      </c>
      <c r="F137" s="172"/>
      <c r="G137" s="55"/>
    </row>
    <row r="138" spans="2:7" ht="19.5" thickBot="1" x14ac:dyDescent="0.2">
      <c r="B138" s="53"/>
      <c r="C138" s="338" t="s">
        <v>50</v>
      </c>
      <c r="D138" s="172" t="str">
        <f>IF('04（様式３）単位数の新旧対照表 '!D131="","",'04（様式３）単位数の新旧対照表 '!D131)</f>
        <v/>
      </c>
      <c r="E138" s="173" t="str">
        <f>IF('04（様式３）単位数の新旧対照表 '!E131="","",'04（様式３）単位数の新旧対照表 '!E131)</f>
        <v/>
      </c>
      <c r="F138" s="172"/>
      <c r="G138" s="55"/>
    </row>
    <row r="139" spans="2:7" ht="19.5" thickBot="1" x14ac:dyDescent="0.2">
      <c r="B139" s="53"/>
      <c r="C139" s="339"/>
      <c r="D139" s="172" t="str">
        <f>IF('04（様式３）単位数の新旧対照表 '!D132="","",'04（様式３）単位数の新旧対照表 '!D132)</f>
        <v/>
      </c>
      <c r="E139" s="173" t="str">
        <f>IF('04（様式３）単位数の新旧対照表 '!E132="","",'04（様式３）単位数の新旧対照表 '!E132)</f>
        <v/>
      </c>
      <c r="F139" s="172"/>
      <c r="G139" s="55"/>
    </row>
    <row r="140" spans="2:7" ht="19.5" thickBot="1" x14ac:dyDescent="0.2">
      <c r="B140" s="53"/>
      <c r="C140" s="339"/>
      <c r="D140" s="172" t="str">
        <f>IF('04（様式３）単位数の新旧対照表 '!D133="","",'04（様式３）単位数の新旧対照表 '!D133)</f>
        <v/>
      </c>
      <c r="E140" s="173" t="str">
        <f>IF('04（様式３）単位数の新旧対照表 '!E133="","",'04（様式３）単位数の新旧対照表 '!E133)</f>
        <v/>
      </c>
      <c r="F140" s="172"/>
      <c r="G140" s="55"/>
    </row>
    <row r="141" spans="2:7" ht="19.5" thickBot="1" x14ac:dyDescent="0.2">
      <c r="B141" s="53"/>
      <c r="C141" s="339"/>
      <c r="D141" s="172" t="str">
        <f>IF('04（様式３）単位数の新旧対照表 '!D134="","",'04（様式３）単位数の新旧対照表 '!D134)</f>
        <v/>
      </c>
      <c r="E141" s="173" t="str">
        <f>IF('04（様式３）単位数の新旧対照表 '!E134="","",'04（様式３）単位数の新旧対照表 '!E134)</f>
        <v/>
      </c>
      <c r="F141" s="172"/>
      <c r="G141" s="55"/>
    </row>
    <row r="142" spans="2:7" ht="19.5" thickBot="1" x14ac:dyDescent="0.2">
      <c r="B142" s="53"/>
      <c r="C142" s="340"/>
      <c r="D142" s="172" t="str">
        <f>IF('04（様式３）単位数の新旧対照表 '!D135="","",'04（様式３）単位数の新旧対照表 '!D135)</f>
        <v/>
      </c>
      <c r="E142" s="173" t="str">
        <f>IF('04（様式３）単位数の新旧対照表 '!E135="","",'04（様式３）単位数の新旧対照表 '!E135)</f>
        <v/>
      </c>
      <c r="F142" s="172"/>
      <c r="G142" s="55"/>
    </row>
    <row r="143" spans="2:7" ht="19.5" thickBot="1" x14ac:dyDescent="0.2">
      <c r="B143" s="53"/>
      <c r="C143" s="338" t="s">
        <v>51</v>
      </c>
      <c r="D143" s="172" t="str">
        <f>IF('04（様式３）単位数の新旧対照表 '!D136="","",'04（様式３）単位数の新旧対照表 '!D136)</f>
        <v/>
      </c>
      <c r="E143" s="173" t="str">
        <f>IF('04（様式３）単位数の新旧対照表 '!E136="","",'04（様式３）単位数の新旧対照表 '!E136)</f>
        <v/>
      </c>
      <c r="F143" s="172"/>
      <c r="G143" s="55"/>
    </row>
    <row r="144" spans="2:7" ht="19.5" thickBot="1" x14ac:dyDescent="0.2">
      <c r="B144" s="53"/>
      <c r="C144" s="339"/>
      <c r="D144" s="172" t="str">
        <f>IF('04（様式３）単位数の新旧対照表 '!D137="","",'04（様式３）単位数の新旧対照表 '!D137)</f>
        <v/>
      </c>
      <c r="E144" s="173" t="str">
        <f>IF('04（様式３）単位数の新旧対照表 '!E137="","",'04（様式３）単位数の新旧対照表 '!E137)</f>
        <v/>
      </c>
      <c r="F144" s="172"/>
      <c r="G144" s="55"/>
    </row>
    <row r="145" spans="2:7" ht="19.5" thickBot="1" x14ac:dyDescent="0.2">
      <c r="B145" s="53"/>
      <c r="C145" s="339"/>
      <c r="D145" s="172" t="str">
        <f>IF('04（様式３）単位数の新旧対照表 '!D138="","",'04（様式３）単位数の新旧対照表 '!D138)</f>
        <v/>
      </c>
      <c r="E145" s="173" t="str">
        <f>IF('04（様式３）単位数の新旧対照表 '!E138="","",'04（様式３）単位数の新旧対照表 '!E138)</f>
        <v/>
      </c>
      <c r="F145" s="172"/>
      <c r="G145" s="55"/>
    </row>
    <row r="146" spans="2:7" ht="19.5" thickBot="1" x14ac:dyDescent="0.2">
      <c r="B146" s="53"/>
      <c r="C146" s="339"/>
      <c r="D146" s="172" t="str">
        <f>IF('04（様式３）単位数の新旧対照表 '!D139="","",'04（様式３）単位数の新旧対照表 '!D139)</f>
        <v/>
      </c>
      <c r="E146" s="173" t="str">
        <f>IF('04（様式３）単位数の新旧対照表 '!E139="","",'04（様式３）単位数の新旧対照表 '!E139)</f>
        <v/>
      </c>
      <c r="F146" s="172"/>
      <c r="G146" s="55"/>
    </row>
    <row r="147" spans="2:7" ht="19.5" thickBot="1" x14ac:dyDescent="0.2">
      <c r="B147" s="53"/>
      <c r="C147" s="339"/>
      <c r="D147" s="172" t="str">
        <f>IF('04（様式３）単位数の新旧対照表 '!D140="","",'04（様式３）単位数の新旧対照表 '!D140)</f>
        <v/>
      </c>
      <c r="E147" s="173" t="str">
        <f>IF('04（様式３）単位数の新旧対照表 '!E140="","",'04（様式３）単位数の新旧対照表 '!E140)</f>
        <v/>
      </c>
      <c r="F147" s="172"/>
      <c r="G147" s="55"/>
    </row>
    <row r="148" spans="2:7" ht="19.5" thickBot="1" x14ac:dyDescent="0.2">
      <c r="B148" s="53"/>
      <c r="C148" s="339"/>
      <c r="D148" s="172" t="str">
        <f>IF('04（様式３）単位数の新旧対照表 '!D179="","",'04（様式３）単位数の新旧対照表 '!D179)</f>
        <v/>
      </c>
      <c r="E148" s="173" t="str">
        <f>IF('04（様式３）単位数の新旧対照表 '!E179="","",'04（様式３）単位数の新旧対照表 '!E179)</f>
        <v/>
      </c>
      <c r="F148" s="172"/>
      <c r="G148" s="55"/>
    </row>
    <row r="149" spans="2:7" ht="19.5" thickBot="1" x14ac:dyDescent="0.2">
      <c r="B149" s="53"/>
      <c r="C149" s="339"/>
      <c r="D149" s="172" t="str">
        <f>IF('04（様式３）単位数の新旧対照表 '!D180="","",'04（様式３）単位数の新旧対照表 '!D180)</f>
        <v/>
      </c>
      <c r="E149" s="173" t="str">
        <f>IF('04（様式３）単位数の新旧対照表 '!E180="","",'04（様式３）単位数の新旧対照表 '!E180)</f>
        <v/>
      </c>
      <c r="F149" s="172"/>
      <c r="G149" s="55"/>
    </row>
    <row r="150" spans="2:7" ht="19.5" thickBot="1" x14ac:dyDescent="0.2">
      <c r="B150" s="53"/>
      <c r="C150" s="339"/>
      <c r="D150" s="172" t="str">
        <f>IF('04（様式３）単位数の新旧対照表 '!D181="","",'04（様式３）単位数の新旧対照表 '!D181)</f>
        <v/>
      </c>
      <c r="E150" s="173" t="str">
        <f>IF('04（様式３）単位数の新旧対照表 '!E181="","",'04（様式３）単位数の新旧対照表 '!E181)</f>
        <v/>
      </c>
      <c r="F150" s="172"/>
      <c r="G150" s="55"/>
    </row>
    <row r="151" spans="2:7" ht="19.5" thickBot="1" x14ac:dyDescent="0.2">
      <c r="B151" s="53"/>
      <c r="C151" s="339"/>
      <c r="D151" s="172" t="str">
        <f>IF('04（様式３）単位数の新旧対照表 '!D182="","",'04（様式３）単位数の新旧対照表 '!D182)</f>
        <v/>
      </c>
      <c r="E151" s="173" t="str">
        <f>IF('04（様式３）単位数の新旧対照表 '!E182="","",'04（様式３）単位数の新旧対照表 '!E182)</f>
        <v/>
      </c>
      <c r="F151" s="172"/>
      <c r="G151" s="55"/>
    </row>
    <row r="152" spans="2:7" ht="19.5" thickBot="1" x14ac:dyDescent="0.2">
      <c r="B152" s="53"/>
      <c r="C152" s="340"/>
      <c r="D152" s="172" t="str">
        <f>IF('04（様式３）単位数の新旧対照表 '!D183="","",'04（様式３）単位数の新旧対照表 '!D183)</f>
        <v/>
      </c>
      <c r="E152" s="173" t="str">
        <f>IF('04（様式３）単位数の新旧対照表 '!E183="","",'04（様式３）単位数の新旧対照表 '!E183)</f>
        <v/>
      </c>
      <c r="F152" s="172"/>
      <c r="G152" s="55"/>
    </row>
    <row r="153" spans="2:7" ht="19.5" thickBot="1" x14ac:dyDescent="0.2">
      <c r="B153" s="53"/>
      <c r="C153" s="338" t="s">
        <v>52</v>
      </c>
      <c r="D153" s="172" t="str">
        <f>IF('04（様式３）単位数の新旧対照表 '!D141="","",'04（様式３）単位数の新旧対照表 '!D141)</f>
        <v/>
      </c>
      <c r="E153" s="173" t="str">
        <f>IF('04（様式３）単位数の新旧対照表 '!E141="","",'04（様式３）単位数の新旧対照表 '!E141)</f>
        <v/>
      </c>
      <c r="F153" s="172"/>
      <c r="G153" s="55"/>
    </row>
    <row r="154" spans="2:7" ht="19.5" thickBot="1" x14ac:dyDescent="0.2">
      <c r="B154" s="53"/>
      <c r="C154" s="339"/>
      <c r="D154" s="172" t="str">
        <f>IF('04（様式３）単位数の新旧対照表 '!D142="","",'04（様式３）単位数の新旧対照表 '!D142)</f>
        <v/>
      </c>
      <c r="E154" s="173" t="str">
        <f>IF('04（様式３）単位数の新旧対照表 '!E142="","",'04（様式３）単位数の新旧対照表 '!E142)</f>
        <v/>
      </c>
      <c r="F154" s="172"/>
      <c r="G154" s="55"/>
    </row>
    <row r="155" spans="2:7" ht="19.5" thickBot="1" x14ac:dyDescent="0.2">
      <c r="B155" s="53"/>
      <c r="C155" s="339"/>
      <c r="D155" s="172" t="str">
        <f>IF('04（様式３）単位数の新旧対照表 '!D143="","",'04（様式３）単位数の新旧対照表 '!D143)</f>
        <v/>
      </c>
      <c r="E155" s="173" t="str">
        <f>IF('04（様式３）単位数の新旧対照表 '!E143="","",'04（様式３）単位数の新旧対照表 '!E143)</f>
        <v/>
      </c>
      <c r="F155" s="172"/>
      <c r="G155" s="55"/>
    </row>
    <row r="156" spans="2:7" ht="19.5" thickBot="1" x14ac:dyDescent="0.2">
      <c r="B156" s="53"/>
      <c r="C156" s="339"/>
      <c r="D156" s="172" t="str">
        <f>IF('04（様式３）単位数の新旧対照表 '!D144="","",'04（様式３）単位数の新旧対照表 '!D144)</f>
        <v/>
      </c>
      <c r="E156" s="173" t="str">
        <f>IF('04（様式３）単位数の新旧対照表 '!E144="","",'04（様式３）単位数の新旧対照表 '!E144)</f>
        <v/>
      </c>
      <c r="F156" s="172"/>
      <c r="G156" s="55"/>
    </row>
    <row r="157" spans="2:7" ht="19.5" thickBot="1" x14ac:dyDescent="0.2">
      <c r="B157" s="53"/>
      <c r="C157" s="339"/>
      <c r="D157" s="172" t="str">
        <f>IF('04（様式３）単位数の新旧対照表 '!D145="","",'04（様式３）単位数の新旧対照表 '!D145)</f>
        <v/>
      </c>
      <c r="E157" s="173" t="str">
        <f>IF('04（様式３）単位数の新旧対照表 '!E145="","",'04（様式３）単位数の新旧対照表 '!E145)</f>
        <v/>
      </c>
      <c r="F157" s="172"/>
      <c r="G157" s="55"/>
    </row>
    <row r="158" spans="2:7" ht="19.5" thickBot="1" x14ac:dyDescent="0.2">
      <c r="B158" s="53"/>
      <c r="C158" s="339"/>
      <c r="D158" s="172" t="str">
        <f>IF('04（様式３）単位数の新旧対照表 '!D146="","",'04（様式３）単位数の新旧対照表 '!D146)</f>
        <v/>
      </c>
      <c r="E158" s="173" t="str">
        <f>IF('04（様式３）単位数の新旧対照表 '!E146="","",'04（様式３）単位数の新旧対照表 '!E146)</f>
        <v/>
      </c>
      <c r="F158" s="172"/>
      <c r="G158" s="55"/>
    </row>
    <row r="159" spans="2:7" ht="19.5" thickBot="1" x14ac:dyDescent="0.2">
      <c r="B159" s="53"/>
      <c r="C159" s="339"/>
      <c r="D159" s="172" t="str">
        <f>IF('04（様式３）単位数の新旧対照表 '!D147="","",'04（様式３）単位数の新旧対照表 '!D147)</f>
        <v/>
      </c>
      <c r="E159" s="173" t="str">
        <f>IF('04（様式３）単位数の新旧対照表 '!E147="","",'04（様式３）単位数の新旧対照表 '!E147)</f>
        <v/>
      </c>
      <c r="F159" s="172"/>
      <c r="G159" s="55"/>
    </row>
    <row r="160" spans="2:7" ht="19.5" thickBot="1" x14ac:dyDescent="0.2">
      <c r="B160" s="53"/>
      <c r="C160" s="339"/>
      <c r="D160" s="172" t="str">
        <f>IF('04（様式３）単位数の新旧対照表 '!D184="","",'04（様式３）単位数の新旧対照表 '!D184)</f>
        <v/>
      </c>
      <c r="E160" s="173" t="str">
        <f>IF('04（様式３）単位数の新旧対照表 '!E184="","",'04（様式３）単位数の新旧対照表 '!E184)</f>
        <v/>
      </c>
      <c r="F160" s="172"/>
      <c r="G160" s="55"/>
    </row>
    <row r="161" spans="2:7" ht="19.5" thickBot="1" x14ac:dyDescent="0.2">
      <c r="B161" s="53"/>
      <c r="C161" s="339"/>
      <c r="D161" s="172" t="str">
        <f>IF('04（様式３）単位数の新旧対照表 '!D185="","",'04（様式３）単位数の新旧対照表 '!D185)</f>
        <v/>
      </c>
      <c r="E161" s="173" t="str">
        <f>IF('04（様式３）単位数の新旧対照表 '!E185="","",'04（様式３）単位数の新旧対照表 '!E185)</f>
        <v/>
      </c>
      <c r="F161" s="172"/>
      <c r="G161" s="55"/>
    </row>
    <row r="162" spans="2:7" ht="19.5" thickBot="1" x14ac:dyDescent="0.2">
      <c r="B162" s="53"/>
      <c r="C162" s="339"/>
      <c r="D162" s="172" t="str">
        <f>IF('04（様式３）単位数の新旧対照表 '!D186="","",'04（様式３）単位数の新旧対照表 '!D186)</f>
        <v/>
      </c>
      <c r="E162" s="173" t="str">
        <f>IF('04（様式３）単位数の新旧対照表 '!E186="","",'04（様式３）単位数の新旧対照表 '!E186)</f>
        <v/>
      </c>
      <c r="F162" s="172"/>
      <c r="G162" s="55"/>
    </row>
    <row r="163" spans="2:7" ht="19.5" thickBot="1" x14ac:dyDescent="0.2">
      <c r="B163" s="53"/>
      <c r="C163" s="339"/>
      <c r="D163" s="172" t="str">
        <f>IF('04（様式３）単位数の新旧対照表 '!D187="","",'04（様式３）単位数の新旧対照表 '!D187)</f>
        <v/>
      </c>
      <c r="E163" s="173" t="str">
        <f>IF('04（様式３）単位数の新旧対照表 '!E187="","",'04（様式３）単位数の新旧対照表 '!E187)</f>
        <v/>
      </c>
      <c r="F163" s="172"/>
      <c r="G163" s="55"/>
    </row>
    <row r="164" spans="2:7" ht="19.5" thickBot="1" x14ac:dyDescent="0.2">
      <c r="B164" s="53"/>
      <c r="C164" s="339"/>
      <c r="D164" s="172" t="str">
        <f>IF('04（様式３）単位数の新旧対照表 '!D188="","",'04（様式３）単位数の新旧対照表 '!D188)</f>
        <v/>
      </c>
      <c r="E164" s="173" t="str">
        <f>IF('04（様式３）単位数の新旧対照表 '!E188="","",'04（様式３）単位数の新旧対照表 '!E188)</f>
        <v/>
      </c>
      <c r="F164" s="172"/>
      <c r="G164" s="55"/>
    </row>
    <row r="165" spans="2:7" ht="19.5" thickBot="1" x14ac:dyDescent="0.2">
      <c r="B165" s="53"/>
      <c r="C165" s="339"/>
      <c r="D165" s="172" t="str">
        <f>IF('04（様式３）単位数の新旧対照表 '!D189="","",'04（様式３）単位数の新旧対照表 '!D189)</f>
        <v/>
      </c>
      <c r="E165" s="173" t="str">
        <f>IF('04（様式３）単位数の新旧対照表 '!E189="","",'04（様式３）単位数の新旧対照表 '!E189)</f>
        <v/>
      </c>
      <c r="F165" s="172"/>
      <c r="G165" s="55"/>
    </row>
    <row r="166" spans="2:7" ht="19.5" thickBot="1" x14ac:dyDescent="0.2">
      <c r="B166" s="53"/>
      <c r="C166" s="340"/>
      <c r="D166" s="172" t="str">
        <f>IF('04（様式３）単位数の新旧対照表 '!D190="","",'04（様式３）単位数の新旧対照表 '!D190)</f>
        <v/>
      </c>
      <c r="E166" s="173" t="str">
        <f>IF('04（様式３）単位数の新旧対照表 '!E190="","",'04（様式３）単位数の新旧対照表 '!E190)</f>
        <v/>
      </c>
      <c r="F166" s="172"/>
      <c r="G166" s="55"/>
    </row>
    <row r="167" spans="2:7" ht="19.5" thickBot="1" x14ac:dyDescent="0.2">
      <c r="B167" s="53"/>
      <c r="C167" s="338" t="s">
        <v>53</v>
      </c>
      <c r="D167" s="172" t="str">
        <f>IF('04（様式３）単位数の新旧対照表 '!D148="","",'04（様式３）単位数の新旧対照表 '!D148)</f>
        <v/>
      </c>
      <c r="E167" s="173" t="str">
        <f>IF('04（様式３）単位数の新旧対照表 '!E148="","",'04（様式３）単位数の新旧対照表 '!E148)</f>
        <v/>
      </c>
      <c r="F167" s="172"/>
      <c r="G167" s="55"/>
    </row>
    <row r="168" spans="2:7" ht="19.5" thickBot="1" x14ac:dyDescent="0.2">
      <c r="B168" s="53"/>
      <c r="C168" s="339"/>
      <c r="D168" s="172" t="str">
        <f>IF('04（様式３）単位数の新旧対照表 '!D149="","",'04（様式３）単位数の新旧対照表 '!D149)</f>
        <v/>
      </c>
      <c r="E168" s="173" t="str">
        <f>IF('04（様式３）単位数の新旧対照表 '!E149="","",'04（様式３）単位数の新旧対照表 '!E149)</f>
        <v/>
      </c>
      <c r="F168" s="172"/>
      <c r="G168" s="55"/>
    </row>
    <row r="169" spans="2:7" ht="19.5" thickBot="1" x14ac:dyDescent="0.2">
      <c r="B169" s="53"/>
      <c r="C169" s="339"/>
      <c r="D169" s="172" t="str">
        <f>IF('04（様式３）単位数の新旧対照表 '!D150="","",'04（様式３）単位数の新旧対照表 '!D150)</f>
        <v/>
      </c>
      <c r="E169" s="173" t="str">
        <f>IF('04（様式３）単位数の新旧対照表 '!E150="","",'04（様式３）単位数の新旧対照表 '!E150)</f>
        <v/>
      </c>
      <c r="F169" s="172"/>
      <c r="G169" s="55"/>
    </row>
    <row r="170" spans="2:7" ht="19.5" thickBot="1" x14ac:dyDescent="0.2">
      <c r="B170" s="53"/>
      <c r="C170" s="339"/>
      <c r="D170" s="172" t="str">
        <f>IF('04（様式３）単位数の新旧対照表 '!D151="","",'04（様式３）単位数の新旧対照表 '!D151)</f>
        <v/>
      </c>
      <c r="E170" s="173" t="str">
        <f>IF('04（様式３）単位数の新旧対照表 '!E151="","",'04（様式３）単位数の新旧対照表 '!E151)</f>
        <v/>
      </c>
      <c r="F170" s="172"/>
      <c r="G170" s="55"/>
    </row>
    <row r="171" spans="2:7" ht="19.5" thickBot="1" x14ac:dyDescent="0.2">
      <c r="B171" s="53"/>
      <c r="C171" s="340"/>
      <c r="D171" s="172" t="str">
        <f>IF('04（様式３）単位数の新旧対照表 '!D152="","",'04（様式３）単位数の新旧対照表 '!D152)</f>
        <v/>
      </c>
      <c r="E171" s="173" t="str">
        <f>IF('04（様式３）単位数の新旧対照表 '!E152="","",'04（様式３）単位数の新旧対照表 '!E152)</f>
        <v/>
      </c>
      <c r="F171" s="172"/>
      <c r="G171" s="55"/>
    </row>
    <row r="172" spans="2:7" ht="19.5" thickBot="1" x14ac:dyDescent="0.2">
      <c r="B172" s="53"/>
      <c r="C172" s="338" t="s">
        <v>54</v>
      </c>
      <c r="D172" s="172" t="str">
        <f>IF('04（様式３）単位数の新旧対照表 '!D153="","",'04（様式３）単位数の新旧対照表 '!D153)</f>
        <v/>
      </c>
      <c r="E172" s="173" t="str">
        <f>IF('04（様式３）単位数の新旧対照表 '!E153="","",'04（様式３）単位数の新旧対照表 '!E153)</f>
        <v/>
      </c>
      <c r="F172" s="172"/>
      <c r="G172" s="55"/>
    </row>
    <row r="173" spans="2:7" ht="19.5" thickBot="1" x14ac:dyDescent="0.2">
      <c r="B173" s="53"/>
      <c r="C173" s="339"/>
      <c r="D173" s="172" t="str">
        <f>IF('04（様式３）単位数の新旧対照表 '!D154="","",'04（様式３）単位数の新旧対照表 '!D154)</f>
        <v/>
      </c>
      <c r="E173" s="173" t="str">
        <f>IF('04（様式３）単位数の新旧対照表 '!E154="","",'04（様式３）単位数の新旧対照表 '!E154)</f>
        <v/>
      </c>
      <c r="F173" s="172"/>
      <c r="G173" s="55"/>
    </row>
    <row r="174" spans="2:7" ht="19.5" thickBot="1" x14ac:dyDescent="0.2">
      <c r="B174" s="53"/>
      <c r="C174" s="339"/>
      <c r="D174" s="172" t="str">
        <f>IF('04（様式３）単位数の新旧対照表 '!D155="","",'04（様式３）単位数の新旧対照表 '!D155)</f>
        <v/>
      </c>
      <c r="E174" s="173" t="str">
        <f>IF('04（様式３）単位数の新旧対照表 '!E155="","",'04（様式３）単位数の新旧対照表 '!E155)</f>
        <v/>
      </c>
      <c r="F174" s="172"/>
      <c r="G174" s="55"/>
    </row>
    <row r="175" spans="2:7" ht="19.5" thickBot="1" x14ac:dyDescent="0.2">
      <c r="B175" s="53"/>
      <c r="C175" s="339"/>
      <c r="D175" s="172" t="str">
        <f>IF('04（様式３）単位数の新旧対照表 '!D156="","",'04（様式３）単位数の新旧対照表 '!D156)</f>
        <v/>
      </c>
      <c r="E175" s="173" t="str">
        <f>IF('04（様式３）単位数の新旧対照表 '!E156="","",'04（様式３）単位数の新旧対照表 '!E156)</f>
        <v/>
      </c>
      <c r="F175" s="172"/>
      <c r="G175" s="55"/>
    </row>
    <row r="176" spans="2:7" ht="19.5" thickBot="1" x14ac:dyDescent="0.2">
      <c r="B176" s="53"/>
      <c r="C176" s="339"/>
      <c r="D176" s="172" t="str">
        <f>IF('04（様式３）単位数の新旧対照表 '!D157="","",'04（様式３）単位数の新旧対照表 '!D157)</f>
        <v/>
      </c>
      <c r="E176" s="173" t="str">
        <f>IF('04（様式３）単位数の新旧対照表 '!E157="","",'04（様式３）単位数の新旧対照表 '!E157)</f>
        <v/>
      </c>
      <c r="F176" s="172"/>
      <c r="G176" s="55"/>
    </row>
    <row r="177" spans="2:7" ht="19.5" thickBot="1" x14ac:dyDescent="0.2">
      <c r="B177" s="53"/>
      <c r="C177" s="339"/>
      <c r="D177" s="172" t="str">
        <f>IF('04（様式３）単位数の新旧対照表 '!D158="","",'04（様式３）単位数の新旧対照表 '!D158)</f>
        <v/>
      </c>
      <c r="E177" s="173" t="str">
        <f>IF('04（様式３）単位数の新旧対照表 '!E158="","",'04（様式３）単位数の新旧対照表 '!E158)</f>
        <v/>
      </c>
      <c r="F177" s="172"/>
      <c r="G177" s="55"/>
    </row>
    <row r="178" spans="2:7" ht="19.5" thickBot="1" x14ac:dyDescent="0.2">
      <c r="B178" s="53"/>
      <c r="C178" s="339"/>
      <c r="D178" s="172" t="str">
        <f>IF('04（様式３）単位数の新旧対照表 '!D159="","",'04（様式３）単位数の新旧対照表 '!D159)</f>
        <v/>
      </c>
      <c r="E178" s="173" t="str">
        <f>IF('04（様式３）単位数の新旧対照表 '!E159="","",'04（様式３）単位数の新旧対照表 '!E159)</f>
        <v/>
      </c>
      <c r="F178" s="172"/>
      <c r="G178" s="55"/>
    </row>
    <row r="179" spans="2:7" ht="19.5" thickBot="1" x14ac:dyDescent="0.2">
      <c r="B179" s="53"/>
      <c r="C179" s="339"/>
      <c r="D179" s="172" t="str">
        <f>IF('04（様式３）単位数の新旧対照表 '!D160="","",'04（様式３）単位数の新旧対照表 '!D160)</f>
        <v/>
      </c>
      <c r="E179" s="173" t="str">
        <f>IF('04（様式３）単位数の新旧対照表 '!E160="","",'04（様式３）単位数の新旧対照表 '!E160)</f>
        <v/>
      </c>
      <c r="F179" s="172"/>
      <c r="G179" s="55"/>
    </row>
    <row r="180" spans="2:7" ht="19.5" thickBot="1" x14ac:dyDescent="0.2">
      <c r="B180" s="53"/>
      <c r="C180" s="339"/>
      <c r="D180" s="172" t="str">
        <f>IF('04（様式３）単位数の新旧対照表 '!D161="","",'04（様式３）単位数の新旧対照表 '!D161)</f>
        <v/>
      </c>
      <c r="E180" s="173" t="str">
        <f>IF('04（様式３）単位数の新旧対照表 '!E161="","",'04（様式３）単位数の新旧対照表 '!E161)</f>
        <v/>
      </c>
      <c r="F180" s="172"/>
      <c r="G180" s="55"/>
    </row>
    <row r="181" spans="2:7" ht="19.5" thickBot="1" x14ac:dyDescent="0.2">
      <c r="B181" s="53"/>
      <c r="C181" s="339"/>
      <c r="D181" s="172" t="str">
        <f>IF('04（様式３）単位数の新旧対照表 '!D162="","",'04（様式３）単位数の新旧対照表 '!D162)</f>
        <v/>
      </c>
      <c r="E181" s="173" t="str">
        <f>IF('04（様式３）単位数の新旧対照表 '!E162="","",'04（様式３）単位数の新旧対照表 '!E162)</f>
        <v/>
      </c>
      <c r="F181" s="172"/>
      <c r="G181" s="55"/>
    </row>
    <row r="182" spans="2:7" ht="19.5" thickBot="1" x14ac:dyDescent="0.2">
      <c r="B182" s="53"/>
      <c r="C182" s="339"/>
      <c r="D182" s="172" t="str">
        <f>IF('04（様式３）単位数の新旧対照表 '!D163="","",'04（様式３）単位数の新旧対照表 '!D163)</f>
        <v/>
      </c>
      <c r="E182" s="173" t="str">
        <f>IF('04（様式３）単位数の新旧対照表 '!E163="","",'04（様式３）単位数の新旧対照表 '!E163)</f>
        <v/>
      </c>
      <c r="F182" s="172"/>
      <c r="G182" s="55"/>
    </row>
    <row r="183" spans="2:7" ht="19.5" thickBot="1" x14ac:dyDescent="0.2">
      <c r="B183" s="53"/>
      <c r="C183" s="339"/>
      <c r="D183" s="172" t="str">
        <f>IF('04（様式３）単位数の新旧対照表 '!D164="","",'04（様式３）単位数の新旧対照表 '!D164)</f>
        <v/>
      </c>
      <c r="E183" s="173" t="str">
        <f>IF('04（様式３）単位数の新旧対照表 '!E164="","",'04（様式３）単位数の新旧対照表 '!E164)</f>
        <v/>
      </c>
      <c r="F183" s="172"/>
      <c r="G183" s="55"/>
    </row>
    <row r="184" spans="2:7" ht="19.5" thickBot="1" x14ac:dyDescent="0.2">
      <c r="B184" s="53"/>
      <c r="C184" s="339"/>
      <c r="D184" s="172" t="str">
        <f>IF('04（様式３）単位数の新旧対照表 '!D165="","",'04（様式３）単位数の新旧対照表 '!D165)</f>
        <v/>
      </c>
      <c r="E184" s="173" t="str">
        <f>IF('04（様式３）単位数の新旧対照表 '!E165="","",'04（様式３）単位数の新旧対照表 '!E165)</f>
        <v/>
      </c>
      <c r="F184" s="172"/>
      <c r="G184" s="55"/>
    </row>
    <row r="185" spans="2:7" ht="19.5" thickBot="1" x14ac:dyDescent="0.2">
      <c r="B185" s="53"/>
      <c r="C185" s="339"/>
      <c r="D185" s="172" t="str">
        <f>IF('04（様式３）単位数の新旧対照表 '!D166="","",'04（様式３）単位数の新旧対照表 '!D166)</f>
        <v/>
      </c>
      <c r="E185" s="173" t="str">
        <f>IF('04（様式３）単位数の新旧対照表 '!E166="","",'04（様式３）単位数の新旧対照表 '!E166)</f>
        <v/>
      </c>
      <c r="F185" s="172"/>
      <c r="G185" s="55"/>
    </row>
    <row r="186" spans="2:7" ht="19.5" thickBot="1" x14ac:dyDescent="0.2">
      <c r="B186" s="53"/>
      <c r="C186" s="340"/>
      <c r="D186" s="172" t="str">
        <f>IF('04（様式３）単位数の新旧対照表 '!D167="","",'04（様式３）単位数の新旧対照表 '!D167)</f>
        <v/>
      </c>
      <c r="E186" s="173" t="str">
        <f>IF('04（様式３）単位数の新旧対照表 '!E167="","",'04（様式３）単位数の新旧対照表 '!E167)</f>
        <v/>
      </c>
      <c r="F186" s="172"/>
      <c r="G186" s="55"/>
    </row>
    <row r="187" spans="2:7" ht="19.5" thickBot="1" x14ac:dyDescent="0.2">
      <c r="B187" s="53"/>
      <c r="C187" s="338" t="s">
        <v>55</v>
      </c>
      <c r="D187" s="172" t="str">
        <f>IF('04（様式３）単位数の新旧対照表 '!D168="","",'04（様式３）単位数の新旧対照表 '!D168)</f>
        <v/>
      </c>
      <c r="E187" s="173" t="str">
        <f>IF('04（様式３）単位数の新旧対照表 '!E168="","",'04（様式３）単位数の新旧対照表 '!E168)</f>
        <v/>
      </c>
      <c r="F187" s="172"/>
      <c r="G187" s="55"/>
    </row>
    <row r="188" spans="2:7" ht="19.5" thickBot="1" x14ac:dyDescent="0.2">
      <c r="B188" s="53"/>
      <c r="C188" s="339"/>
      <c r="D188" s="172" t="str">
        <f>IF('04（様式３）単位数の新旧対照表 '!D169="","",'04（様式３）単位数の新旧対照表 '!D169)</f>
        <v/>
      </c>
      <c r="E188" s="173" t="str">
        <f>IF('04（様式３）単位数の新旧対照表 '!E169="","",'04（様式３）単位数の新旧対照表 '!E169)</f>
        <v/>
      </c>
      <c r="F188" s="172"/>
      <c r="G188" s="55"/>
    </row>
    <row r="189" spans="2:7" ht="19.5" thickBot="1" x14ac:dyDescent="0.2">
      <c r="B189" s="53"/>
      <c r="C189" s="339"/>
      <c r="D189" s="172" t="str">
        <f>IF('04（様式３）単位数の新旧対照表 '!D170="","",'04（様式３）単位数の新旧対照表 '!D170)</f>
        <v/>
      </c>
      <c r="E189" s="173" t="str">
        <f>IF('04（様式３）単位数の新旧対照表 '!E170="","",'04（様式３）単位数の新旧対照表 '!E170)</f>
        <v/>
      </c>
      <c r="F189" s="172"/>
      <c r="G189" s="55"/>
    </row>
    <row r="190" spans="2:7" ht="19.5" thickBot="1" x14ac:dyDescent="0.2">
      <c r="B190" s="53"/>
      <c r="C190" s="339"/>
      <c r="D190" s="172" t="str">
        <f>IF('04（様式３）単位数の新旧対照表 '!D171="","",'04（様式３）単位数の新旧対照表 '!D171)</f>
        <v/>
      </c>
      <c r="E190" s="173" t="str">
        <f>IF('04（様式３）単位数の新旧対照表 '!E171="","",'04（様式３）単位数の新旧対照表 '!E171)</f>
        <v/>
      </c>
      <c r="F190" s="172"/>
      <c r="G190" s="55"/>
    </row>
    <row r="191" spans="2:7" ht="19.5" thickBot="1" x14ac:dyDescent="0.2">
      <c r="B191" s="53"/>
      <c r="C191" s="339"/>
      <c r="D191" s="172" t="str">
        <f>IF('04（様式３）単位数の新旧対照表 '!D172="","",'04（様式３）単位数の新旧対照表 '!D172)</f>
        <v/>
      </c>
      <c r="E191" s="173" t="str">
        <f>IF('04（様式３）単位数の新旧対照表 '!E172="","",'04（様式３）単位数の新旧対照表 '!E172)</f>
        <v/>
      </c>
      <c r="F191" s="172"/>
      <c r="G191" s="55"/>
    </row>
    <row r="192" spans="2:7" ht="19.5" thickBot="1" x14ac:dyDescent="0.2">
      <c r="B192" s="53"/>
      <c r="C192" s="339"/>
      <c r="D192" s="172" t="str">
        <f>IF('04（様式３）単位数の新旧対照表 '!D173="","",'04（様式３）単位数の新旧対照表 '!D173)</f>
        <v/>
      </c>
      <c r="E192" s="173" t="str">
        <f>IF('04（様式３）単位数の新旧対照表 '!E173="","",'04（様式３）単位数の新旧対照表 '!E173)</f>
        <v/>
      </c>
      <c r="F192" s="172"/>
      <c r="G192" s="55"/>
    </row>
    <row r="193" spans="2:13" ht="19.5" thickBot="1" x14ac:dyDescent="0.2">
      <c r="B193" s="53"/>
      <c r="C193" s="339"/>
      <c r="D193" s="172" t="str">
        <f>IF('04（様式３）単位数の新旧対照表 '!D174="","",'04（様式３）単位数の新旧対照表 '!D174)</f>
        <v/>
      </c>
      <c r="E193" s="173" t="str">
        <f>IF('04（様式３）単位数の新旧対照表 '!E174="","",'04（様式３）単位数の新旧対照表 '!E174)</f>
        <v/>
      </c>
      <c r="F193" s="172"/>
      <c r="G193" s="55"/>
    </row>
    <row r="194" spans="2:13" ht="19.5" thickBot="1" x14ac:dyDescent="0.2">
      <c r="B194" s="53"/>
      <c r="C194" s="339"/>
      <c r="D194" s="172" t="str">
        <f>IF('04（様式３）単位数の新旧対照表 '!D175="","",'04（様式３）単位数の新旧対照表 '!D175)</f>
        <v/>
      </c>
      <c r="E194" s="173" t="str">
        <f>IF('04（様式３）単位数の新旧対照表 '!E175="","",'04（様式３）単位数の新旧対照表 '!E175)</f>
        <v/>
      </c>
      <c r="F194" s="172"/>
      <c r="G194" s="55"/>
    </row>
    <row r="195" spans="2:13" ht="19.5" thickBot="1" x14ac:dyDescent="0.2">
      <c r="B195" s="53"/>
      <c r="C195" s="339"/>
      <c r="D195" s="172" t="str">
        <f>IF('04（様式３）単位数の新旧対照表 '!D176="","",'04（様式３）単位数の新旧対照表 '!D176)</f>
        <v/>
      </c>
      <c r="E195" s="173" t="str">
        <f>IF('04（様式３）単位数の新旧対照表 '!E176="","",'04（様式３）単位数の新旧対照表 '!E176)</f>
        <v/>
      </c>
      <c r="F195" s="172"/>
      <c r="G195" s="55"/>
    </row>
    <row r="196" spans="2:13" ht="19.5" thickBot="1" x14ac:dyDescent="0.2">
      <c r="B196" s="53"/>
      <c r="C196" s="339"/>
      <c r="D196" s="172" t="str">
        <f>IF('04（様式３）単位数の新旧対照表 '!D177="","",'04（様式３）単位数の新旧対照表 '!D177)</f>
        <v/>
      </c>
      <c r="E196" s="173" t="str">
        <f>IF('04（様式３）単位数の新旧対照表 '!E177="","",'04（様式３）単位数の新旧対照表 '!E177)</f>
        <v/>
      </c>
      <c r="F196" s="172"/>
      <c r="G196" s="55"/>
      <c r="M196" s="40"/>
    </row>
    <row r="197" spans="2:13" ht="19.5" thickBot="1" x14ac:dyDescent="0.2">
      <c r="B197" s="53"/>
      <c r="C197" s="340"/>
      <c r="D197" s="172" t="str">
        <f>IF('04（様式３）単位数の新旧対照表 '!D178="","",'04（様式３）単位数の新旧対照表 '!D178)</f>
        <v/>
      </c>
      <c r="E197" s="173" t="str">
        <f>IF('04（様式３）単位数の新旧対照表 '!E178="","",'04（様式３）単位数の新旧対照表 '!E178)</f>
        <v/>
      </c>
      <c r="F197" s="172"/>
      <c r="G197" s="55"/>
    </row>
    <row r="198" spans="2:13" ht="19.5" thickBot="1" x14ac:dyDescent="0.2">
      <c r="B198" s="53"/>
      <c r="C198" s="338" t="s">
        <v>56</v>
      </c>
      <c r="D198" s="172" t="str">
        <f>IF('04（様式３）単位数の新旧対照表 '!D196="","",'04（様式３）単位数の新旧対照表 '!D196)</f>
        <v/>
      </c>
      <c r="E198" s="173" t="str">
        <f>IF('04（様式３）単位数の新旧対照表 '!E196="","",'04（様式３）単位数の新旧対照表 '!E196)</f>
        <v/>
      </c>
      <c r="F198" s="172"/>
      <c r="G198" s="55"/>
      <c r="M198" s="40" t="str">
        <f>IF('04（様式３）単位数の新旧対照表 '!M211="","",'04（様式３）単位数の新旧対照表 '!M211)</f>
        <v/>
      </c>
    </row>
    <row r="199" spans="2:13" ht="19.5" thickBot="1" x14ac:dyDescent="0.2">
      <c r="B199" s="53"/>
      <c r="C199" s="339"/>
      <c r="D199" s="172" t="str">
        <f>IF('04（様式３）単位数の新旧対照表 '!D197="","",'04（様式３）単位数の新旧対照表 '!D197)</f>
        <v/>
      </c>
      <c r="E199" s="173" t="str">
        <f>IF('04（様式３）単位数の新旧対照表 '!E197="","",'04（様式３）単位数の新旧対照表 '!E197)</f>
        <v/>
      </c>
      <c r="F199" s="172"/>
      <c r="G199" s="55"/>
    </row>
    <row r="200" spans="2:13" ht="19.5" thickBot="1" x14ac:dyDescent="0.2">
      <c r="B200" s="53"/>
      <c r="C200" s="339"/>
      <c r="D200" s="172" t="str">
        <f>IF('04（様式３）単位数の新旧対照表 '!D198="","",'04（様式３）単位数の新旧対照表 '!D198)</f>
        <v/>
      </c>
      <c r="E200" s="173" t="str">
        <f>IF('04（様式３）単位数の新旧対照表 '!E198="","",'04（様式３）単位数の新旧対照表 '!E198)</f>
        <v/>
      </c>
      <c r="F200" s="172"/>
      <c r="G200" s="55"/>
    </row>
    <row r="201" spans="2:13" ht="19.5" thickBot="1" x14ac:dyDescent="0.2">
      <c r="B201" s="53"/>
      <c r="C201" s="339"/>
      <c r="D201" s="172" t="str">
        <f>IF('04（様式３）単位数の新旧対照表 '!D199="","",'04（様式３）単位数の新旧対照表 '!D199)</f>
        <v/>
      </c>
      <c r="E201" s="173" t="str">
        <f>IF('04（様式３）単位数の新旧対照表 '!E199="","",'04（様式３）単位数の新旧対照表 '!E199)</f>
        <v/>
      </c>
      <c r="F201" s="172"/>
      <c r="G201" s="55"/>
    </row>
    <row r="202" spans="2:13" ht="19.5" thickBot="1" x14ac:dyDescent="0.2">
      <c r="B202" s="53"/>
      <c r="C202" s="339"/>
      <c r="D202" s="172" t="str">
        <f>IF('04（様式３）単位数の新旧対照表 '!D200="","",'04（様式３）単位数の新旧対照表 '!D200)</f>
        <v/>
      </c>
      <c r="E202" s="173" t="str">
        <f>IF('04（様式３）単位数の新旧対照表 '!E200="","",'04（様式３）単位数の新旧対照表 '!E200)</f>
        <v/>
      </c>
      <c r="F202" s="172"/>
      <c r="G202" s="55"/>
    </row>
    <row r="203" spans="2:13" ht="19.5" thickBot="1" x14ac:dyDescent="0.2">
      <c r="B203" s="53"/>
      <c r="C203" s="339"/>
      <c r="D203" s="172" t="str">
        <f>IF('04（様式３）単位数の新旧対照表 '!D201="","",'04（様式３）単位数の新旧対照表 '!D201)</f>
        <v/>
      </c>
      <c r="E203" s="173" t="str">
        <f>IF('04（様式３）単位数の新旧対照表 '!E201="","",'04（様式３）単位数の新旧対照表 '!E201)</f>
        <v/>
      </c>
      <c r="F203" s="172"/>
      <c r="G203" s="55"/>
    </row>
    <row r="204" spans="2:13" ht="19.5" thickBot="1" x14ac:dyDescent="0.2">
      <c r="B204" s="53"/>
      <c r="C204" s="339"/>
      <c r="D204" s="172" t="str">
        <f>IF('04（様式３）単位数の新旧対照表 '!D202="","",'04（様式３）単位数の新旧対照表 '!D202)</f>
        <v/>
      </c>
      <c r="E204" s="173" t="str">
        <f>IF('04（様式３）単位数の新旧対照表 '!E202="","",'04（様式３）単位数の新旧対照表 '!E202)</f>
        <v/>
      </c>
      <c r="F204" s="172"/>
      <c r="G204" s="55"/>
    </row>
    <row r="205" spans="2:13" ht="19.5" thickBot="1" x14ac:dyDescent="0.2">
      <c r="B205" s="53"/>
      <c r="C205" s="339"/>
      <c r="D205" s="172" t="str">
        <f>IF('04（様式３）単位数の新旧対照表 '!D203="","",'04（様式３）単位数の新旧対照表 '!D203)</f>
        <v/>
      </c>
      <c r="E205" s="173" t="str">
        <f>IF('04（様式３）単位数の新旧対照表 '!E203="","",'04（様式３）単位数の新旧対照表 '!E203)</f>
        <v/>
      </c>
      <c r="F205" s="172"/>
      <c r="G205" s="55"/>
    </row>
    <row r="206" spans="2:13" ht="19.5" thickBot="1" x14ac:dyDescent="0.2">
      <c r="B206" s="53"/>
      <c r="C206" s="339"/>
      <c r="D206" s="172" t="str">
        <f>IF('04（様式３）単位数の新旧対照表 '!D204="","",'04（様式３）単位数の新旧対照表 '!D204)</f>
        <v/>
      </c>
      <c r="E206" s="173" t="str">
        <f>IF('04（様式３）単位数の新旧対照表 '!E204="","",'04（様式３）単位数の新旧対照表 '!E204)</f>
        <v/>
      </c>
      <c r="F206" s="172"/>
      <c r="G206" s="55"/>
    </row>
    <row r="207" spans="2:13" ht="19.5" thickBot="1" x14ac:dyDescent="0.2">
      <c r="B207" s="53"/>
      <c r="C207" s="340"/>
      <c r="D207" s="172" t="str">
        <f>IF('04（様式３）単位数の新旧対照表 '!D205="","",'04（様式３）単位数の新旧対照表 '!D205)</f>
        <v/>
      </c>
      <c r="E207" s="173" t="str">
        <f>IF('04（様式３）単位数の新旧対照表 '!E205="","",'04（様式３）単位数の新旧対照表 '!E205)</f>
        <v/>
      </c>
      <c r="F207" s="172"/>
      <c r="G207" s="55"/>
    </row>
    <row r="208" spans="2:13" ht="19.5" thickBot="1" x14ac:dyDescent="0.2">
      <c r="B208" s="53"/>
      <c r="C208" s="338" t="s">
        <v>57</v>
      </c>
      <c r="D208" s="172" t="str">
        <f>IF('04（様式３）単位数の新旧対照表 '!D206="","",'04（様式３）単位数の新旧対照表 '!D206)</f>
        <v/>
      </c>
      <c r="E208" s="173" t="str">
        <f>IF('04（様式３）単位数の新旧対照表 '!E206="","",'04（様式３）単位数の新旧対照表 '!E206)</f>
        <v/>
      </c>
      <c r="F208" s="172"/>
      <c r="G208" s="55"/>
    </row>
    <row r="209" spans="2:9" ht="19.5" thickBot="1" x14ac:dyDescent="0.2">
      <c r="B209" s="53"/>
      <c r="C209" s="339"/>
      <c r="D209" s="172" t="str">
        <f>IF('04（様式３）単位数の新旧対照表 '!D207="","",'04（様式３）単位数の新旧対照表 '!D207)</f>
        <v/>
      </c>
      <c r="E209" s="173" t="str">
        <f>IF('04（様式３）単位数の新旧対照表 '!E207="","",'04（様式３）単位数の新旧対照表 '!E207)</f>
        <v/>
      </c>
      <c r="F209" s="172"/>
      <c r="G209" s="55"/>
    </row>
    <row r="210" spans="2:9" ht="19.5" thickBot="1" x14ac:dyDescent="0.2">
      <c r="B210" s="53"/>
      <c r="C210" s="339"/>
      <c r="D210" s="172" t="str">
        <f>IF('04（様式３）単位数の新旧対照表 '!D208="","",'04（様式３）単位数の新旧対照表 '!D208)</f>
        <v/>
      </c>
      <c r="E210" s="173" t="str">
        <f>IF('04（様式３）単位数の新旧対照表 '!E208="","",'04（様式３）単位数の新旧対照表 '!E208)</f>
        <v/>
      </c>
      <c r="F210" s="172"/>
      <c r="G210" s="55"/>
    </row>
    <row r="211" spans="2:9" ht="19.5" thickBot="1" x14ac:dyDescent="0.2">
      <c r="B211" s="53"/>
      <c r="C211" s="339"/>
      <c r="D211" s="172" t="str">
        <f>IF('04（様式３）単位数の新旧対照表 '!D209="","",'04（様式３）単位数の新旧対照表 '!D209)</f>
        <v/>
      </c>
      <c r="E211" s="173" t="str">
        <f>IF('04（様式３）単位数の新旧対照表 '!E209="","",'04（様式３）単位数の新旧対照表 '!E209)</f>
        <v/>
      </c>
      <c r="F211" s="172"/>
      <c r="G211" s="55"/>
    </row>
    <row r="212" spans="2:9" ht="19.5" thickBot="1" x14ac:dyDescent="0.2">
      <c r="B212" s="53"/>
      <c r="C212" s="340"/>
      <c r="D212" s="172" t="str">
        <f>IF('04（様式３）単位数の新旧対照表 '!D210="","",'04（様式３）単位数の新旧対照表 '!D210)</f>
        <v/>
      </c>
      <c r="E212" s="173" t="str">
        <f>IF('04（様式３）単位数の新旧対照表 '!E210="","",'04（様式３）単位数の新旧対照表 '!E210)</f>
        <v/>
      </c>
      <c r="F212" s="172"/>
      <c r="G212" s="55"/>
    </row>
    <row r="213" spans="2:9" x14ac:dyDescent="0.15">
      <c r="B213" s="53"/>
      <c r="C213" s="31"/>
      <c r="D213" s="40"/>
      <c r="E213" s="41"/>
      <c r="F213" s="40"/>
      <c r="G213" s="55"/>
    </row>
    <row r="214" spans="2:9" x14ac:dyDescent="0.15">
      <c r="B214" s="53"/>
      <c r="C214" s="31" t="s">
        <v>74</v>
      </c>
      <c r="D214" s="40"/>
      <c r="E214" s="41"/>
      <c r="F214" s="40"/>
      <c r="G214" s="55"/>
      <c r="I214" s="47" t="s">
        <v>75</v>
      </c>
    </row>
    <row r="215" spans="2:9" ht="19.5" x14ac:dyDescent="0.15">
      <c r="B215" s="53"/>
      <c r="C215" s="31" t="s">
        <v>76</v>
      </c>
      <c r="D215" s="99"/>
      <c r="E215" s="41"/>
      <c r="F215" s="40"/>
      <c r="G215" s="55"/>
      <c r="I215" s="114" t="str">
        <f>IF(D215="","×","○")</f>
        <v>×</v>
      </c>
    </row>
    <row r="216" spans="2:9" ht="19.5" x14ac:dyDescent="0.15">
      <c r="B216" s="53"/>
      <c r="C216" s="31" t="s">
        <v>77</v>
      </c>
      <c r="D216" s="99"/>
      <c r="E216" s="41"/>
      <c r="F216" s="40"/>
      <c r="G216" s="55"/>
      <c r="I216" s="114" t="str">
        <f>IF(D216="","×","○")</f>
        <v>×</v>
      </c>
    </row>
    <row r="217" spans="2:9" ht="19.5" x14ac:dyDescent="0.15">
      <c r="B217" s="53"/>
      <c r="C217" s="31" t="s">
        <v>78</v>
      </c>
      <c r="D217" s="99"/>
      <c r="E217" s="41"/>
      <c r="F217" s="40"/>
      <c r="G217" s="55"/>
      <c r="I217" s="114" t="str">
        <f>IF(D217="","×","○")</f>
        <v>×</v>
      </c>
    </row>
    <row r="218" spans="2:9" ht="19.5" x14ac:dyDescent="0.15">
      <c r="B218" s="53"/>
      <c r="C218" s="31" t="s">
        <v>79</v>
      </c>
      <c r="D218" s="99"/>
      <c r="E218" s="51"/>
      <c r="F218" s="40"/>
      <c r="G218" s="55"/>
      <c r="I218" s="114" t="str">
        <f>IF(D218="","×","○")</f>
        <v>×</v>
      </c>
    </row>
    <row r="219" spans="2:9" ht="19.5" x14ac:dyDescent="0.15">
      <c r="B219" s="53"/>
      <c r="C219" s="31"/>
      <c r="D219" s="40"/>
      <c r="E219" s="41"/>
      <c r="F219" s="40"/>
      <c r="G219" s="55"/>
      <c r="I219" s="114"/>
    </row>
    <row r="220" spans="2:9" ht="19.5" thickBot="1" x14ac:dyDescent="0.2">
      <c r="B220" s="56"/>
      <c r="C220" s="57"/>
      <c r="D220" s="58"/>
      <c r="E220" s="59"/>
      <c r="F220" s="58"/>
      <c r="G220" s="38"/>
    </row>
    <row r="221" spans="2:9" x14ac:dyDescent="0.15">
      <c r="C221" s="31"/>
      <c r="D221" s="40"/>
      <c r="E221" s="41"/>
      <c r="F221" s="40"/>
      <c r="G221" s="40"/>
    </row>
    <row r="222" spans="2:9" x14ac:dyDescent="0.15">
      <c r="B222" s="317"/>
      <c r="C222" s="60" t="s">
        <v>80</v>
      </c>
      <c r="D222" s="40"/>
      <c r="E222" s="41"/>
      <c r="F222" s="40"/>
      <c r="G222" s="40"/>
    </row>
    <row r="223" spans="2:9" x14ac:dyDescent="0.15">
      <c r="B223" s="60" t="s">
        <v>81</v>
      </c>
      <c r="C223" s="318"/>
      <c r="D223" s="317"/>
      <c r="E223" s="317"/>
      <c r="F223" s="317"/>
      <c r="G223" s="40"/>
    </row>
    <row r="224" spans="2:9" ht="49.5" customHeight="1" x14ac:dyDescent="0.15">
      <c r="B224" s="343" t="s">
        <v>82</v>
      </c>
      <c r="C224" s="343"/>
      <c r="D224" s="343"/>
      <c r="E224" s="343"/>
      <c r="F224" s="343"/>
      <c r="G224" s="343"/>
    </row>
    <row r="225" spans="2:7" x14ac:dyDescent="0.15">
      <c r="B225" s="61" t="s">
        <v>83</v>
      </c>
      <c r="C225" s="318"/>
      <c r="D225" s="317"/>
      <c r="E225" s="317"/>
      <c r="F225" s="317"/>
      <c r="G225" s="317"/>
    </row>
    <row r="226" spans="2:7" x14ac:dyDescent="0.15">
      <c r="B226" s="61" t="s">
        <v>84</v>
      </c>
      <c r="C226" s="318"/>
      <c r="D226" s="317"/>
      <c r="E226" s="317"/>
      <c r="F226" s="317"/>
      <c r="G226" s="317"/>
    </row>
    <row r="227" spans="2:7" x14ac:dyDescent="0.15">
      <c r="B227" s="61" t="s">
        <v>85</v>
      </c>
      <c r="C227" s="318"/>
      <c r="D227" s="317"/>
      <c r="E227" s="317"/>
      <c r="F227" s="317"/>
      <c r="G227" s="317"/>
    </row>
    <row r="303" ht="19.5" customHeight="1" x14ac:dyDescent="0.15"/>
    <row r="332" spans="9:9" x14ac:dyDescent="0.15">
      <c r="I332" s="47"/>
    </row>
    <row r="333" spans="9:9" ht="19.5" x14ac:dyDescent="0.15">
      <c r="I333" s="114"/>
    </row>
    <row r="334" spans="9:9" ht="19.5" x14ac:dyDescent="0.15">
      <c r="I334" s="114"/>
    </row>
    <row r="335" spans="9:9" ht="19.5" x14ac:dyDescent="0.15">
      <c r="I335" s="114"/>
    </row>
    <row r="336" spans="9:9" ht="19.5" x14ac:dyDescent="0.15">
      <c r="I336" s="114"/>
    </row>
    <row r="342" ht="50.25" customHeight="1" x14ac:dyDescent="0.15"/>
    <row r="343" ht="18.75" customHeight="1" x14ac:dyDescent="0.15"/>
    <row r="344" ht="18.75" customHeight="1" x14ac:dyDescent="0.15"/>
    <row r="345" ht="18.75" customHeight="1" x14ac:dyDescent="0.15"/>
  </sheetData>
  <sheetProtection algorithmName="SHA-512" hashValue="MtzGUjIq6qZMSVU052uagWW3GDNrKBB/hG/tvcJiQPiTnILn6Siaw9UV7oTyRrPFLJjgzPTF8q4ILPzfEOfm6Q==" saltValue="yZ3+ufY4zcB5wB/4sEv+4g==" spinCount="100000" sheet="1" formatCells="0"/>
  <protectedRanges>
    <protectedRange sqref="D215:D218" name="範囲1"/>
  </protectedRanges>
  <mergeCells count="35">
    <mergeCell ref="C172:C186"/>
    <mergeCell ref="C187:C197"/>
    <mergeCell ref="C198:C207"/>
    <mergeCell ref="C208:C212"/>
    <mergeCell ref="C133:C137"/>
    <mergeCell ref="C138:C142"/>
    <mergeCell ref="C143:C152"/>
    <mergeCell ref="C153:C166"/>
    <mergeCell ref="C167:C171"/>
    <mergeCell ref="C89:C93"/>
    <mergeCell ref="C94:C101"/>
    <mergeCell ref="C102:C106"/>
    <mergeCell ref="C107:C127"/>
    <mergeCell ref="C128:C132"/>
    <mergeCell ref="C54:C58"/>
    <mergeCell ref="C59:C63"/>
    <mergeCell ref="C64:C73"/>
    <mergeCell ref="C74:C81"/>
    <mergeCell ref="C82:C88"/>
    <mergeCell ref="B224:G224"/>
    <mergeCell ref="C9:F9"/>
    <mergeCell ref="C10:F10"/>
    <mergeCell ref="B4:G4"/>
    <mergeCell ref="C2:F2"/>
    <mergeCell ref="C5:F5"/>
    <mergeCell ref="C6:F6"/>
    <mergeCell ref="C7:F7"/>
    <mergeCell ref="C8:F8"/>
    <mergeCell ref="C14:C18"/>
    <mergeCell ref="C19:C23"/>
    <mergeCell ref="C24:C33"/>
    <mergeCell ref="C34:C38"/>
    <mergeCell ref="C39:C43"/>
    <mergeCell ref="C44:C48"/>
    <mergeCell ref="C49:C53"/>
  </mergeCells>
  <phoneticPr fontId="7"/>
  <conditionalFormatting sqref="C14 C19 C24 C34 C39 C44 C49 C54 C59 C64 C74 C82 C89 C94 C102 C107:C112 C128 C133 C138 C143 C153 C167 C172 C187:C192 C198 C208">
    <cfRule type="expression" dxfId="18" priority="1">
      <formula>$R$12="×"</formula>
    </cfRule>
  </conditionalFormatting>
  <pageMargins left="0.75" right="0.75" top="1" bottom="1" header="0.5" footer="0.5"/>
  <pageSetup paperSize="9" scale="83" fitToHeight="0" orientation="portrait" r:id="rId1"/>
  <rowBreaks count="4" manualBreakCount="4">
    <brk id="46" max="7" man="1"/>
    <brk id="93" max="7" man="1"/>
    <brk id="141" max="7" man="1"/>
    <brk id="18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Z362"/>
  <sheetViews>
    <sheetView showGridLines="0" view="pageBreakPreview" zoomScale="60" zoomScaleNormal="60" workbookViewId="0">
      <selection activeCell="B1" sqref="B1:K1"/>
    </sheetView>
  </sheetViews>
  <sheetFormatPr defaultColWidth="9" defaultRowHeight="17.25" x14ac:dyDescent="0.15"/>
  <cols>
    <col min="1" max="1" width="1.625" customWidth="1"/>
    <col min="2" max="2" width="34.75" style="106" customWidth="1"/>
    <col min="3" max="3" width="28.25" customWidth="1"/>
    <col min="4" max="4" width="44.875" customWidth="1"/>
    <col min="5" max="6" width="8.375" customWidth="1"/>
    <col min="7" max="7" width="10.375" customWidth="1"/>
    <col min="8" max="8" width="28" customWidth="1"/>
    <col min="9" max="9" width="44.875" customWidth="1"/>
    <col min="10" max="11" width="8.375" customWidth="1"/>
    <col min="12" max="13" width="2.625" customWidth="1"/>
    <col min="14" max="14" width="9.375" customWidth="1"/>
    <col min="15" max="18" width="9.375" style="3" customWidth="1"/>
    <col min="19" max="19" width="9.375" customWidth="1"/>
    <col min="25" max="25" width="9" customWidth="1"/>
  </cols>
  <sheetData>
    <row r="1" spans="2:25" ht="41.25" customHeight="1" thickBot="1" x14ac:dyDescent="0.2">
      <c r="B1" s="418" t="s">
        <v>86</v>
      </c>
      <c r="C1" s="418"/>
      <c r="D1" s="418"/>
      <c r="E1" s="418"/>
      <c r="F1" s="418"/>
      <c r="G1" s="418"/>
      <c r="H1" s="418"/>
      <c r="I1" s="418"/>
      <c r="J1" s="418"/>
      <c r="K1" s="418"/>
      <c r="O1" s="1" t="str">
        <f>IF(COUNTIF(Q:Q,"×")&gt;0,"×","○")</f>
        <v>×</v>
      </c>
      <c r="P1" s="2" t="s">
        <v>87</v>
      </c>
    </row>
    <row r="2" spans="2:25" ht="54.75" customHeight="1" x14ac:dyDescent="0.15">
      <c r="B2" s="409" t="s">
        <v>88</v>
      </c>
      <c r="C2" s="409"/>
      <c r="D2" s="409"/>
      <c r="E2" s="409"/>
      <c r="F2" s="409"/>
      <c r="G2" s="409"/>
      <c r="H2" s="409"/>
      <c r="I2" s="409"/>
      <c r="J2" s="409"/>
      <c r="K2" s="409"/>
      <c r="O2" s="75"/>
    </row>
    <row r="3" spans="2:25" x14ac:dyDescent="0.15">
      <c r="C3" s="5"/>
      <c r="H3" s="5"/>
    </row>
    <row r="4" spans="2:25" ht="24" x14ac:dyDescent="0.15">
      <c r="B4" s="4" t="s">
        <v>89</v>
      </c>
      <c r="C4" s="4"/>
      <c r="H4" s="5"/>
      <c r="O4" s="67"/>
    </row>
    <row r="5" spans="2:25" ht="50.25" customHeight="1" x14ac:dyDescent="0.15">
      <c r="B5" s="408" t="str">
        <f>IF(O1="×","変更後の「授業科目名」「単位数」を入力してください。"&amp;CHAR(10)&amp;"（黄色背景） 未入力 または 基準の単位数を満たしていない部分です。","")</f>
        <v>変更後の「授業科目名」「単位数」を入力してください。
（黄色背景） 未入力 または 基準の単位数を満たしていない部分です。</v>
      </c>
      <c r="C5" s="408"/>
      <c r="D5" s="408"/>
      <c r="E5" s="408"/>
      <c r="F5" s="408"/>
      <c r="G5" s="6"/>
      <c r="H5" s="6"/>
      <c r="I5" s="6"/>
      <c r="J5" s="6"/>
      <c r="K5" s="6"/>
      <c r="N5" s="67"/>
      <c r="R5"/>
    </row>
    <row r="6" spans="2:25" x14ac:dyDescent="0.15">
      <c r="C6" s="5"/>
      <c r="H6" s="5"/>
      <c r="O6" s="67"/>
    </row>
    <row r="7" spans="2:25" ht="30" customHeight="1" x14ac:dyDescent="0.15">
      <c r="B7" s="185" t="s">
        <v>90</v>
      </c>
      <c r="C7" s="186" t="s">
        <v>770</v>
      </c>
      <c r="D7" s="187"/>
      <c r="E7" s="187"/>
      <c r="F7" s="188"/>
      <c r="H7" s="189" t="s">
        <v>91</v>
      </c>
      <c r="I7" s="187"/>
      <c r="J7" s="187"/>
      <c r="K7" s="188"/>
      <c r="O7" s="67"/>
    </row>
    <row r="8" spans="2:25" ht="14.25" customHeight="1" x14ac:dyDescent="0.15">
      <c r="C8" s="5"/>
      <c r="H8" s="5"/>
      <c r="O8" s="67"/>
    </row>
    <row r="9" spans="2:25" ht="18" thickBot="1" x14ac:dyDescent="0.2">
      <c r="B9" s="7" t="s">
        <v>92</v>
      </c>
      <c r="C9" s="7"/>
      <c r="H9" s="7" t="s">
        <v>92</v>
      </c>
      <c r="O9" s="67"/>
    </row>
    <row r="10" spans="2:25" s="9" customFormat="1" ht="39.950000000000003" customHeight="1" x14ac:dyDescent="0.15">
      <c r="B10" s="395" t="s">
        <v>93</v>
      </c>
      <c r="C10" s="373" t="s">
        <v>29</v>
      </c>
      <c r="D10" s="375" t="s">
        <v>94</v>
      </c>
      <c r="E10" s="380" t="s">
        <v>95</v>
      </c>
      <c r="F10" s="377" t="s">
        <v>96</v>
      </c>
      <c r="G10" s="8"/>
      <c r="H10" s="382" t="s">
        <v>29</v>
      </c>
      <c r="I10" s="378" t="s">
        <v>94</v>
      </c>
      <c r="J10" s="410" t="s">
        <v>97</v>
      </c>
      <c r="K10" s="411"/>
      <c r="O10" s="75"/>
      <c r="P10" s="2"/>
      <c r="Q10" s="2"/>
      <c r="R10" s="3"/>
    </row>
    <row r="11" spans="2:25" s="9" customFormat="1" ht="39.950000000000003" customHeight="1" thickBot="1" x14ac:dyDescent="0.2">
      <c r="B11" s="396"/>
      <c r="C11" s="374"/>
      <c r="D11" s="376"/>
      <c r="E11" s="381"/>
      <c r="F11" s="374"/>
      <c r="G11" s="8"/>
      <c r="H11" s="383"/>
      <c r="I11" s="379"/>
      <c r="J11" s="412"/>
      <c r="K11" s="413"/>
      <c r="O11" s="10" t="s">
        <v>98</v>
      </c>
      <c r="P11" s="11" t="s">
        <v>99</v>
      </c>
      <c r="Q11" s="2" t="s">
        <v>100</v>
      </c>
      <c r="R11" s="2"/>
      <c r="S11" s="2"/>
    </row>
    <row r="12" spans="2:25" s="9" customFormat="1" ht="18.75" customHeight="1" x14ac:dyDescent="0.15">
      <c r="B12" s="400" t="s">
        <v>101</v>
      </c>
      <c r="C12" s="368" t="s">
        <v>32</v>
      </c>
      <c r="D12" s="118"/>
      <c r="E12" s="159"/>
      <c r="F12" s="373">
        <v>6</v>
      </c>
      <c r="G12" s="8"/>
      <c r="H12" s="363" t="s">
        <v>32</v>
      </c>
      <c r="I12" s="178"/>
      <c r="J12" s="361"/>
      <c r="K12" s="362"/>
      <c r="N12" s="76" t="s">
        <v>102</v>
      </c>
      <c r="O12" s="10">
        <f>SUM(E12:E16)</f>
        <v>0</v>
      </c>
      <c r="P12" s="11">
        <f>F12</f>
        <v>6</v>
      </c>
      <c r="Q12" s="197" t="str">
        <f>IF(OR(O12+O17+O22&lt;P12,O12=0,O17=0,O22=0),"×","")</f>
        <v>×</v>
      </c>
      <c r="R12" s="140" t="str">
        <f>B12</f>
        <v>人体の構造及び機能に該当する科目</v>
      </c>
      <c r="S12" s="190"/>
      <c r="T12" s="190"/>
      <c r="U12" s="190"/>
      <c r="V12" s="191"/>
      <c r="Y12" s="94"/>
    </row>
    <row r="13" spans="2:25" s="9" customFormat="1" ht="18.75" customHeight="1" x14ac:dyDescent="0.15">
      <c r="B13" s="401"/>
      <c r="C13" s="369"/>
      <c r="D13" s="192"/>
      <c r="E13" s="149"/>
      <c r="F13" s="414"/>
      <c r="G13" s="8"/>
      <c r="H13" s="364"/>
      <c r="I13" s="170"/>
      <c r="J13" s="354"/>
      <c r="K13" s="355"/>
      <c r="N13" s="76"/>
      <c r="O13" s="10"/>
      <c r="P13" s="11"/>
      <c r="Q13" s="10"/>
      <c r="R13" s="3"/>
      <c r="Y13" s="94"/>
    </row>
    <row r="14" spans="2:25" s="9" customFormat="1" ht="18.75" customHeight="1" x14ac:dyDescent="0.15">
      <c r="B14" s="401"/>
      <c r="C14" s="369"/>
      <c r="D14" s="192"/>
      <c r="E14" s="149"/>
      <c r="F14" s="414"/>
      <c r="G14" s="8"/>
      <c r="H14" s="364"/>
      <c r="I14" s="170"/>
      <c r="J14" s="354"/>
      <c r="K14" s="355"/>
      <c r="N14" s="76"/>
      <c r="O14" s="10"/>
      <c r="P14" s="11"/>
      <c r="Q14" s="10"/>
      <c r="R14" s="3"/>
      <c r="Y14" s="94"/>
    </row>
    <row r="15" spans="2:25" s="9" customFormat="1" ht="18.75" customHeight="1" x14ac:dyDescent="0.15">
      <c r="B15" s="401"/>
      <c r="C15" s="369"/>
      <c r="D15" s="192"/>
      <c r="E15" s="149"/>
      <c r="F15" s="414"/>
      <c r="G15" s="8"/>
      <c r="H15" s="364"/>
      <c r="I15" s="170"/>
      <c r="J15" s="354"/>
      <c r="K15" s="355"/>
      <c r="N15" s="76"/>
      <c r="O15" s="10"/>
      <c r="P15" s="11"/>
      <c r="Q15" s="10"/>
      <c r="R15" s="3"/>
      <c r="Y15" s="94"/>
    </row>
    <row r="16" spans="2:25" s="9" customFormat="1" ht="18.75" customHeight="1" thickBot="1" x14ac:dyDescent="0.2">
      <c r="B16" s="401"/>
      <c r="C16" s="370"/>
      <c r="D16" s="160"/>
      <c r="E16" s="143"/>
      <c r="F16" s="414"/>
      <c r="G16" s="8"/>
      <c r="H16" s="365"/>
      <c r="I16" s="164"/>
      <c r="J16" s="352"/>
      <c r="K16" s="353"/>
      <c r="N16" s="76"/>
      <c r="O16" s="10"/>
      <c r="P16" s="11"/>
      <c r="Q16" s="10"/>
      <c r="R16" s="3"/>
      <c r="Y16" s="94"/>
    </row>
    <row r="17" spans="2:25" s="9" customFormat="1" ht="18.75" x14ac:dyDescent="0.15">
      <c r="B17" s="401"/>
      <c r="C17" s="368" t="s">
        <v>33</v>
      </c>
      <c r="D17" s="118"/>
      <c r="E17" s="159"/>
      <c r="F17" s="414"/>
      <c r="G17" s="8"/>
      <c r="H17" s="363" t="s">
        <v>33</v>
      </c>
      <c r="I17" s="178"/>
      <c r="J17" s="361"/>
      <c r="K17" s="362"/>
      <c r="N17" s="76" t="s">
        <v>103</v>
      </c>
      <c r="O17" s="10">
        <f>SUM(E17:E21)</f>
        <v>0</v>
      </c>
      <c r="P17" s="11"/>
      <c r="Q17" s="2"/>
      <c r="R17" s="3"/>
      <c r="Y17" s="94"/>
    </row>
    <row r="18" spans="2:25" s="9" customFormat="1" ht="18.75" x14ac:dyDescent="0.15">
      <c r="B18" s="401"/>
      <c r="C18" s="369"/>
      <c r="D18" s="162"/>
      <c r="E18" s="150"/>
      <c r="F18" s="414"/>
      <c r="G18" s="8"/>
      <c r="H18" s="364"/>
      <c r="I18" s="170"/>
      <c r="J18" s="354"/>
      <c r="K18" s="355"/>
      <c r="N18" s="76"/>
      <c r="O18" s="10"/>
      <c r="P18" s="11"/>
      <c r="Q18" s="2"/>
      <c r="R18" s="3"/>
      <c r="Y18" s="94"/>
    </row>
    <row r="19" spans="2:25" s="9" customFormat="1" ht="18.75" x14ac:dyDescent="0.15">
      <c r="B19" s="401"/>
      <c r="C19" s="369"/>
      <c r="D19" s="162"/>
      <c r="E19" s="150"/>
      <c r="F19" s="414"/>
      <c r="G19" s="8"/>
      <c r="H19" s="364"/>
      <c r="I19" s="170"/>
      <c r="J19" s="354"/>
      <c r="K19" s="355"/>
      <c r="N19" s="76"/>
      <c r="O19" s="10"/>
      <c r="P19" s="11"/>
      <c r="Q19" s="2"/>
      <c r="R19" s="3"/>
      <c r="Y19" s="94"/>
    </row>
    <row r="20" spans="2:25" s="9" customFormat="1" ht="18.75" x14ac:dyDescent="0.15">
      <c r="B20" s="401"/>
      <c r="C20" s="369"/>
      <c r="D20" s="162"/>
      <c r="E20" s="150"/>
      <c r="F20" s="414"/>
      <c r="G20" s="8"/>
      <c r="H20" s="364"/>
      <c r="I20" s="170"/>
      <c r="J20" s="354"/>
      <c r="K20" s="355"/>
      <c r="N20" s="76"/>
      <c r="O20" s="10"/>
      <c r="P20" s="11"/>
      <c r="Q20" s="2"/>
      <c r="R20" s="3"/>
      <c r="Y20" s="94"/>
    </row>
    <row r="21" spans="2:25" s="9" customFormat="1" ht="19.5" thickBot="1" x14ac:dyDescent="0.2">
      <c r="B21" s="401"/>
      <c r="C21" s="370"/>
      <c r="D21" s="119"/>
      <c r="E21" s="163"/>
      <c r="F21" s="414"/>
      <c r="G21" s="8"/>
      <c r="H21" s="365"/>
      <c r="I21" s="164"/>
      <c r="J21" s="352"/>
      <c r="K21" s="353"/>
      <c r="N21" s="76"/>
      <c r="O21" s="10"/>
      <c r="P21" s="11"/>
      <c r="Q21" s="2"/>
      <c r="R21" s="3"/>
      <c r="Y21" s="94"/>
    </row>
    <row r="22" spans="2:25" s="9" customFormat="1" ht="18.75" x14ac:dyDescent="0.15">
      <c r="B22" s="401"/>
      <c r="C22" s="369" t="s">
        <v>104</v>
      </c>
      <c r="D22" s="145"/>
      <c r="E22" s="146"/>
      <c r="F22" s="414"/>
      <c r="G22" s="152"/>
      <c r="H22" s="364" t="s">
        <v>104</v>
      </c>
      <c r="I22" s="171"/>
      <c r="J22" s="366"/>
      <c r="K22" s="367"/>
      <c r="N22" s="76" t="s">
        <v>105</v>
      </c>
      <c r="O22" s="10">
        <f>SUM(E22:E26)</f>
        <v>0</v>
      </c>
      <c r="P22" s="11"/>
      <c r="Q22" s="2"/>
      <c r="R22" s="3"/>
      <c r="Y22" s="94"/>
    </row>
    <row r="23" spans="2:25" s="9" customFormat="1" ht="18.75" x14ac:dyDescent="0.15">
      <c r="B23" s="401"/>
      <c r="C23" s="369"/>
      <c r="D23" s="151"/>
      <c r="E23" s="170"/>
      <c r="F23" s="414"/>
      <c r="G23" s="152"/>
      <c r="H23" s="364"/>
      <c r="I23" s="170"/>
      <c r="J23" s="354"/>
      <c r="K23" s="355"/>
      <c r="N23" s="76"/>
      <c r="O23" s="10"/>
      <c r="P23" s="11"/>
      <c r="Q23" s="2"/>
      <c r="R23" s="3"/>
      <c r="Y23" s="94"/>
    </row>
    <row r="24" spans="2:25" s="9" customFormat="1" ht="18.75" x14ac:dyDescent="0.15">
      <c r="B24" s="401"/>
      <c r="C24" s="369"/>
      <c r="D24" s="151"/>
      <c r="E24" s="170"/>
      <c r="F24" s="414"/>
      <c r="G24" s="152"/>
      <c r="H24" s="364"/>
      <c r="I24" s="170"/>
      <c r="J24" s="354"/>
      <c r="K24" s="355"/>
      <c r="N24" s="76"/>
      <c r="O24" s="10"/>
      <c r="P24" s="11"/>
      <c r="Q24" s="2"/>
      <c r="R24" s="3"/>
      <c r="Y24" s="94"/>
    </row>
    <row r="25" spans="2:25" s="9" customFormat="1" ht="18.75" x14ac:dyDescent="0.15">
      <c r="B25" s="401"/>
      <c r="C25" s="369"/>
      <c r="D25" s="176"/>
      <c r="E25" s="167"/>
      <c r="F25" s="414"/>
      <c r="G25" s="152"/>
      <c r="H25" s="364"/>
      <c r="I25" s="170"/>
      <c r="J25" s="354"/>
      <c r="K25" s="355"/>
      <c r="N25" s="76"/>
      <c r="O25" s="10"/>
      <c r="P25" s="11"/>
      <c r="Q25" s="2"/>
      <c r="R25" s="3"/>
      <c r="Y25" s="94"/>
    </row>
    <row r="26" spans="2:25" s="9" customFormat="1" ht="19.5" thickBot="1" x14ac:dyDescent="0.2">
      <c r="B26" s="402"/>
      <c r="C26" s="370"/>
      <c r="D26" s="153"/>
      <c r="E26" s="164"/>
      <c r="F26" s="415"/>
      <c r="G26" s="152"/>
      <c r="H26" s="365"/>
      <c r="I26" s="164"/>
      <c r="J26" s="352"/>
      <c r="K26" s="353"/>
      <c r="N26" s="76"/>
      <c r="O26" s="10"/>
      <c r="P26" s="11"/>
      <c r="Q26" s="2"/>
      <c r="R26" s="3"/>
      <c r="Y26" s="94"/>
    </row>
    <row r="27" spans="2:25" s="9" customFormat="1" ht="18.75" customHeight="1" x14ac:dyDescent="0.15">
      <c r="B27" s="400" t="s">
        <v>106</v>
      </c>
      <c r="C27" s="368" t="s">
        <v>35</v>
      </c>
      <c r="D27" s="118"/>
      <c r="E27" s="159"/>
      <c r="F27" s="385">
        <v>9</v>
      </c>
      <c r="G27" s="152"/>
      <c r="H27" s="363" t="s">
        <v>35</v>
      </c>
      <c r="I27" s="178"/>
      <c r="J27" s="361"/>
      <c r="K27" s="362"/>
      <c r="N27" s="76" t="s">
        <v>107</v>
      </c>
      <c r="O27" s="10">
        <f>SUM(E27:E31)</f>
        <v>0</v>
      </c>
      <c r="P27" s="120">
        <f>F27</f>
        <v>9</v>
      </c>
      <c r="Q27" s="197" t="str">
        <f>IF(OR(O27+O32+O37+O42+O47+O52+O57+O62&lt;P27,O27=0,O32=0,O37=0,O42=0,O47=0,O52=0,O57=0,O62=0),"×","")</f>
        <v>×</v>
      </c>
      <c r="R27" s="140" t="str">
        <f>B27</f>
        <v>臨床工学に必要な医学的基礎に該当する科目</v>
      </c>
      <c r="S27" s="193"/>
      <c r="T27" s="194"/>
      <c r="U27" s="190"/>
      <c r="V27" s="191"/>
      <c r="Y27" s="94"/>
    </row>
    <row r="28" spans="2:25" s="9" customFormat="1" ht="18.75" x14ac:dyDescent="0.15">
      <c r="B28" s="401"/>
      <c r="C28" s="369"/>
      <c r="D28" s="192"/>
      <c r="E28" s="149"/>
      <c r="F28" s="386"/>
      <c r="G28" s="152"/>
      <c r="H28" s="364"/>
      <c r="I28" s="170"/>
      <c r="J28" s="354"/>
      <c r="K28" s="355"/>
      <c r="N28" s="76"/>
      <c r="O28" s="10"/>
      <c r="P28" s="11"/>
      <c r="Q28" s="10"/>
      <c r="R28" s="3"/>
      <c r="S28" s="3"/>
      <c r="T28" s="3"/>
      <c r="Y28" s="94"/>
    </row>
    <row r="29" spans="2:25" s="9" customFormat="1" ht="18.75" x14ac:dyDescent="0.15">
      <c r="B29" s="401"/>
      <c r="C29" s="369"/>
      <c r="D29" s="192"/>
      <c r="E29" s="149"/>
      <c r="F29" s="386"/>
      <c r="G29" s="152"/>
      <c r="H29" s="364"/>
      <c r="I29" s="170"/>
      <c r="J29" s="354"/>
      <c r="K29" s="355"/>
      <c r="N29" s="76"/>
      <c r="O29" s="10"/>
      <c r="P29" s="11"/>
      <c r="Q29" s="10"/>
      <c r="R29" s="3"/>
      <c r="S29" s="3"/>
      <c r="T29" s="3"/>
      <c r="Y29" s="94"/>
    </row>
    <row r="30" spans="2:25" s="9" customFormat="1" ht="18.75" x14ac:dyDescent="0.15">
      <c r="B30" s="401"/>
      <c r="C30" s="369"/>
      <c r="D30" s="192"/>
      <c r="E30" s="149"/>
      <c r="F30" s="386"/>
      <c r="G30" s="152"/>
      <c r="H30" s="364"/>
      <c r="I30" s="170"/>
      <c r="J30" s="354"/>
      <c r="K30" s="355"/>
      <c r="N30" s="76"/>
      <c r="O30" s="10"/>
      <c r="P30" s="11"/>
      <c r="Q30" s="10"/>
      <c r="R30" s="3"/>
      <c r="S30" s="3"/>
      <c r="T30" s="3"/>
      <c r="Y30" s="94"/>
    </row>
    <row r="31" spans="2:25" s="9" customFormat="1" ht="19.5" thickBot="1" x14ac:dyDescent="0.2">
      <c r="B31" s="401"/>
      <c r="C31" s="370"/>
      <c r="D31" s="160"/>
      <c r="E31" s="143"/>
      <c r="F31" s="386"/>
      <c r="G31" s="152"/>
      <c r="H31" s="365"/>
      <c r="I31" s="164"/>
      <c r="J31" s="352"/>
      <c r="K31" s="353"/>
      <c r="N31" s="76"/>
      <c r="O31" s="10"/>
      <c r="P31" s="11"/>
      <c r="Q31" s="10"/>
      <c r="R31" s="3"/>
      <c r="S31" s="3"/>
      <c r="T31" s="3"/>
      <c r="Y31" s="94"/>
    </row>
    <row r="32" spans="2:25" s="9" customFormat="1" ht="18.75" x14ac:dyDescent="0.15">
      <c r="B32" s="401"/>
      <c r="C32" s="369" t="s">
        <v>36</v>
      </c>
      <c r="D32" s="192"/>
      <c r="E32" s="149"/>
      <c r="F32" s="386"/>
      <c r="G32" s="152"/>
      <c r="H32" s="363" t="s">
        <v>36</v>
      </c>
      <c r="I32" s="178"/>
      <c r="J32" s="361"/>
      <c r="K32" s="362"/>
      <c r="N32" s="76" t="s">
        <v>108</v>
      </c>
      <c r="O32" s="10">
        <f>SUM(E32:E36)</f>
        <v>0</v>
      </c>
      <c r="P32" s="12"/>
      <c r="Q32" s="2"/>
      <c r="R32" s="3"/>
    </row>
    <row r="33" spans="2:18" s="9" customFormat="1" ht="18.75" x14ac:dyDescent="0.15">
      <c r="B33" s="401"/>
      <c r="C33" s="369"/>
      <c r="D33" s="165"/>
      <c r="E33" s="169"/>
      <c r="F33" s="386"/>
      <c r="G33" s="152"/>
      <c r="H33" s="364"/>
      <c r="I33" s="170"/>
      <c r="J33" s="354"/>
      <c r="K33" s="355"/>
      <c r="N33" s="76"/>
      <c r="O33" s="10"/>
      <c r="P33" s="12"/>
      <c r="Q33" s="2"/>
      <c r="R33" s="3"/>
    </row>
    <row r="34" spans="2:18" s="9" customFormat="1" ht="18.75" x14ac:dyDescent="0.15">
      <c r="B34" s="401"/>
      <c r="C34" s="369"/>
      <c r="D34" s="165"/>
      <c r="E34" s="169"/>
      <c r="F34" s="386"/>
      <c r="G34" s="152"/>
      <c r="H34" s="364"/>
      <c r="I34" s="170"/>
      <c r="J34" s="354"/>
      <c r="K34" s="355"/>
      <c r="N34" s="76"/>
      <c r="O34" s="10"/>
      <c r="P34" s="12"/>
      <c r="Q34" s="2"/>
      <c r="R34" s="3"/>
    </row>
    <row r="35" spans="2:18" s="9" customFormat="1" ht="18.75" x14ac:dyDescent="0.15">
      <c r="B35" s="401"/>
      <c r="C35" s="369"/>
      <c r="D35" s="165"/>
      <c r="E35" s="169"/>
      <c r="F35" s="386"/>
      <c r="G35" s="152"/>
      <c r="H35" s="364"/>
      <c r="I35" s="170"/>
      <c r="J35" s="354"/>
      <c r="K35" s="355"/>
      <c r="N35" s="76"/>
      <c r="O35" s="10"/>
      <c r="P35" s="12"/>
      <c r="Q35" s="2"/>
      <c r="R35" s="3"/>
    </row>
    <row r="36" spans="2:18" s="9" customFormat="1" ht="19.5" thickBot="1" x14ac:dyDescent="0.2">
      <c r="B36" s="401"/>
      <c r="C36" s="370"/>
      <c r="D36" s="119"/>
      <c r="E36" s="163"/>
      <c r="F36" s="386"/>
      <c r="G36" s="152"/>
      <c r="H36" s="365"/>
      <c r="I36" s="164"/>
      <c r="J36" s="352"/>
      <c r="K36" s="353"/>
      <c r="N36" s="76"/>
      <c r="O36" s="10"/>
      <c r="P36" s="12"/>
      <c r="Q36" s="2"/>
      <c r="R36" s="3"/>
    </row>
    <row r="37" spans="2:18" s="9" customFormat="1" ht="18.75" x14ac:dyDescent="0.15">
      <c r="B37" s="401"/>
      <c r="C37" s="368" t="s">
        <v>37</v>
      </c>
      <c r="D37" s="118"/>
      <c r="E37" s="159"/>
      <c r="F37" s="386"/>
      <c r="G37" s="8"/>
      <c r="H37" s="363" t="s">
        <v>37</v>
      </c>
      <c r="I37" s="178"/>
      <c r="J37" s="361"/>
      <c r="K37" s="362"/>
      <c r="N37" s="76" t="s">
        <v>109</v>
      </c>
      <c r="O37" s="10">
        <f>SUM(E37:E41)</f>
        <v>0</v>
      </c>
      <c r="P37" s="12"/>
      <c r="Q37" s="2"/>
      <c r="R37" s="3"/>
    </row>
    <row r="38" spans="2:18" s="9" customFormat="1" ht="18.75" x14ac:dyDescent="0.15">
      <c r="B38" s="401"/>
      <c r="C38" s="369"/>
      <c r="D38" s="192"/>
      <c r="E38" s="149"/>
      <c r="F38" s="386"/>
      <c r="G38" s="8"/>
      <c r="H38" s="364"/>
      <c r="I38" s="170"/>
      <c r="J38" s="354"/>
      <c r="K38" s="355"/>
      <c r="N38" s="76"/>
      <c r="O38" s="10"/>
      <c r="P38" s="12"/>
      <c r="Q38" s="2"/>
      <c r="R38" s="3"/>
    </row>
    <row r="39" spans="2:18" s="9" customFormat="1" ht="18.75" x14ac:dyDescent="0.15">
      <c r="B39" s="401"/>
      <c r="C39" s="369"/>
      <c r="D39" s="192"/>
      <c r="E39" s="149"/>
      <c r="F39" s="386"/>
      <c r="G39" s="8"/>
      <c r="H39" s="364"/>
      <c r="I39" s="170"/>
      <c r="J39" s="354"/>
      <c r="K39" s="355"/>
      <c r="N39" s="76"/>
      <c r="O39" s="10"/>
      <c r="P39" s="12"/>
      <c r="Q39" s="2"/>
      <c r="R39" s="3"/>
    </row>
    <row r="40" spans="2:18" s="9" customFormat="1" ht="18.75" x14ac:dyDescent="0.15">
      <c r="B40" s="401"/>
      <c r="C40" s="369"/>
      <c r="D40" s="192"/>
      <c r="E40" s="149"/>
      <c r="F40" s="386"/>
      <c r="G40" s="8"/>
      <c r="H40" s="364"/>
      <c r="I40" s="170"/>
      <c r="J40" s="354"/>
      <c r="K40" s="355"/>
      <c r="N40" s="76"/>
      <c r="O40" s="10"/>
      <c r="P40" s="12"/>
      <c r="Q40" s="2"/>
      <c r="R40" s="3"/>
    </row>
    <row r="41" spans="2:18" s="9" customFormat="1" ht="19.5" thickBot="1" x14ac:dyDescent="0.2">
      <c r="B41" s="401"/>
      <c r="C41" s="370"/>
      <c r="D41" s="160"/>
      <c r="E41" s="143"/>
      <c r="F41" s="386"/>
      <c r="G41" s="8"/>
      <c r="H41" s="365"/>
      <c r="I41" s="164"/>
      <c r="J41" s="352"/>
      <c r="K41" s="353"/>
      <c r="N41" s="76"/>
      <c r="O41" s="10"/>
      <c r="P41" s="12"/>
      <c r="Q41" s="2"/>
      <c r="R41" s="3"/>
    </row>
    <row r="42" spans="2:18" s="9" customFormat="1" ht="18.75" x14ac:dyDescent="0.15">
      <c r="B42" s="401"/>
      <c r="C42" s="368" t="s">
        <v>110</v>
      </c>
      <c r="D42" s="118"/>
      <c r="E42" s="159"/>
      <c r="F42" s="386"/>
      <c r="G42" s="8"/>
      <c r="H42" s="363" t="s">
        <v>110</v>
      </c>
      <c r="I42" s="178"/>
      <c r="J42" s="361"/>
      <c r="K42" s="362"/>
      <c r="N42" s="76" t="s">
        <v>111</v>
      </c>
      <c r="O42" s="10">
        <f>SUM(E42:E46)</f>
        <v>0</v>
      </c>
      <c r="P42" s="12"/>
      <c r="Q42" s="2"/>
      <c r="R42" s="3"/>
    </row>
    <row r="43" spans="2:18" s="9" customFormat="1" ht="18.75" x14ac:dyDescent="0.15">
      <c r="B43" s="401"/>
      <c r="C43" s="369"/>
      <c r="D43" s="192"/>
      <c r="E43" s="149"/>
      <c r="F43" s="386"/>
      <c r="G43" s="8"/>
      <c r="H43" s="364"/>
      <c r="I43" s="170"/>
      <c r="J43" s="354"/>
      <c r="K43" s="355"/>
      <c r="N43" s="76"/>
      <c r="O43" s="10"/>
      <c r="P43" s="12"/>
      <c r="Q43" s="2"/>
      <c r="R43" s="3"/>
    </row>
    <row r="44" spans="2:18" s="9" customFormat="1" ht="18.75" x14ac:dyDescent="0.15">
      <c r="B44" s="401"/>
      <c r="C44" s="369"/>
      <c r="D44" s="192"/>
      <c r="E44" s="149"/>
      <c r="F44" s="386"/>
      <c r="G44" s="8"/>
      <c r="H44" s="364"/>
      <c r="I44" s="170"/>
      <c r="J44" s="354"/>
      <c r="K44" s="355"/>
      <c r="N44" s="76"/>
      <c r="O44" s="10"/>
      <c r="P44" s="12"/>
      <c r="Q44" s="2"/>
      <c r="R44" s="3"/>
    </row>
    <row r="45" spans="2:18" s="9" customFormat="1" ht="18.75" x14ac:dyDescent="0.15">
      <c r="B45" s="401"/>
      <c r="C45" s="369"/>
      <c r="D45" s="192"/>
      <c r="E45" s="149"/>
      <c r="F45" s="386"/>
      <c r="G45" s="8"/>
      <c r="H45" s="364"/>
      <c r="I45" s="170"/>
      <c r="J45" s="354"/>
      <c r="K45" s="355"/>
      <c r="N45" s="76"/>
      <c r="O45" s="10"/>
      <c r="P45" s="12"/>
      <c r="Q45" s="2"/>
      <c r="R45" s="3"/>
    </row>
    <row r="46" spans="2:18" s="9" customFormat="1" ht="19.5" thickBot="1" x14ac:dyDescent="0.2">
      <c r="B46" s="401"/>
      <c r="C46" s="370"/>
      <c r="D46" s="160"/>
      <c r="E46" s="143"/>
      <c r="F46" s="386"/>
      <c r="G46" s="8"/>
      <c r="H46" s="365"/>
      <c r="I46" s="164"/>
      <c r="J46" s="352"/>
      <c r="K46" s="353"/>
      <c r="N46" s="76"/>
      <c r="O46" s="10"/>
      <c r="P46" s="12"/>
      <c r="Q46" s="2"/>
      <c r="R46" s="3"/>
    </row>
    <row r="47" spans="2:18" s="9" customFormat="1" ht="18.75" x14ac:dyDescent="0.15">
      <c r="B47" s="401"/>
      <c r="C47" s="368" t="s">
        <v>38</v>
      </c>
      <c r="D47" s="118"/>
      <c r="E47" s="159"/>
      <c r="F47" s="386"/>
      <c r="G47" s="8"/>
      <c r="H47" s="363" t="s">
        <v>38</v>
      </c>
      <c r="I47" s="178"/>
      <c r="J47" s="361"/>
      <c r="K47" s="362"/>
      <c r="N47" s="76" t="s">
        <v>112</v>
      </c>
      <c r="O47" s="10">
        <f>SUM(E47:E51)</f>
        <v>0</v>
      </c>
      <c r="P47" s="12"/>
      <c r="Q47" s="2"/>
      <c r="R47" s="3"/>
    </row>
    <row r="48" spans="2:18" s="9" customFormat="1" ht="18.75" x14ac:dyDescent="0.15">
      <c r="B48" s="401"/>
      <c r="C48" s="369"/>
      <c r="D48" s="192"/>
      <c r="E48" s="149"/>
      <c r="F48" s="386"/>
      <c r="G48" s="8"/>
      <c r="H48" s="364"/>
      <c r="I48" s="170"/>
      <c r="J48" s="354"/>
      <c r="K48" s="355"/>
      <c r="N48" s="76"/>
      <c r="O48" s="10"/>
      <c r="P48" s="12"/>
      <c r="Q48" s="2"/>
      <c r="R48" s="3"/>
    </row>
    <row r="49" spans="2:18" s="9" customFormat="1" ht="18.75" x14ac:dyDescent="0.15">
      <c r="B49" s="401"/>
      <c r="C49" s="369"/>
      <c r="D49" s="192"/>
      <c r="E49" s="149"/>
      <c r="F49" s="386"/>
      <c r="G49" s="8"/>
      <c r="H49" s="364"/>
      <c r="I49" s="170"/>
      <c r="J49" s="354"/>
      <c r="K49" s="355"/>
      <c r="N49" s="76"/>
      <c r="O49" s="10"/>
      <c r="P49" s="12"/>
      <c r="Q49" s="2"/>
      <c r="R49" s="3"/>
    </row>
    <row r="50" spans="2:18" s="9" customFormat="1" ht="18.75" x14ac:dyDescent="0.15">
      <c r="B50" s="401"/>
      <c r="C50" s="369"/>
      <c r="D50" s="192"/>
      <c r="E50" s="149"/>
      <c r="F50" s="386"/>
      <c r="G50" s="8"/>
      <c r="H50" s="364"/>
      <c r="I50" s="170"/>
      <c r="J50" s="354"/>
      <c r="K50" s="355"/>
      <c r="N50" s="76"/>
      <c r="O50" s="10"/>
      <c r="P50" s="12"/>
      <c r="Q50" s="2"/>
      <c r="R50" s="3"/>
    </row>
    <row r="51" spans="2:18" s="9" customFormat="1" ht="19.5" thickBot="1" x14ac:dyDescent="0.2">
      <c r="B51" s="401"/>
      <c r="C51" s="370"/>
      <c r="D51" s="160"/>
      <c r="E51" s="143"/>
      <c r="F51" s="386"/>
      <c r="G51" s="8"/>
      <c r="H51" s="365"/>
      <c r="I51" s="164"/>
      <c r="J51" s="352"/>
      <c r="K51" s="353"/>
      <c r="N51" s="76"/>
      <c r="O51" s="10"/>
      <c r="P51" s="12"/>
      <c r="Q51" s="2"/>
      <c r="R51" s="3"/>
    </row>
    <row r="52" spans="2:18" s="9" customFormat="1" ht="18.75" x14ac:dyDescent="0.15">
      <c r="B52" s="401"/>
      <c r="C52" s="368" t="s">
        <v>39</v>
      </c>
      <c r="D52" s="118"/>
      <c r="E52" s="159"/>
      <c r="F52" s="386"/>
      <c r="G52" s="8"/>
      <c r="H52" s="363" t="s">
        <v>39</v>
      </c>
      <c r="I52" s="178"/>
      <c r="J52" s="361"/>
      <c r="K52" s="362"/>
      <c r="N52" s="76" t="s">
        <v>113</v>
      </c>
      <c r="O52" s="10">
        <f>SUM(E52:E56)</f>
        <v>0</v>
      </c>
      <c r="P52" s="12"/>
      <c r="Q52" s="2"/>
      <c r="R52" s="3"/>
    </row>
    <row r="53" spans="2:18" s="9" customFormat="1" ht="18.75" x14ac:dyDescent="0.15">
      <c r="B53" s="401"/>
      <c r="C53" s="369"/>
      <c r="D53" s="192"/>
      <c r="E53" s="149"/>
      <c r="F53" s="386"/>
      <c r="G53" s="8"/>
      <c r="H53" s="364"/>
      <c r="I53" s="170"/>
      <c r="J53" s="354"/>
      <c r="K53" s="355"/>
      <c r="N53" s="76"/>
      <c r="O53" s="10"/>
      <c r="P53" s="12"/>
      <c r="Q53" s="2"/>
      <c r="R53" s="3"/>
    </row>
    <row r="54" spans="2:18" s="9" customFormat="1" ht="18.75" x14ac:dyDescent="0.15">
      <c r="B54" s="401"/>
      <c r="C54" s="369"/>
      <c r="D54" s="192"/>
      <c r="E54" s="149"/>
      <c r="F54" s="386"/>
      <c r="G54" s="8"/>
      <c r="H54" s="364"/>
      <c r="I54" s="170"/>
      <c r="J54" s="354"/>
      <c r="K54" s="355"/>
      <c r="N54" s="76"/>
      <c r="O54" s="10"/>
      <c r="P54" s="12"/>
      <c r="Q54" s="2"/>
      <c r="R54" s="3"/>
    </row>
    <row r="55" spans="2:18" s="9" customFormat="1" ht="18.75" x14ac:dyDescent="0.15">
      <c r="B55" s="401"/>
      <c r="C55" s="369"/>
      <c r="D55" s="192"/>
      <c r="E55" s="149"/>
      <c r="F55" s="386"/>
      <c r="G55" s="8"/>
      <c r="H55" s="364"/>
      <c r="I55" s="170"/>
      <c r="J55" s="354"/>
      <c r="K55" s="355"/>
      <c r="N55" s="76"/>
      <c r="O55" s="10"/>
      <c r="P55" s="12"/>
      <c r="Q55" s="2"/>
      <c r="R55" s="3"/>
    </row>
    <row r="56" spans="2:18" s="9" customFormat="1" ht="19.5" thickBot="1" x14ac:dyDescent="0.2">
      <c r="B56" s="401"/>
      <c r="C56" s="370"/>
      <c r="D56" s="160"/>
      <c r="E56" s="143"/>
      <c r="F56" s="386"/>
      <c r="G56" s="8"/>
      <c r="H56" s="365"/>
      <c r="I56" s="164"/>
      <c r="J56" s="352"/>
      <c r="K56" s="353"/>
      <c r="N56" s="76"/>
      <c r="O56" s="10"/>
      <c r="P56" s="12"/>
      <c r="Q56" s="2"/>
      <c r="R56" s="3"/>
    </row>
    <row r="57" spans="2:18" s="9" customFormat="1" ht="18.75" x14ac:dyDescent="0.15">
      <c r="B57" s="401"/>
      <c r="C57" s="368" t="s">
        <v>40</v>
      </c>
      <c r="D57" s="118"/>
      <c r="E57" s="159"/>
      <c r="F57" s="386"/>
      <c r="G57" s="8"/>
      <c r="H57" s="363" t="s">
        <v>40</v>
      </c>
      <c r="I57" s="178"/>
      <c r="J57" s="361"/>
      <c r="K57" s="362"/>
      <c r="N57" s="76" t="s">
        <v>114</v>
      </c>
      <c r="O57" s="10">
        <f>SUM(E57:E61)</f>
        <v>0</v>
      </c>
      <c r="P57" s="12"/>
      <c r="Q57" s="2"/>
      <c r="R57" s="3"/>
    </row>
    <row r="58" spans="2:18" s="9" customFormat="1" ht="18.75" x14ac:dyDescent="0.15">
      <c r="B58" s="401"/>
      <c r="C58" s="384"/>
      <c r="D58" s="154"/>
      <c r="E58" s="146"/>
      <c r="F58" s="386"/>
      <c r="G58" s="8"/>
      <c r="H58" s="364"/>
      <c r="I58" s="170"/>
      <c r="J58" s="354"/>
      <c r="K58" s="355"/>
      <c r="N58" s="76"/>
      <c r="O58" s="10"/>
      <c r="P58" s="12"/>
      <c r="Q58" s="2"/>
      <c r="R58" s="3"/>
    </row>
    <row r="59" spans="2:18" s="9" customFormat="1" ht="18.75" x14ac:dyDescent="0.15">
      <c r="B59" s="401"/>
      <c r="C59" s="384"/>
      <c r="D59" s="176"/>
      <c r="E59" s="170"/>
      <c r="F59" s="386"/>
      <c r="G59" s="8"/>
      <c r="H59" s="364"/>
      <c r="I59" s="170"/>
      <c r="J59" s="354"/>
      <c r="K59" s="355"/>
      <c r="N59" s="76"/>
      <c r="O59" s="10"/>
      <c r="P59" s="12"/>
      <c r="Q59" s="2"/>
      <c r="R59" s="3"/>
    </row>
    <row r="60" spans="2:18" s="9" customFormat="1" ht="18.75" x14ac:dyDescent="0.15">
      <c r="B60" s="401"/>
      <c r="C60" s="384"/>
      <c r="D60" s="176"/>
      <c r="E60" s="170"/>
      <c r="F60" s="386"/>
      <c r="G60" s="8"/>
      <c r="H60" s="364"/>
      <c r="I60" s="170"/>
      <c r="J60" s="354"/>
      <c r="K60" s="355"/>
      <c r="N60" s="76"/>
      <c r="O60" s="10"/>
      <c r="P60" s="12"/>
      <c r="Q60" s="2"/>
      <c r="R60" s="3"/>
    </row>
    <row r="61" spans="2:18" s="9" customFormat="1" ht="19.5" thickBot="1" x14ac:dyDescent="0.2">
      <c r="B61" s="401"/>
      <c r="C61" s="370"/>
      <c r="D61" s="160"/>
      <c r="E61" s="143"/>
      <c r="F61" s="386"/>
      <c r="G61" s="8"/>
      <c r="H61" s="365"/>
      <c r="I61" s="164"/>
      <c r="J61" s="352"/>
      <c r="K61" s="353"/>
      <c r="N61" s="76"/>
      <c r="O61" s="10"/>
      <c r="P61" s="12"/>
      <c r="Q61" s="2"/>
      <c r="R61" s="3"/>
    </row>
    <row r="62" spans="2:18" s="9" customFormat="1" ht="18.75" x14ac:dyDescent="0.15">
      <c r="B62" s="401"/>
      <c r="C62" s="368" t="s">
        <v>115</v>
      </c>
      <c r="D62" s="118"/>
      <c r="E62" s="159"/>
      <c r="F62" s="386"/>
      <c r="G62" s="8"/>
      <c r="H62" s="363" t="s">
        <v>115</v>
      </c>
      <c r="I62" s="178"/>
      <c r="J62" s="361"/>
      <c r="K62" s="362"/>
      <c r="N62" s="76" t="s">
        <v>116</v>
      </c>
      <c r="O62" s="10">
        <f>SUM(E62:E66)</f>
        <v>0</v>
      </c>
      <c r="P62" s="12"/>
      <c r="Q62" s="2"/>
      <c r="R62" s="3"/>
    </row>
    <row r="63" spans="2:18" s="9" customFormat="1" ht="18.75" x14ac:dyDescent="0.15">
      <c r="B63" s="401"/>
      <c r="C63" s="369"/>
      <c r="D63" s="176"/>
      <c r="E63" s="166"/>
      <c r="F63" s="386"/>
      <c r="G63" s="8"/>
      <c r="H63" s="364"/>
      <c r="I63" s="170"/>
      <c r="J63" s="354"/>
      <c r="K63" s="355"/>
      <c r="N63" s="76"/>
      <c r="O63" s="10"/>
      <c r="P63" s="12"/>
      <c r="Q63" s="2"/>
      <c r="R63" s="3"/>
    </row>
    <row r="64" spans="2:18" s="9" customFormat="1" ht="18.75" x14ac:dyDescent="0.15">
      <c r="B64" s="401"/>
      <c r="C64" s="369"/>
      <c r="D64" s="155"/>
      <c r="E64" s="166"/>
      <c r="F64" s="386"/>
      <c r="G64" s="8"/>
      <c r="H64" s="364"/>
      <c r="I64" s="170"/>
      <c r="J64" s="354"/>
      <c r="K64" s="355"/>
      <c r="N64" s="76"/>
      <c r="O64" s="10"/>
      <c r="P64" s="12"/>
      <c r="Q64" s="2"/>
      <c r="R64" s="3"/>
    </row>
    <row r="65" spans="2:23" s="9" customFormat="1" ht="18.75" x14ac:dyDescent="0.15">
      <c r="B65" s="401"/>
      <c r="C65" s="369"/>
      <c r="D65" s="167"/>
      <c r="E65" s="170"/>
      <c r="F65" s="386"/>
      <c r="G65" s="8"/>
      <c r="H65" s="364"/>
      <c r="I65" s="170"/>
      <c r="J65" s="354"/>
      <c r="K65" s="355"/>
      <c r="N65" s="76"/>
      <c r="O65" s="10"/>
      <c r="P65" s="12"/>
      <c r="Q65" s="2"/>
      <c r="R65" s="3"/>
    </row>
    <row r="66" spans="2:23" s="9" customFormat="1" ht="19.5" thickBot="1" x14ac:dyDescent="0.2">
      <c r="B66" s="402"/>
      <c r="C66" s="370"/>
      <c r="D66" s="145"/>
      <c r="E66" s="146"/>
      <c r="F66" s="387"/>
      <c r="G66" s="8"/>
      <c r="H66" s="365"/>
      <c r="I66" s="164"/>
      <c r="J66" s="352"/>
      <c r="K66" s="353"/>
      <c r="N66" s="76"/>
      <c r="O66" s="10"/>
      <c r="P66" s="12"/>
      <c r="Q66" s="2"/>
      <c r="R66" s="3"/>
    </row>
    <row r="67" spans="2:23" s="9" customFormat="1" ht="18.75" customHeight="1" x14ac:dyDescent="0.15">
      <c r="B67" s="400" t="s">
        <v>117</v>
      </c>
      <c r="C67" s="368" t="s">
        <v>42</v>
      </c>
      <c r="D67" s="118"/>
      <c r="E67" s="159"/>
      <c r="F67" s="385">
        <v>16</v>
      </c>
      <c r="G67" s="8"/>
      <c r="H67" s="363" t="s">
        <v>42</v>
      </c>
      <c r="I67" s="178"/>
      <c r="J67" s="361"/>
      <c r="K67" s="362"/>
      <c r="N67" s="76" t="s">
        <v>118</v>
      </c>
      <c r="O67" s="10">
        <f>SUM(E67:E74)</f>
        <v>0</v>
      </c>
      <c r="P67" s="11">
        <f>F67</f>
        <v>16</v>
      </c>
      <c r="Q67" s="197" t="str">
        <f>IF(OR(O67+O75+O82+O87+O95&lt;P67,O67=0,O75=0,O82=0,O87=0,O95=0),"×","")</f>
        <v>×</v>
      </c>
      <c r="R67" s="193" t="str">
        <f>B67</f>
        <v>臨床工学に必要な理工学的基礎に該当する科目</v>
      </c>
      <c r="S67" s="195"/>
      <c r="T67" s="190"/>
      <c r="U67" s="190"/>
      <c r="V67" s="190"/>
      <c r="W67" s="191"/>
    </row>
    <row r="68" spans="2:23" s="9" customFormat="1" ht="18.75" x14ac:dyDescent="0.15">
      <c r="B68" s="401"/>
      <c r="C68" s="369"/>
      <c r="D68" s="192"/>
      <c r="E68" s="149"/>
      <c r="F68" s="386"/>
      <c r="G68" s="8"/>
      <c r="H68" s="364"/>
      <c r="I68" s="170"/>
      <c r="J68" s="354"/>
      <c r="K68" s="355"/>
      <c r="N68" s="76"/>
      <c r="O68" s="10"/>
      <c r="P68" s="11"/>
      <c r="Q68" s="10"/>
      <c r="R68" s="3"/>
      <c r="S68" s="18"/>
    </row>
    <row r="69" spans="2:23" s="9" customFormat="1" ht="18.75" x14ac:dyDescent="0.15">
      <c r="B69" s="401"/>
      <c r="C69" s="369"/>
      <c r="D69" s="192"/>
      <c r="E69" s="149"/>
      <c r="F69" s="386"/>
      <c r="G69" s="8"/>
      <c r="H69" s="364"/>
      <c r="I69" s="170"/>
      <c r="J69" s="354"/>
      <c r="K69" s="355"/>
      <c r="N69" s="76"/>
      <c r="O69" s="10"/>
      <c r="P69" s="11"/>
      <c r="Q69" s="10"/>
      <c r="R69" s="3"/>
      <c r="S69" s="18"/>
    </row>
    <row r="70" spans="2:23" s="9" customFormat="1" ht="18.75" x14ac:dyDescent="0.15">
      <c r="B70" s="401"/>
      <c r="C70" s="369"/>
      <c r="D70" s="192"/>
      <c r="E70" s="149"/>
      <c r="F70" s="386"/>
      <c r="G70" s="8"/>
      <c r="H70" s="364"/>
      <c r="I70" s="170"/>
      <c r="J70" s="354"/>
      <c r="K70" s="355"/>
      <c r="N70" s="76"/>
      <c r="O70" s="10"/>
      <c r="P70" s="11"/>
      <c r="Q70" s="10"/>
      <c r="R70" s="3"/>
      <c r="S70" s="18"/>
    </row>
    <row r="71" spans="2:23" s="9" customFormat="1" ht="18.75" x14ac:dyDescent="0.15">
      <c r="B71" s="401"/>
      <c r="C71" s="369"/>
      <c r="D71" s="145"/>
      <c r="E71" s="146"/>
      <c r="F71" s="386"/>
      <c r="G71" s="8"/>
      <c r="H71" s="364"/>
      <c r="I71" s="170"/>
      <c r="J71" s="354"/>
      <c r="K71" s="355"/>
      <c r="N71" s="76"/>
      <c r="O71" s="10"/>
      <c r="P71" s="11"/>
      <c r="Q71" s="10"/>
      <c r="R71" s="3"/>
      <c r="S71" s="18"/>
    </row>
    <row r="72" spans="2:23" s="9" customFormat="1" ht="18.75" x14ac:dyDescent="0.15">
      <c r="B72" s="401"/>
      <c r="C72" s="369"/>
      <c r="D72" s="157"/>
      <c r="E72" s="169"/>
      <c r="F72" s="386"/>
      <c r="G72" s="8"/>
      <c r="H72" s="364"/>
      <c r="I72" s="170"/>
      <c r="J72" s="354"/>
      <c r="K72" s="355"/>
      <c r="N72" s="76"/>
      <c r="O72" s="10"/>
      <c r="P72" s="11"/>
      <c r="Q72" s="10"/>
      <c r="R72" s="3"/>
      <c r="S72" s="18"/>
    </row>
    <row r="73" spans="2:23" s="9" customFormat="1" ht="18.75" x14ac:dyDescent="0.15">
      <c r="B73" s="401"/>
      <c r="C73" s="369"/>
      <c r="D73" s="145"/>
      <c r="E73" s="146"/>
      <c r="F73" s="386"/>
      <c r="G73" s="8"/>
      <c r="H73" s="364"/>
      <c r="I73" s="170"/>
      <c r="J73" s="354"/>
      <c r="K73" s="355"/>
      <c r="N73" s="76"/>
      <c r="O73" s="10"/>
      <c r="P73" s="11"/>
      <c r="Q73" s="10"/>
      <c r="R73" s="3"/>
      <c r="S73" s="18"/>
    </row>
    <row r="74" spans="2:23" s="9" customFormat="1" ht="19.5" thickBot="1" x14ac:dyDescent="0.2">
      <c r="B74" s="401"/>
      <c r="C74" s="370"/>
      <c r="D74" s="168"/>
      <c r="E74" s="163"/>
      <c r="F74" s="386"/>
      <c r="G74" s="8"/>
      <c r="H74" s="365"/>
      <c r="I74" s="164"/>
      <c r="J74" s="352"/>
      <c r="K74" s="353"/>
      <c r="N74" s="76"/>
      <c r="O74" s="10"/>
      <c r="P74" s="11"/>
      <c r="Q74" s="10"/>
      <c r="R74" s="3"/>
      <c r="S74" s="18"/>
    </row>
    <row r="75" spans="2:23" s="9" customFormat="1" ht="18.75" x14ac:dyDescent="0.15">
      <c r="B75" s="401"/>
      <c r="C75" s="368" t="s">
        <v>43</v>
      </c>
      <c r="D75" s="118"/>
      <c r="E75" s="159"/>
      <c r="F75" s="386"/>
      <c r="G75" s="8"/>
      <c r="H75" s="363" t="s">
        <v>43</v>
      </c>
      <c r="I75" s="178"/>
      <c r="J75" s="361"/>
      <c r="K75" s="362"/>
      <c r="N75" s="76" t="s">
        <v>119</v>
      </c>
      <c r="O75" s="10">
        <f>SUM(E75:E81)</f>
        <v>0</v>
      </c>
      <c r="P75" s="12"/>
      <c r="Q75" s="2"/>
      <c r="R75" s="3"/>
    </row>
    <row r="76" spans="2:23" s="9" customFormat="1" ht="18.75" x14ac:dyDescent="0.15">
      <c r="B76" s="401"/>
      <c r="C76" s="369"/>
      <c r="D76" s="192"/>
      <c r="E76" s="149"/>
      <c r="F76" s="386"/>
      <c r="G76" s="8"/>
      <c r="H76" s="364"/>
      <c r="I76" s="170"/>
      <c r="J76" s="354"/>
      <c r="K76" s="355"/>
      <c r="N76" s="76"/>
      <c r="O76" s="10"/>
      <c r="P76" s="12"/>
      <c r="Q76" s="2"/>
      <c r="R76" s="3"/>
    </row>
    <row r="77" spans="2:23" s="9" customFormat="1" ht="18.75" x14ac:dyDescent="0.15">
      <c r="B77" s="401"/>
      <c r="C77" s="369"/>
      <c r="D77" s="192"/>
      <c r="E77" s="149"/>
      <c r="F77" s="386"/>
      <c r="G77" s="8"/>
      <c r="H77" s="364"/>
      <c r="I77" s="170"/>
      <c r="J77" s="354"/>
      <c r="K77" s="355"/>
      <c r="N77" s="76"/>
      <c r="O77" s="10"/>
      <c r="P77" s="12"/>
      <c r="Q77" s="2"/>
      <c r="R77" s="3"/>
    </row>
    <row r="78" spans="2:23" s="9" customFormat="1" ht="18.75" x14ac:dyDescent="0.15">
      <c r="B78" s="401"/>
      <c r="C78" s="369"/>
      <c r="D78" s="192"/>
      <c r="E78" s="149"/>
      <c r="F78" s="386"/>
      <c r="G78" s="8"/>
      <c r="H78" s="364"/>
      <c r="I78" s="170"/>
      <c r="J78" s="354"/>
      <c r="K78" s="355"/>
      <c r="N78" s="76"/>
      <c r="O78" s="10"/>
      <c r="P78" s="12"/>
      <c r="Q78" s="2"/>
      <c r="R78" s="3"/>
    </row>
    <row r="79" spans="2:23" s="9" customFormat="1" ht="18.75" x14ac:dyDescent="0.15">
      <c r="B79" s="401"/>
      <c r="C79" s="369"/>
      <c r="D79" s="145"/>
      <c r="E79" s="146"/>
      <c r="F79" s="386"/>
      <c r="G79" s="8"/>
      <c r="H79" s="364"/>
      <c r="I79" s="170"/>
      <c r="J79" s="354"/>
      <c r="K79" s="355"/>
      <c r="N79" s="76"/>
      <c r="O79" s="10"/>
      <c r="P79" s="12"/>
      <c r="Q79" s="2"/>
      <c r="R79" s="3"/>
    </row>
    <row r="80" spans="2:23" s="9" customFormat="1" ht="18.75" x14ac:dyDescent="0.15">
      <c r="B80" s="401"/>
      <c r="C80" s="369"/>
      <c r="D80" s="157"/>
      <c r="E80" s="169"/>
      <c r="F80" s="386"/>
      <c r="G80" s="8"/>
      <c r="H80" s="364"/>
      <c r="I80" s="170"/>
      <c r="J80" s="354"/>
      <c r="K80" s="355"/>
      <c r="N80" s="76"/>
      <c r="O80" s="10"/>
      <c r="P80" s="12"/>
      <c r="Q80" s="2"/>
      <c r="R80" s="3"/>
    </row>
    <row r="81" spans="2:18" s="9" customFormat="1" ht="19.5" thickBot="1" x14ac:dyDescent="0.2">
      <c r="B81" s="401"/>
      <c r="C81" s="370"/>
      <c r="D81" s="168"/>
      <c r="E81" s="163"/>
      <c r="F81" s="386"/>
      <c r="G81" s="8"/>
      <c r="H81" s="365"/>
      <c r="I81" s="164"/>
      <c r="J81" s="352"/>
      <c r="K81" s="353"/>
      <c r="N81" s="76"/>
      <c r="O81" s="10"/>
      <c r="P81" s="12"/>
      <c r="Q81" s="2"/>
      <c r="R81" s="3"/>
    </row>
    <row r="82" spans="2:18" s="9" customFormat="1" ht="18.75" x14ac:dyDescent="0.15">
      <c r="B82" s="401"/>
      <c r="C82" s="368" t="s">
        <v>44</v>
      </c>
      <c r="D82" s="118"/>
      <c r="E82" s="159"/>
      <c r="F82" s="386"/>
      <c r="G82" s="8"/>
      <c r="H82" s="363" t="s">
        <v>44</v>
      </c>
      <c r="I82" s="178"/>
      <c r="J82" s="361"/>
      <c r="K82" s="362"/>
      <c r="N82" s="76" t="s">
        <v>120</v>
      </c>
      <c r="O82" s="10">
        <f>SUM(E82:E86)</f>
        <v>0</v>
      </c>
      <c r="P82" s="12"/>
      <c r="Q82" s="2"/>
      <c r="R82" s="3"/>
    </row>
    <row r="83" spans="2:18" s="9" customFormat="1" ht="18.75" x14ac:dyDescent="0.15">
      <c r="B83" s="401"/>
      <c r="C83" s="369"/>
      <c r="D83" s="192"/>
      <c r="E83" s="149"/>
      <c r="F83" s="386"/>
      <c r="G83" s="8"/>
      <c r="H83" s="364"/>
      <c r="I83" s="170"/>
      <c r="J83" s="354"/>
      <c r="K83" s="355"/>
      <c r="N83" s="76"/>
      <c r="O83" s="10"/>
      <c r="P83" s="12"/>
      <c r="Q83" s="2"/>
      <c r="R83" s="3"/>
    </row>
    <row r="84" spans="2:18" s="9" customFormat="1" ht="18.75" x14ac:dyDescent="0.15">
      <c r="B84" s="401"/>
      <c r="C84" s="369"/>
      <c r="D84" s="192"/>
      <c r="E84" s="149"/>
      <c r="F84" s="386"/>
      <c r="G84" s="8"/>
      <c r="H84" s="364"/>
      <c r="I84" s="170"/>
      <c r="J84" s="354"/>
      <c r="K84" s="355"/>
      <c r="N84" s="76"/>
      <c r="O84" s="10"/>
      <c r="P84" s="12"/>
      <c r="Q84" s="2"/>
      <c r="R84" s="3"/>
    </row>
    <row r="85" spans="2:18" s="9" customFormat="1" ht="18.75" x14ac:dyDescent="0.15">
      <c r="B85" s="401"/>
      <c r="C85" s="369"/>
      <c r="D85" s="192"/>
      <c r="E85" s="149"/>
      <c r="F85" s="386"/>
      <c r="G85" s="8"/>
      <c r="H85" s="364"/>
      <c r="I85" s="170"/>
      <c r="J85" s="354"/>
      <c r="K85" s="355"/>
      <c r="N85" s="76"/>
      <c r="O85" s="10"/>
      <c r="P85" s="12"/>
      <c r="Q85" s="2"/>
      <c r="R85" s="3"/>
    </row>
    <row r="86" spans="2:18" s="9" customFormat="1" ht="19.5" thickBot="1" x14ac:dyDescent="0.2">
      <c r="B86" s="401"/>
      <c r="C86" s="370"/>
      <c r="D86" s="160"/>
      <c r="E86" s="143"/>
      <c r="F86" s="386"/>
      <c r="G86" s="8"/>
      <c r="H86" s="365"/>
      <c r="I86" s="164"/>
      <c r="J86" s="352"/>
      <c r="K86" s="353"/>
      <c r="N86" s="76"/>
      <c r="O86" s="10"/>
      <c r="P86" s="12"/>
      <c r="Q86" s="2"/>
      <c r="R86" s="3"/>
    </row>
    <row r="87" spans="2:18" s="9" customFormat="1" ht="18.75" x14ac:dyDescent="0.15">
      <c r="B87" s="401"/>
      <c r="C87" s="368" t="s">
        <v>45</v>
      </c>
      <c r="D87" s="118"/>
      <c r="E87" s="159"/>
      <c r="F87" s="386"/>
      <c r="G87" s="8"/>
      <c r="H87" s="363" t="s">
        <v>45</v>
      </c>
      <c r="I87" s="178"/>
      <c r="J87" s="361"/>
      <c r="K87" s="362"/>
      <c r="N87" s="76" t="s">
        <v>121</v>
      </c>
      <c r="O87" s="10">
        <f>SUM(E87:E94)</f>
        <v>0</v>
      </c>
      <c r="P87" s="12"/>
      <c r="Q87" s="2"/>
      <c r="R87" s="3"/>
    </row>
    <row r="88" spans="2:18" s="9" customFormat="1" ht="18.75" x14ac:dyDescent="0.15">
      <c r="B88" s="401"/>
      <c r="C88" s="369"/>
      <c r="D88" s="145"/>
      <c r="E88" s="146"/>
      <c r="F88" s="386"/>
      <c r="G88" s="8"/>
      <c r="H88" s="364"/>
      <c r="I88" s="170"/>
      <c r="J88" s="354"/>
      <c r="K88" s="355"/>
      <c r="N88" s="76"/>
      <c r="O88" s="10"/>
      <c r="P88" s="12"/>
      <c r="Q88" s="2"/>
      <c r="R88" s="3"/>
    </row>
    <row r="89" spans="2:18" s="9" customFormat="1" ht="18.75" x14ac:dyDescent="0.15">
      <c r="B89" s="401"/>
      <c r="C89" s="369"/>
      <c r="D89" s="158"/>
      <c r="E89" s="170"/>
      <c r="F89" s="386"/>
      <c r="G89" s="8"/>
      <c r="H89" s="364"/>
      <c r="I89" s="170"/>
      <c r="J89" s="354"/>
      <c r="K89" s="355"/>
      <c r="N89" s="76"/>
      <c r="O89" s="10"/>
      <c r="P89" s="12"/>
      <c r="Q89" s="2"/>
      <c r="R89" s="3"/>
    </row>
    <row r="90" spans="2:18" s="9" customFormat="1" ht="18.75" x14ac:dyDescent="0.15">
      <c r="B90" s="401"/>
      <c r="C90" s="369"/>
      <c r="D90" s="158"/>
      <c r="E90" s="170"/>
      <c r="F90" s="386"/>
      <c r="G90" s="8"/>
      <c r="H90" s="364"/>
      <c r="I90" s="170"/>
      <c r="J90" s="354"/>
      <c r="K90" s="355"/>
      <c r="N90" s="76"/>
      <c r="O90" s="10"/>
      <c r="P90" s="12"/>
      <c r="Q90" s="2"/>
      <c r="R90" s="3"/>
    </row>
    <row r="91" spans="2:18" s="9" customFormat="1" ht="18.75" x14ac:dyDescent="0.15">
      <c r="B91" s="401"/>
      <c r="C91" s="369"/>
      <c r="D91" s="175"/>
      <c r="E91" s="196"/>
      <c r="F91" s="386"/>
      <c r="G91" s="8"/>
      <c r="H91" s="364"/>
      <c r="I91" s="170"/>
      <c r="J91" s="354"/>
      <c r="K91" s="355"/>
      <c r="N91" s="76"/>
      <c r="O91" s="10"/>
      <c r="P91" s="12"/>
      <c r="Q91" s="2"/>
      <c r="R91" s="3"/>
    </row>
    <row r="92" spans="2:18" s="9" customFormat="1" ht="18.75" x14ac:dyDescent="0.15">
      <c r="B92" s="401"/>
      <c r="C92" s="369"/>
      <c r="D92" s="176"/>
      <c r="E92" s="167"/>
      <c r="F92" s="386"/>
      <c r="G92" s="8"/>
      <c r="H92" s="364"/>
      <c r="I92" s="170"/>
      <c r="J92" s="354"/>
      <c r="K92" s="355"/>
      <c r="N92" s="76"/>
      <c r="O92" s="10"/>
      <c r="P92" s="12"/>
      <c r="Q92" s="2"/>
      <c r="R92" s="3"/>
    </row>
    <row r="93" spans="2:18" s="9" customFormat="1" ht="18.75" x14ac:dyDescent="0.15">
      <c r="B93" s="401"/>
      <c r="C93" s="369"/>
      <c r="D93" s="176"/>
      <c r="E93" s="167"/>
      <c r="F93" s="386"/>
      <c r="G93" s="8"/>
      <c r="H93" s="364"/>
      <c r="I93" s="170"/>
      <c r="J93" s="354"/>
      <c r="K93" s="355"/>
      <c r="N93" s="76"/>
      <c r="O93" s="10"/>
      <c r="P93" s="12"/>
      <c r="Q93" s="2"/>
      <c r="R93" s="3"/>
    </row>
    <row r="94" spans="2:18" s="9" customFormat="1" ht="19.5" thickBot="1" x14ac:dyDescent="0.2">
      <c r="B94" s="401"/>
      <c r="C94" s="370"/>
      <c r="D94" s="160"/>
      <c r="E94" s="143"/>
      <c r="F94" s="386"/>
      <c r="G94" s="8"/>
      <c r="H94" s="365"/>
      <c r="I94" s="164"/>
      <c r="J94" s="352"/>
      <c r="K94" s="353"/>
      <c r="N94" s="76"/>
      <c r="O94" s="10"/>
      <c r="P94" s="12"/>
      <c r="Q94" s="2"/>
      <c r="R94" s="3"/>
    </row>
    <row r="95" spans="2:18" s="9" customFormat="1" ht="18.75" x14ac:dyDescent="0.15">
      <c r="B95" s="401"/>
      <c r="C95" s="368" t="s">
        <v>46</v>
      </c>
      <c r="D95" s="118"/>
      <c r="E95" s="159"/>
      <c r="F95" s="386"/>
      <c r="G95" s="8"/>
      <c r="H95" s="363" t="s">
        <v>46</v>
      </c>
      <c r="I95" s="178"/>
      <c r="J95" s="361"/>
      <c r="K95" s="362"/>
      <c r="N95" s="76" t="s">
        <v>122</v>
      </c>
      <c r="O95" s="10">
        <f>SUM(E95:E99)</f>
        <v>0</v>
      </c>
      <c r="P95" s="12"/>
      <c r="Q95" s="2"/>
      <c r="R95" s="3"/>
    </row>
    <row r="96" spans="2:18" s="9" customFormat="1" ht="18.75" x14ac:dyDescent="0.15">
      <c r="B96" s="401"/>
      <c r="C96" s="369"/>
      <c r="D96" s="145"/>
      <c r="E96" s="146"/>
      <c r="F96" s="386"/>
      <c r="G96" s="8"/>
      <c r="H96" s="364"/>
      <c r="I96" s="170"/>
      <c r="J96" s="354"/>
      <c r="K96" s="355"/>
      <c r="N96" s="76"/>
      <c r="O96" s="10"/>
      <c r="P96" s="12"/>
      <c r="Q96" s="2"/>
      <c r="R96" s="3"/>
    </row>
    <row r="97" spans="2:26" s="9" customFormat="1" ht="18.75" x14ac:dyDescent="0.15">
      <c r="B97" s="401"/>
      <c r="C97" s="369"/>
      <c r="D97" s="165"/>
      <c r="E97" s="169"/>
      <c r="F97" s="386"/>
      <c r="G97" s="8"/>
      <c r="H97" s="364"/>
      <c r="I97" s="170"/>
      <c r="J97" s="354"/>
      <c r="K97" s="355"/>
      <c r="N97" s="76"/>
      <c r="O97" s="10"/>
      <c r="P97" s="12"/>
      <c r="Q97" s="2"/>
      <c r="R97" s="3"/>
    </row>
    <row r="98" spans="2:26" s="9" customFormat="1" ht="18.75" x14ac:dyDescent="0.15">
      <c r="B98" s="401"/>
      <c r="C98" s="369"/>
      <c r="D98" s="165"/>
      <c r="E98" s="169"/>
      <c r="F98" s="386"/>
      <c r="G98" s="8"/>
      <c r="H98" s="364"/>
      <c r="I98" s="170"/>
      <c r="J98" s="354"/>
      <c r="K98" s="355"/>
      <c r="N98" s="76"/>
      <c r="O98" s="10"/>
      <c r="P98" s="12"/>
      <c r="Q98" s="2"/>
      <c r="R98" s="3"/>
    </row>
    <row r="99" spans="2:26" s="9" customFormat="1" ht="19.5" thickBot="1" x14ac:dyDescent="0.2">
      <c r="B99" s="402"/>
      <c r="C99" s="370"/>
      <c r="D99" s="119"/>
      <c r="E99" s="163"/>
      <c r="F99" s="387"/>
      <c r="G99" s="8"/>
      <c r="H99" s="365"/>
      <c r="I99" s="164"/>
      <c r="J99" s="352"/>
      <c r="K99" s="353"/>
      <c r="N99" s="76"/>
      <c r="O99" s="10"/>
      <c r="P99" s="12"/>
      <c r="Q99" s="2"/>
      <c r="R99" s="3"/>
    </row>
    <row r="100" spans="2:26" s="9" customFormat="1" ht="18.75" x14ac:dyDescent="0.15">
      <c r="B100" s="405" t="s">
        <v>123</v>
      </c>
      <c r="C100" s="368" t="s">
        <v>124</v>
      </c>
      <c r="D100" s="144"/>
      <c r="E100" s="142"/>
      <c r="F100" s="385">
        <v>7</v>
      </c>
      <c r="G100" s="8"/>
      <c r="H100" s="363" t="s">
        <v>124</v>
      </c>
      <c r="I100" s="178"/>
      <c r="J100" s="361"/>
      <c r="K100" s="362"/>
      <c r="N100" s="76" t="s">
        <v>125</v>
      </c>
      <c r="O100" s="10">
        <f>SUM(E100:E113)</f>
        <v>0</v>
      </c>
      <c r="P100" s="11">
        <f>F100</f>
        <v>7</v>
      </c>
      <c r="Q100" s="197" t="str">
        <f>IF(O100&lt;P100,"×","")</f>
        <v>×</v>
      </c>
      <c r="R100" s="193" t="str">
        <f>B100</f>
        <v>臨床工学に必要な医療情報技術とシステム工学の基礎に該当する科目</v>
      </c>
      <c r="S100" s="195"/>
      <c r="T100" s="191"/>
      <c r="U100" s="214"/>
      <c r="V100" s="190"/>
      <c r="W100" s="190"/>
      <c r="X100" s="190"/>
      <c r="Y100" s="190"/>
      <c r="Z100" s="191"/>
    </row>
    <row r="101" spans="2:26" s="9" customFormat="1" ht="18.75" x14ac:dyDescent="0.15">
      <c r="B101" s="406"/>
      <c r="C101" s="369"/>
      <c r="D101" s="157"/>
      <c r="E101" s="169"/>
      <c r="F101" s="386"/>
      <c r="G101" s="8"/>
      <c r="H101" s="364"/>
      <c r="I101" s="170"/>
      <c r="J101" s="354"/>
      <c r="K101" s="355"/>
      <c r="N101" s="76"/>
      <c r="O101" s="10"/>
      <c r="P101" s="11"/>
      <c r="Q101" s="10"/>
      <c r="R101" s="3"/>
      <c r="S101" s="18"/>
    </row>
    <row r="102" spans="2:26" s="9" customFormat="1" ht="18.75" x14ac:dyDescent="0.15">
      <c r="B102" s="406"/>
      <c r="C102" s="369"/>
      <c r="D102" s="157"/>
      <c r="E102" s="169"/>
      <c r="F102" s="386"/>
      <c r="G102" s="8"/>
      <c r="H102" s="364"/>
      <c r="I102" s="170"/>
      <c r="J102" s="354"/>
      <c r="K102" s="355"/>
      <c r="N102" s="76"/>
      <c r="O102" s="10"/>
      <c r="P102" s="11"/>
      <c r="Q102" s="10"/>
      <c r="R102" s="3"/>
      <c r="S102" s="18"/>
    </row>
    <row r="103" spans="2:26" s="9" customFormat="1" ht="18.75" x14ac:dyDescent="0.15">
      <c r="B103" s="406"/>
      <c r="C103" s="369"/>
      <c r="D103" s="157"/>
      <c r="E103" s="169"/>
      <c r="F103" s="386"/>
      <c r="G103" s="8"/>
      <c r="H103" s="364"/>
      <c r="I103" s="170"/>
      <c r="J103" s="354"/>
      <c r="K103" s="355"/>
      <c r="N103" s="76"/>
      <c r="O103" s="10"/>
      <c r="P103" s="11"/>
      <c r="Q103" s="10"/>
      <c r="R103" s="3"/>
      <c r="S103" s="18"/>
    </row>
    <row r="104" spans="2:26" s="9" customFormat="1" ht="18.75" x14ac:dyDescent="0.15">
      <c r="B104" s="406"/>
      <c r="C104" s="369"/>
      <c r="D104" s="157"/>
      <c r="E104" s="169"/>
      <c r="F104" s="386"/>
      <c r="G104" s="8"/>
      <c r="H104" s="364"/>
      <c r="I104" s="170"/>
      <c r="J104" s="354"/>
      <c r="K104" s="355"/>
      <c r="N104" s="76"/>
      <c r="O104" s="10"/>
      <c r="P104" s="11"/>
      <c r="Q104" s="10"/>
      <c r="R104" s="3"/>
      <c r="S104" s="18"/>
    </row>
    <row r="105" spans="2:26" s="9" customFormat="1" ht="18.75" x14ac:dyDescent="0.15">
      <c r="B105" s="406"/>
      <c r="C105" s="369"/>
      <c r="D105" s="157"/>
      <c r="E105" s="169"/>
      <c r="F105" s="386"/>
      <c r="G105" s="8"/>
      <c r="H105" s="364"/>
      <c r="I105" s="170"/>
      <c r="J105" s="354"/>
      <c r="K105" s="355"/>
      <c r="N105" s="76"/>
      <c r="O105" s="10"/>
      <c r="P105" s="11"/>
      <c r="Q105" s="10"/>
      <c r="R105" s="3"/>
      <c r="S105" s="18"/>
    </row>
    <row r="106" spans="2:26" s="9" customFormat="1" ht="18.75" x14ac:dyDescent="0.15">
      <c r="B106" s="406"/>
      <c r="C106" s="369"/>
      <c r="D106" s="157"/>
      <c r="E106" s="169"/>
      <c r="F106" s="386"/>
      <c r="G106" s="8"/>
      <c r="H106" s="364"/>
      <c r="I106" s="170"/>
      <c r="J106" s="354"/>
      <c r="K106" s="355"/>
      <c r="N106" s="76"/>
      <c r="O106" s="10"/>
      <c r="P106" s="11"/>
      <c r="Q106" s="10"/>
      <c r="R106" s="3"/>
      <c r="S106" s="18"/>
    </row>
    <row r="107" spans="2:26" s="9" customFormat="1" ht="18.75" x14ac:dyDescent="0.15">
      <c r="B107" s="406"/>
      <c r="C107" s="369"/>
      <c r="D107" s="145"/>
      <c r="E107" s="146"/>
      <c r="F107" s="386"/>
      <c r="G107" s="8"/>
      <c r="H107" s="364"/>
      <c r="I107" s="170"/>
      <c r="J107" s="354"/>
      <c r="K107" s="355"/>
      <c r="N107" s="76"/>
      <c r="O107" s="10"/>
      <c r="P107" s="11"/>
      <c r="Q107" s="10"/>
      <c r="R107" s="3"/>
      <c r="S107" s="18"/>
    </row>
    <row r="108" spans="2:26" s="9" customFormat="1" ht="18.75" x14ac:dyDescent="0.15">
      <c r="B108" s="406"/>
      <c r="C108" s="369"/>
      <c r="D108" s="157"/>
      <c r="E108" s="169"/>
      <c r="F108" s="386"/>
      <c r="G108" s="8"/>
      <c r="H108" s="364"/>
      <c r="I108" s="170"/>
      <c r="J108" s="354"/>
      <c r="K108" s="355"/>
      <c r="N108" s="76"/>
      <c r="O108" s="10"/>
      <c r="P108" s="12"/>
      <c r="Q108" s="2"/>
      <c r="R108" s="3"/>
    </row>
    <row r="109" spans="2:26" s="9" customFormat="1" ht="18.75" x14ac:dyDescent="0.15">
      <c r="B109" s="406"/>
      <c r="C109" s="369"/>
      <c r="D109" s="157"/>
      <c r="E109" s="169"/>
      <c r="F109" s="386"/>
      <c r="G109" s="8"/>
      <c r="H109" s="364"/>
      <c r="I109" s="170"/>
      <c r="J109" s="354"/>
      <c r="K109" s="355"/>
      <c r="N109" s="76"/>
      <c r="O109" s="10"/>
      <c r="P109" s="12"/>
      <c r="Q109" s="2"/>
      <c r="R109" s="3"/>
    </row>
    <row r="110" spans="2:26" s="9" customFormat="1" ht="18.75" x14ac:dyDescent="0.15">
      <c r="B110" s="406"/>
      <c r="C110" s="369"/>
      <c r="D110" s="145"/>
      <c r="E110" s="146"/>
      <c r="F110" s="386"/>
      <c r="G110" s="8"/>
      <c r="H110" s="364"/>
      <c r="I110" s="170"/>
      <c r="J110" s="354"/>
      <c r="K110" s="355"/>
      <c r="N110" s="76"/>
      <c r="O110" s="10"/>
      <c r="P110" s="12"/>
      <c r="Q110" s="2"/>
      <c r="R110" s="3"/>
    </row>
    <row r="111" spans="2:26" s="9" customFormat="1" ht="18.75" x14ac:dyDescent="0.15">
      <c r="B111" s="406"/>
      <c r="C111" s="369"/>
      <c r="D111" s="157"/>
      <c r="E111" s="169"/>
      <c r="F111" s="386"/>
      <c r="G111" s="8"/>
      <c r="H111" s="364"/>
      <c r="I111" s="170"/>
      <c r="J111" s="354"/>
      <c r="K111" s="355"/>
      <c r="N111" s="76"/>
      <c r="O111" s="10"/>
      <c r="P111" s="12"/>
      <c r="Q111" s="2"/>
      <c r="R111" s="3"/>
    </row>
    <row r="112" spans="2:26" s="9" customFormat="1" ht="18.75" x14ac:dyDescent="0.15">
      <c r="B112" s="406"/>
      <c r="C112" s="369"/>
      <c r="D112" s="145"/>
      <c r="E112" s="146"/>
      <c r="F112" s="386"/>
      <c r="G112" s="8"/>
      <c r="H112" s="364"/>
      <c r="I112" s="170"/>
      <c r="J112" s="354"/>
      <c r="K112" s="355"/>
      <c r="N112" s="76"/>
      <c r="O112" s="10"/>
      <c r="P112" s="12"/>
      <c r="Q112" s="2"/>
      <c r="R112" s="3"/>
    </row>
    <row r="113" spans="2:21" s="9" customFormat="1" ht="19.5" thickBot="1" x14ac:dyDescent="0.2">
      <c r="B113" s="407"/>
      <c r="C113" s="370"/>
      <c r="D113" s="168"/>
      <c r="E113" s="163"/>
      <c r="F113" s="387"/>
      <c r="G113" s="8"/>
      <c r="H113" s="365"/>
      <c r="I113" s="164"/>
      <c r="J113" s="352"/>
      <c r="K113" s="353"/>
      <c r="N113" s="76"/>
      <c r="O113" s="10"/>
      <c r="P113" s="12"/>
      <c r="Q113" s="2"/>
      <c r="R113" s="3"/>
    </row>
    <row r="114" spans="2:21" s="9" customFormat="1" ht="18.75" customHeight="1" x14ac:dyDescent="0.15">
      <c r="B114" s="400" t="s">
        <v>126</v>
      </c>
      <c r="C114" s="368" t="s">
        <v>127</v>
      </c>
      <c r="D114" s="118"/>
      <c r="E114" s="159"/>
      <c r="F114" s="385">
        <v>7</v>
      </c>
      <c r="G114" s="8"/>
      <c r="H114" s="382" t="s">
        <v>127</v>
      </c>
      <c r="I114" s="178"/>
      <c r="J114" s="361"/>
      <c r="K114" s="362"/>
      <c r="N114" s="76" t="s">
        <v>128</v>
      </c>
      <c r="O114" s="10">
        <f>SUM(E114:E118)</f>
        <v>0</v>
      </c>
      <c r="P114" s="11">
        <f>F114</f>
        <v>7</v>
      </c>
      <c r="Q114" s="197" t="str">
        <f>IF(OR(O114+O119+O124&lt;P114,O114=0,O119=0,O124=0),"×","")</f>
        <v>×</v>
      </c>
      <c r="R114" s="193" t="str">
        <f>B114</f>
        <v>医用生体工学に該当する科目</v>
      </c>
      <c r="S114" s="195"/>
      <c r="T114" s="191"/>
      <c r="U114" s="198"/>
    </row>
    <row r="115" spans="2:21" s="9" customFormat="1" ht="18.75" x14ac:dyDescent="0.15">
      <c r="B115" s="401"/>
      <c r="C115" s="369"/>
      <c r="D115" s="192"/>
      <c r="E115" s="149"/>
      <c r="F115" s="386"/>
      <c r="G115" s="8"/>
      <c r="H115" s="416"/>
      <c r="I115" s="170"/>
      <c r="J115" s="354"/>
      <c r="K115" s="355"/>
      <c r="N115" s="76"/>
      <c r="O115" s="10"/>
      <c r="P115" s="11"/>
      <c r="Q115" s="10"/>
      <c r="R115" s="3"/>
      <c r="S115" s="18"/>
    </row>
    <row r="116" spans="2:21" s="9" customFormat="1" ht="18.75" x14ac:dyDescent="0.15">
      <c r="B116" s="401"/>
      <c r="C116" s="369"/>
      <c r="D116" s="192"/>
      <c r="E116" s="149"/>
      <c r="F116" s="386"/>
      <c r="G116" s="8"/>
      <c r="H116" s="416"/>
      <c r="I116" s="170"/>
      <c r="J116" s="354"/>
      <c r="K116" s="355"/>
      <c r="N116" s="76"/>
      <c r="O116" s="10"/>
      <c r="P116" s="11"/>
      <c r="Q116" s="10"/>
      <c r="R116" s="3"/>
      <c r="S116" s="18"/>
    </row>
    <row r="117" spans="2:21" s="9" customFormat="1" ht="18.75" x14ac:dyDescent="0.15">
      <c r="B117" s="401"/>
      <c r="C117" s="369"/>
      <c r="D117" s="192"/>
      <c r="E117" s="149"/>
      <c r="F117" s="386"/>
      <c r="G117" s="8"/>
      <c r="H117" s="416"/>
      <c r="I117" s="170"/>
      <c r="J117" s="354"/>
      <c r="K117" s="355"/>
      <c r="N117" s="76"/>
      <c r="O117" s="10"/>
      <c r="P117" s="11"/>
      <c r="Q117" s="10"/>
      <c r="R117" s="3"/>
      <c r="S117" s="18"/>
    </row>
    <row r="118" spans="2:21" s="9" customFormat="1" ht="19.5" thickBot="1" x14ac:dyDescent="0.2">
      <c r="B118" s="401"/>
      <c r="C118" s="370"/>
      <c r="D118" s="160"/>
      <c r="E118" s="143"/>
      <c r="F118" s="386"/>
      <c r="G118" s="8"/>
      <c r="H118" s="417"/>
      <c r="I118" s="164"/>
      <c r="J118" s="352"/>
      <c r="K118" s="353"/>
      <c r="N118" s="76"/>
      <c r="O118" s="10"/>
      <c r="P118" s="11"/>
      <c r="Q118" s="10"/>
      <c r="R118" s="3"/>
      <c r="S118" s="18"/>
    </row>
    <row r="119" spans="2:21" s="9" customFormat="1" ht="18.75" customHeight="1" x14ac:dyDescent="0.15">
      <c r="B119" s="401"/>
      <c r="C119" s="368" t="s">
        <v>49</v>
      </c>
      <c r="D119" s="118"/>
      <c r="E119" s="159"/>
      <c r="F119" s="386"/>
      <c r="G119" s="8"/>
      <c r="H119" s="363" t="s">
        <v>49</v>
      </c>
      <c r="I119" s="178"/>
      <c r="J119" s="361"/>
      <c r="K119" s="362"/>
      <c r="N119" s="76" t="s">
        <v>129</v>
      </c>
      <c r="O119" s="10">
        <f>SUM(E119:E123)</f>
        <v>0</v>
      </c>
      <c r="P119" s="13"/>
      <c r="Q119" s="65"/>
      <c r="R119" s="372"/>
      <c r="S119" s="371"/>
    </row>
    <row r="120" spans="2:21" s="9" customFormat="1" ht="18.75" customHeight="1" x14ac:dyDescent="0.15">
      <c r="B120" s="401"/>
      <c r="C120" s="369"/>
      <c r="D120" s="145"/>
      <c r="E120" s="146"/>
      <c r="F120" s="386"/>
      <c r="G120" s="8"/>
      <c r="H120" s="364"/>
      <c r="I120" s="170"/>
      <c r="J120" s="354"/>
      <c r="K120" s="355"/>
      <c r="N120" s="76"/>
      <c r="O120" s="10"/>
      <c r="P120" s="13"/>
      <c r="Q120" s="65"/>
      <c r="R120" s="372"/>
      <c r="S120" s="371"/>
    </row>
    <row r="121" spans="2:21" s="9" customFormat="1" ht="18.75" customHeight="1" x14ac:dyDescent="0.15">
      <c r="B121" s="401"/>
      <c r="C121" s="369"/>
      <c r="D121" s="158"/>
      <c r="E121" s="170"/>
      <c r="F121" s="386"/>
      <c r="G121" s="8"/>
      <c r="H121" s="364"/>
      <c r="I121" s="170"/>
      <c r="J121" s="354"/>
      <c r="K121" s="355"/>
      <c r="N121" s="76"/>
      <c r="O121" s="10"/>
      <c r="P121" s="13"/>
      <c r="Q121" s="65"/>
      <c r="R121" s="372"/>
      <c r="S121" s="371"/>
    </row>
    <row r="122" spans="2:21" s="9" customFormat="1" ht="18.75" customHeight="1" x14ac:dyDescent="0.15">
      <c r="B122" s="401"/>
      <c r="C122" s="369"/>
      <c r="D122" s="158"/>
      <c r="E122" s="170"/>
      <c r="F122" s="386"/>
      <c r="G122" s="8"/>
      <c r="H122" s="364"/>
      <c r="I122" s="170"/>
      <c r="J122" s="354"/>
      <c r="K122" s="355"/>
      <c r="N122" s="76"/>
      <c r="O122" s="10"/>
      <c r="P122" s="13"/>
      <c r="Q122" s="65"/>
      <c r="R122" s="372"/>
      <c r="S122" s="371"/>
    </row>
    <row r="123" spans="2:21" s="9" customFormat="1" ht="18.75" customHeight="1" thickBot="1" x14ac:dyDescent="0.2">
      <c r="B123" s="401"/>
      <c r="C123" s="370"/>
      <c r="D123" s="160"/>
      <c r="E123" s="143"/>
      <c r="F123" s="386"/>
      <c r="G123" s="8"/>
      <c r="H123" s="365"/>
      <c r="I123" s="164"/>
      <c r="J123" s="352"/>
      <c r="K123" s="353"/>
      <c r="N123" s="76"/>
      <c r="O123" s="10"/>
      <c r="P123" s="13"/>
      <c r="Q123" s="65"/>
      <c r="R123" s="372"/>
      <c r="S123" s="371"/>
    </row>
    <row r="124" spans="2:21" s="9" customFormat="1" ht="18.75" x14ac:dyDescent="0.15">
      <c r="B124" s="401"/>
      <c r="C124" s="368" t="s">
        <v>130</v>
      </c>
      <c r="D124" s="118"/>
      <c r="E124" s="159"/>
      <c r="F124" s="386"/>
      <c r="G124" s="8"/>
      <c r="H124" s="363" t="s">
        <v>130</v>
      </c>
      <c r="I124" s="178"/>
      <c r="J124" s="361"/>
      <c r="K124" s="362"/>
      <c r="N124" s="76" t="s">
        <v>131</v>
      </c>
      <c r="O124" s="10">
        <f>SUM(E124:E130)</f>
        <v>0</v>
      </c>
      <c r="P124" s="14"/>
      <c r="Q124" s="66"/>
      <c r="R124" s="372"/>
      <c r="S124" s="371"/>
    </row>
    <row r="125" spans="2:21" s="9" customFormat="1" ht="18.75" x14ac:dyDescent="0.15">
      <c r="B125" s="401"/>
      <c r="C125" s="369"/>
      <c r="D125" s="192"/>
      <c r="E125" s="149"/>
      <c r="F125" s="161"/>
      <c r="G125" s="8"/>
      <c r="H125" s="364"/>
      <c r="I125" s="170"/>
      <c r="J125" s="354"/>
      <c r="K125" s="355"/>
      <c r="N125" s="76"/>
      <c r="O125" s="10"/>
      <c r="P125" s="14"/>
      <c r="Q125" s="66"/>
      <c r="R125" s="148"/>
      <c r="S125" s="147"/>
    </row>
    <row r="126" spans="2:21" s="9" customFormat="1" ht="18.75" x14ac:dyDescent="0.15">
      <c r="B126" s="401"/>
      <c r="C126" s="369"/>
      <c r="D126" s="192"/>
      <c r="E126" s="149"/>
      <c r="F126" s="161"/>
      <c r="G126" s="8"/>
      <c r="H126" s="364"/>
      <c r="I126" s="170"/>
      <c r="J126" s="354"/>
      <c r="K126" s="355"/>
      <c r="N126" s="76"/>
      <c r="O126" s="10"/>
      <c r="P126" s="14"/>
      <c r="Q126" s="66"/>
      <c r="R126" s="148"/>
      <c r="S126" s="147"/>
    </row>
    <row r="127" spans="2:21" s="9" customFormat="1" ht="18.75" x14ac:dyDescent="0.15">
      <c r="B127" s="401"/>
      <c r="C127" s="369"/>
      <c r="D127" s="165"/>
      <c r="E127" s="169"/>
      <c r="F127" s="161"/>
      <c r="G127" s="8"/>
      <c r="H127" s="364"/>
      <c r="I127" s="170"/>
      <c r="J127" s="354"/>
      <c r="K127" s="355"/>
      <c r="N127" s="76"/>
      <c r="O127" s="10"/>
      <c r="P127" s="14"/>
      <c r="Q127" s="66"/>
      <c r="R127" s="148"/>
      <c r="S127" s="147"/>
    </row>
    <row r="128" spans="2:21" s="9" customFormat="1" ht="18.75" x14ac:dyDescent="0.15">
      <c r="B128" s="401"/>
      <c r="C128" s="369"/>
      <c r="D128" s="145"/>
      <c r="E128" s="146"/>
      <c r="F128" s="161"/>
      <c r="G128" s="8"/>
      <c r="H128" s="364"/>
      <c r="I128" s="170"/>
      <c r="J128" s="354"/>
      <c r="K128" s="355"/>
      <c r="N128" s="76"/>
      <c r="O128" s="10"/>
      <c r="P128" s="14"/>
      <c r="Q128" s="66"/>
      <c r="R128" s="148"/>
      <c r="S128" s="147"/>
    </row>
    <row r="129" spans="2:22" s="9" customFormat="1" ht="18.75" x14ac:dyDescent="0.15">
      <c r="B129" s="401"/>
      <c r="C129" s="369"/>
      <c r="D129" s="157"/>
      <c r="E129" s="169"/>
      <c r="F129" s="161"/>
      <c r="G129" s="8"/>
      <c r="H129" s="364"/>
      <c r="I129" s="170"/>
      <c r="J129" s="354"/>
      <c r="K129" s="355"/>
      <c r="N129" s="76"/>
      <c r="O129" s="10"/>
      <c r="P129" s="14"/>
      <c r="Q129" s="66"/>
      <c r="R129" s="148"/>
      <c r="S129" s="147"/>
    </row>
    <row r="130" spans="2:22" s="9" customFormat="1" ht="19.5" thickBot="1" x14ac:dyDescent="0.2">
      <c r="B130" s="402"/>
      <c r="C130" s="370"/>
      <c r="D130" s="145"/>
      <c r="E130" s="146"/>
      <c r="F130" s="161"/>
      <c r="G130" s="8"/>
      <c r="H130" s="365"/>
      <c r="I130" s="164"/>
      <c r="J130" s="352"/>
      <c r="K130" s="353"/>
      <c r="N130" s="76"/>
      <c r="O130" s="10"/>
      <c r="P130" s="14"/>
      <c r="Q130" s="66"/>
      <c r="R130" s="148"/>
      <c r="S130" s="147"/>
    </row>
    <row r="131" spans="2:22" s="9" customFormat="1" ht="18.75" customHeight="1" x14ac:dyDescent="0.15">
      <c r="B131" s="400" t="s">
        <v>132</v>
      </c>
      <c r="C131" s="368" t="s">
        <v>50</v>
      </c>
      <c r="D131" s="118"/>
      <c r="E131" s="159"/>
      <c r="F131" s="385">
        <v>10</v>
      </c>
      <c r="G131" s="8"/>
      <c r="H131" s="363" t="s">
        <v>50</v>
      </c>
      <c r="I131" s="178"/>
      <c r="J131" s="361"/>
      <c r="K131" s="362"/>
      <c r="N131" s="76" t="s">
        <v>133</v>
      </c>
      <c r="O131" s="10">
        <f>SUM(E131:E135)</f>
        <v>0</v>
      </c>
      <c r="P131" s="11">
        <f>F131</f>
        <v>10</v>
      </c>
      <c r="Q131" s="197" t="str">
        <f>IF(OR(O131+O136+O141+O148&lt;P131,O131=0,O136=0,O141=0,O148=0),"×","")</f>
        <v>×</v>
      </c>
      <c r="R131" s="193" t="str">
        <f>B131</f>
        <v>医用機器学及び臨床支援技術に該当する科目</v>
      </c>
      <c r="S131" s="195"/>
      <c r="T131" s="191"/>
      <c r="U131" s="214"/>
      <c r="V131" s="191"/>
    </row>
    <row r="132" spans="2:22" s="9" customFormat="1" ht="18.75" customHeight="1" x14ac:dyDescent="0.15">
      <c r="B132" s="401"/>
      <c r="C132" s="369"/>
      <c r="D132" s="192"/>
      <c r="E132" s="149"/>
      <c r="F132" s="386"/>
      <c r="G132" s="8"/>
      <c r="H132" s="364"/>
      <c r="I132" s="170"/>
      <c r="J132" s="354"/>
      <c r="K132" s="355"/>
      <c r="N132" s="76"/>
      <c r="O132" s="10"/>
      <c r="P132" s="11"/>
      <c r="Q132" s="10"/>
      <c r="R132" s="3"/>
      <c r="S132" s="18"/>
    </row>
    <row r="133" spans="2:22" s="9" customFormat="1" ht="18.75" customHeight="1" x14ac:dyDescent="0.15">
      <c r="B133" s="401"/>
      <c r="C133" s="369"/>
      <c r="D133" s="192"/>
      <c r="E133" s="149"/>
      <c r="F133" s="386"/>
      <c r="G133" s="8"/>
      <c r="H133" s="364"/>
      <c r="I133" s="170"/>
      <c r="J133" s="354"/>
      <c r="K133" s="355"/>
      <c r="N133" s="76"/>
      <c r="O133" s="10"/>
      <c r="P133" s="11"/>
      <c r="Q133" s="10"/>
      <c r="R133" s="3"/>
      <c r="S133" s="18"/>
    </row>
    <row r="134" spans="2:22" s="9" customFormat="1" ht="18.75" customHeight="1" x14ac:dyDescent="0.15">
      <c r="B134" s="401"/>
      <c r="C134" s="369"/>
      <c r="D134" s="192"/>
      <c r="E134" s="149"/>
      <c r="F134" s="386"/>
      <c r="G134" s="8"/>
      <c r="H134" s="364"/>
      <c r="I134" s="170"/>
      <c r="J134" s="354"/>
      <c r="K134" s="355"/>
      <c r="N134" s="76"/>
      <c r="O134" s="10"/>
      <c r="P134" s="11"/>
      <c r="Q134" s="10"/>
      <c r="R134" s="3"/>
      <c r="S134" s="18"/>
    </row>
    <row r="135" spans="2:22" s="9" customFormat="1" ht="18.75" customHeight="1" thickBot="1" x14ac:dyDescent="0.2">
      <c r="B135" s="401"/>
      <c r="C135" s="370"/>
      <c r="D135" s="160"/>
      <c r="E135" s="143"/>
      <c r="F135" s="386"/>
      <c r="G135" s="8"/>
      <c r="H135" s="365"/>
      <c r="I135" s="164"/>
      <c r="J135" s="352"/>
      <c r="K135" s="353"/>
      <c r="N135" s="76"/>
      <c r="O135" s="10"/>
      <c r="P135" s="11"/>
      <c r="Q135" s="10"/>
      <c r="R135" s="3"/>
      <c r="S135" s="18"/>
    </row>
    <row r="136" spans="2:22" s="9" customFormat="1" ht="18.75" x14ac:dyDescent="0.15">
      <c r="B136" s="401"/>
      <c r="C136" s="368" t="s">
        <v>134</v>
      </c>
      <c r="D136" s="118"/>
      <c r="E136" s="159"/>
      <c r="F136" s="386"/>
      <c r="G136" s="8"/>
      <c r="H136" s="363" t="s">
        <v>134</v>
      </c>
      <c r="I136" s="178"/>
      <c r="J136" s="361"/>
      <c r="K136" s="362"/>
      <c r="N136" s="76" t="s">
        <v>135</v>
      </c>
      <c r="O136" s="10">
        <f>SUM(E136:E140)</f>
        <v>0</v>
      </c>
      <c r="P136" s="16"/>
      <c r="Q136" s="15"/>
      <c r="R136" s="17"/>
      <c r="S136" s="18"/>
    </row>
    <row r="137" spans="2:22" s="9" customFormat="1" ht="18.75" x14ac:dyDescent="0.15">
      <c r="B137" s="401"/>
      <c r="C137" s="369"/>
      <c r="D137" s="145"/>
      <c r="E137" s="149"/>
      <c r="F137" s="386"/>
      <c r="G137" s="8"/>
      <c r="H137" s="364"/>
      <c r="I137" s="170"/>
      <c r="J137" s="354"/>
      <c r="K137" s="355"/>
      <c r="N137" s="76"/>
      <c r="O137" s="10"/>
      <c r="P137" s="16"/>
      <c r="Q137" s="15"/>
      <c r="R137" s="17"/>
      <c r="S137" s="18"/>
    </row>
    <row r="138" spans="2:22" s="9" customFormat="1" ht="18.75" x14ac:dyDescent="0.15">
      <c r="B138" s="401"/>
      <c r="C138" s="369"/>
      <c r="D138" s="157"/>
      <c r="E138" s="149"/>
      <c r="F138" s="386"/>
      <c r="G138" s="8"/>
      <c r="H138" s="364"/>
      <c r="I138" s="170"/>
      <c r="J138" s="354"/>
      <c r="K138" s="355"/>
      <c r="N138" s="76"/>
      <c r="O138" s="10"/>
      <c r="P138" s="16"/>
      <c r="Q138" s="15"/>
      <c r="R138" s="17"/>
      <c r="S138" s="18"/>
    </row>
    <row r="139" spans="2:22" s="9" customFormat="1" ht="18.75" x14ac:dyDescent="0.15">
      <c r="B139" s="401"/>
      <c r="C139" s="369"/>
      <c r="D139" s="156"/>
      <c r="E139" s="149"/>
      <c r="F139" s="386"/>
      <c r="G139" s="8"/>
      <c r="H139" s="364"/>
      <c r="I139" s="170"/>
      <c r="J139" s="354"/>
      <c r="K139" s="355"/>
      <c r="N139" s="76"/>
      <c r="O139" s="10"/>
      <c r="P139" s="16"/>
      <c r="Q139" s="15"/>
      <c r="R139" s="17"/>
      <c r="S139" s="18"/>
    </row>
    <row r="140" spans="2:22" s="9" customFormat="1" ht="19.5" thickBot="1" x14ac:dyDescent="0.2">
      <c r="B140" s="401"/>
      <c r="C140" s="370"/>
      <c r="D140" s="160"/>
      <c r="E140" s="143"/>
      <c r="F140" s="386"/>
      <c r="G140" s="8"/>
      <c r="H140" s="365"/>
      <c r="I140" s="164"/>
      <c r="J140" s="352"/>
      <c r="K140" s="353"/>
      <c r="N140" s="76"/>
      <c r="O140" s="10"/>
      <c r="P140" s="16"/>
      <c r="Q140" s="15"/>
      <c r="R140" s="17"/>
      <c r="S140" s="18"/>
    </row>
    <row r="141" spans="2:22" s="9" customFormat="1" ht="18.75" x14ac:dyDescent="0.15">
      <c r="B141" s="401"/>
      <c r="C141" s="368" t="s">
        <v>136</v>
      </c>
      <c r="D141" s="144"/>
      <c r="E141" s="142"/>
      <c r="F141" s="386"/>
      <c r="G141" s="8"/>
      <c r="H141" s="382" t="s">
        <v>136</v>
      </c>
      <c r="I141" s="178"/>
      <c r="J141" s="361"/>
      <c r="K141" s="362"/>
      <c r="N141" s="76" t="s">
        <v>137</v>
      </c>
      <c r="O141" s="10">
        <f>SUM(E141:E147)</f>
        <v>0</v>
      </c>
      <c r="P141" s="16"/>
      <c r="Q141" s="15"/>
      <c r="R141" s="17"/>
      <c r="S141" s="18"/>
    </row>
    <row r="142" spans="2:22" s="9" customFormat="1" ht="18.75" x14ac:dyDescent="0.15">
      <c r="B142" s="401"/>
      <c r="C142" s="369"/>
      <c r="D142" s="157"/>
      <c r="E142" s="169"/>
      <c r="F142" s="386"/>
      <c r="G142" s="8"/>
      <c r="H142" s="416"/>
      <c r="I142" s="170"/>
      <c r="J142" s="354"/>
      <c r="K142" s="355"/>
      <c r="N142" s="76"/>
      <c r="O142" s="10"/>
      <c r="P142" s="16"/>
      <c r="Q142" s="15"/>
      <c r="R142" s="17"/>
      <c r="S142" s="18"/>
    </row>
    <row r="143" spans="2:22" s="9" customFormat="1" ht="18.75" x14ac:dyDescent="0.15">
      <c r="B143" s="401"/>
      <c r="C143" s="369"/>
      <c r="D143" s="145"/>
      <c r="E143" s="146"/>
      <c r="F143" s="386"/>
      <c r="G143" s="8"/>
      <c r="H143" s="416"/>
      <c r="I143" s="170"/>
      <c r="J143" s="354"/>
      <c r="K143" s="355"/>
      <c r="N143" s="76"/>
      <c r="O143" s="10"/>
      <c r="P143" s="16"/>
      <c r="Q143" s="15"/>
      <c r="R143" s="17"/>
      <c r="S143" s="18"/>
    </row>
    <row r="144" spans="2:22" s="9" customFormat="1" ht="18.75" x14ac:dyDescent="0.15">
      <c r="B144" s="401"/>
      <c r="C144" s="369"/>
      <c r="D144" s="157"/>
      <c r="E144" s="169"/>
      <c r="F144" s="386"/>
      <c r="G144" s="8"/>
      <c r="H144" s="416"/>
      <c r="I144" s="170"/>
      <c r="J144" s="354"/>
      <c r="K144" s="355"/>
      <c r="N144" s="76"/>
      <c r="O144" s="10"/>
      <c r="P144" s="16"/>
      <c r="Q144" s="15"/>
      <c r="R144" s="17"/>
      <c r="S144" s="18"/>
    </row>
    <row r="145" spans="2:21" s="9" customFormat="1" ht="18.75" x14ac:dyDescent="0.15">
      <c r="B145" s="401"/>
      <c r="C145" s="369"/>
      <c r="D145" s="145"/>
      <c r="E145" s="146"/>
      <c r="F145" s="386"/>
      <c r="G145" s="8"/>
      <c r="H145" s="416"/>
      <c r="I145" s="170"/>
      <c r="J145" s="354"/>
      <c r="K145" s="355"/>
      <c r="N145" s="76"/>
      <c r="O145" s="10"/>
      <c r="P145" s="16"/>
      <c r="Q145" s="15"/>
      <c r="R145" s="17"/>
      <c r="S145" s="18"/>
    </row>
    <row r="146" spans="2:21" s="9" customFormat="1" ht="18.75" x14ac:dyDescent="0.15">
      <c r="B146" s="401"/>
      <c r="C146" s="369"/>
      <c r="D146" s="157"/>
      <c r="E146" s="169"/>
      <c r="F146" s="386"/>
      <c r="G146" s="8"/>
      <c r="H146" s="416"/>
      <c r="I146" s="170"/>
      <c r="J146" s="354"/>
      <c r="K146" s="355"/>
      <c r="N146" s="76"/>
      <c r="O146" s="10"/>
      <c r="P146" s="16"/>
      <c r="Q146" s="15"/>
      <c r="R146" s="17"/>
      <c r="S146" s="18"/>
    </row>
    <row r="147" spans="2:21" s="9" customFormat="1" ht="19.5" thickBot="1" x14ac:dyDescent="0.2">
      <c r="B147" s="401"/>
      <c r="C147" s="370"/>
      <c r="D147" s="160"/>
      <c r="E147" s="143"/>
      <c r="F147" s="386"/>
      <c r="G147" s="8"/>
      <c r="H147" s="417"/>
      <c r="I147" s="164"/>
      <c r="J147" s="352"/>
      <c r="K147" s="353"/>
      <c r="N147" s="76"/>
      <c r="O147" s="10"/>
      <c r="P147" s="16"/>
      <c r="Q147" s="15"/>
      <c r="R147" s="17"/>
      <c r="S147" s="18"/>
    </row>
    <row r="148" spans="2:21" s="9" customFormat="1" ht="18.75" x14ac:dyDescent="0.15">
      <c r="B148" s="401"/>
      <c r="C148" s="368" t="s">
        <v>53</v>
      </c>
      <c r="D148" s="141"/>
      <c r="E148" s="146"/>
      <c r="F148" s="386"/>
      <c r="G148" s="8"/>
      <c r="H148" s="382" t="s">
        <v>53</v>
      </c>
      <c r="I148" s="178"/>
      <c r="J148" s="361"/>
      <c r="K148" s="362"/>
      <c r="N148" s="76" t="s">
        <v>138</v>
      </c>
      <c r="O148" s="10">
        <f>SUM(E148:E152)</f>
        <v>0</v>
      </c>
      <c r="P148" s="16"/>
      <c r="Q148" s="15"/>
      <c r="R148" s="17"/>
      <c r="S148" s="18"/>
    </row>
    <row r="149" spans="2:21" s="9" customFormat="1" ht="18.75" x14ac:dyDescent="0.15">
      <c r="B149" s="401"/>
      <c r="C149" s="369"/>
      <c r="D149" s="165"/>
      <c r="E149" s="169"/>
      <c r="F149" s="386"/>
      <c r="G149" s="8"/>
      <c r="H149" s="416"/>
      <c r="I149" s="170"/>
      <c r="J149" s="354"/>
      <c r="K149" s="355"/>
      <c r="N149" s="76"/>
      <c r="O149" s="10"/>
      <c r="P149" s="16"/>
      <c r="Q149" s="15"/>
      <c r="R149" s="17"/>
      <c r="S149" s="18"/>
    </row>
    <row r="150" spans="2:21" s="9" customFormat="1" ht="18.75" x14ac:dyDescent="0.15">
      <c r="B150" s="401"/>
      <c r="C150" s="369"/>
      <c r="D150" s="145"/>
      <c r="E150" s="146"/>
      <c r="F150" s="386"/>
      <c r="G150" s="8"/>
      <c r="H150" s="416"/>
      <c r="I150" s="170"/>
      <c r="J150" s="354"/>
      <c r="K150" s="355"/>
      <c r="N150" s="76"/>
      <c r="O150" s="10"/>
      <c r="P150" s="16"/>
      <c r="Q150" s="15"/>
      <c r="R150" s="17"/>
      <c r="S150" s="18"/>
    </row>
    <row r="151" spans="2:21" s="9" customFormat="1" ht="18.75" x14ac:dyDescent="0.15">
      <c r="B151" s="401"/>
      <c r="C151" s="369"/>
      <c r="D151" s="165"/>
      <c r="E151" s="169"/>
      <c r="F151" s="386"/>
      <c r="G151" s="8"/>
      <c r="H151" s="416"/>
      <c r="I151" s="170"/>
      <c r="J151" s="354"/>
      <c r="K151" s="355"/>
      <c r="N151" s="76"/>
      <c r="O151" s="10"/>
      <c r="P151" s="16"/>
      <c r="Q151" s="15"/>
      <c r="R151" s="17"/>
      <c r="S151" s="18"/>
    </row>
    <row r="152" spans="2:21" s="9" customFormat="1" ht="19.5" thickBot="1" x14ac:dyDescent="0.2">
      <c r="B152" s="402"/>
      <c r="C152" s="370"/>
      <c r="D152" s="145"/>
      <c r="E152" s="143"/>
      <c r="F152" s="387"/>
      <c r="G152" s="8"/>
      <c r="H152" s="417"/>
      <c r="I152" s="164"/>
      <c r="J152" s="352"/>
      <c r="K152" s="353"/>
      <c r="N152" s="76"/>
      <c r="O152" s="10"/>
      <c r="P152" s="16"/>
      <c r="Q152" s="15"/>
      <c r="R152" s="17"/>
      <c r="S152" s="18"/>
    </row>
    <row r="153" spans="2:21" s="9" customFormat="1" ht="18.75" customHeight="1" x14ac:dyDescent="0.15">
      <c r="B153" s="400" t="s">
        <v>139</v>
      </c>
      <c r="C153" s="368" t="s">
        <v>54</v>
      </c>
      <c r="D153" s="118"/>
      <c r="E153" s="159"/>
      <c r="F153" s="385">
        <v>12</v>
      </c>
      <c r="G153" s="8"/>
      <c r="H153" s="382" t="s">
        <v>54</v>
      </c>
      <c r="I153" s="178"/>
      <c r="J153" s="361"/>
      <c r="K153" s="362"/>
      <c r="N153" s="76" t="s">
        <v>140</v>
      </c>
      <c r="O153" s="10">
        <f>SUM(E153:E167)</f>
        <v>0</v>
      </c>
      <c r="P153" s="11">
        <f>F153</f>
        <v>12</v>
      </c>
      <c r="Q153" s="197" t="str">
        <f>IF(O153&lt;P153,"×","")</f>
        <v>×</v>
      </c>
      <c r="R153" s="193" t="str">
        <f>B153</f>
        <v>生体機能代行技術学に該当する科目</v>
      </c>
      <c r="S153" s="195"/>
      <c r="T153" s="191"/>
      <c r="U153" s="198"/>
    </row>
    <row r="154" spans="2:21" s="9" customFormat="1" ht="18.75" customHeight="1" x14ac:dyDescent="0.15">
      <c r="B154" s="401"/>
      <c r="C154" s="369"/>
      <c r="D154" s="192"/>
      <c r="E154" s="149"/>
      <c r="F154" s="386"/>
      <c r="G154" s="8"/>
      <c r="H154" s="416"/>
      <c r="I154" s="170"/>
      <c r="J154" s="354"/>
      <c r="K154" s="355"/>
      <c r="N154" s="76"/>
      <c r="O154" s="10"/>
      <c r="P154" s="11"/>
      <c r="Q154" s="10"/>
      <c r="R154" s="3"/>
      <c r="S154" s="18"/>
    </row>
    <row r="155" spans="2:21" s="9" customFormat="1" ht="18.75" customHeight="1" x14ac:dyDescent="0.15">
      <c r="B155" s="401"/>
      <c r="C155" s="369"/>
      <c r="D155" s="192"/>
      <c r="E155" s="149"/>
      <c r="F155" s="386"/>
      <c r="G155" s="8"/>
      <c r="H155" s="416"/>
      <c r="I155" s="170"/>
      <c r="J155" s="354"/>
      <c r="K155" s="355"/>
      <c r="N155" s="76"/>
      <c r="O155" s="10"/>
      <c r="P155" s="11"/>
      <c r="Q155" s="10"/>
      <c r="R155" s="3"/>
      <c r="S155" s="18"/>
    </row>
    <row r="156" spans="2:21" s="9" customFormat="1" ht="18.75" customHeight="1" x14ac:dyDescent="0.15">
      <c r="B156" s="401"/>
      <c r="C156" s="369"/>
      <c r="D156" s="192"/>
      <c r="E156" s="149"/>
      <c r="F156" s="386"/>
      <c r="G156" s="8"/>
      <c r="H156" s="416"/>
      <c r="I156" s="170"/>
      <c r="J156" s="354"/>
      <c r="K156" s="355"/>
      <c r="N156" s="76"/>
      <c r="O156" s="10"/>
      <c r="P156" s="11"/>
      <c r="Q156" s="10"/>
      <c r="R156" s="3"/>
      <c r="S156" s="18"/>
    </row>
    <row r="157" spans="2:21" s="9" customFormat="1" ht="18.75" customHeight="1" x14ac:dyDescent="0.15">
      <c r="B157" s="401"/>
      <c r="C157" s="369"/>
      <c r="D157" s="192"/>
      <c r="E157" s="149"/>
      <c r="F157" s="386"/>
      <c r="G157" s="8"/>
      <c r="H157" s="416"/>
      <c r="I157" s="170"/>
      <c r="J157" s="354"/>
      <c r="K157" s="355"/>
      <c r="N157" s="76"/>
      <c r="O157" s="10"/>
      <c r="P157" s="11"/>
      <c r="Q157" s="10"/>
      <c r="R157" s="3"/>
      <c r="S157" s="18"/>
    </row>
    <row r="158" spans="2:21" s="9" customFormat="1" ht="18.75" customHeight="1" x14ac:dyDescent="0.15">
      <c r="B158" s="401"/>
      <c r="C158" s="369"/>
      <c r="D158" s="192"/>
      <c r="E158" s="149"/>
      <c r="F158" s="386"/>
      <c r="G158" s="8"/>
      <c r="H158" s="416"/>
      <c r="I158" s="170"/>
      <c r="J158" s="354"/>
      <c r="K158" s="355"/>
      <c r="N158" s="76"/>
      <c r="O158" s="10"/>
      <c r="P158" s="11"/>
      <c r="Q158" s="10"/>
      <c r="R158" s="3"/>
      <c r="S158" s="18"/>
    </row>
    <row r="159" spans="2:21" s="9" customFormat="1" ht="18.75" customHeight="1" x14ac:dyDescent="0.15">
      <c r="B159" s="401"/>
      <c r="C159" s="369"/>
      <c r="D159" s="192"/>
      <c r="E159" s="149"/>
      <c r="F159" s="386"/>
      <c r="G159" s="8"/>
      <c r="H159" s="416"/>
      <c r="I159" s="170"/>
      <c r="J159" s="354"/>
      <c r="K159" s="355"/>
      <c r="N159" s="76"/>
      <c r="O159" s="10"/>
      <c r="P159" s="11"/>
      <c r="Q159" s="10"/>
      <c r="R159" s="3"/>
      <c r="S159" s="18"/>
    </row>
    <row r="160" spans="2:21" s="9" customFormat="1" ht="18.75" customHeight="1" x14ac:dyDescent="0.15">
      <c r="B160" s="401"/>
      <c r="C160" s="369"/>
      <c r="D160" s="192"/>
      <c r="E160" s="149"/>
      <c r="F160" s="386"/>
      <c r="G160" s="8"/>
      <c r="H160" s="416"/>
      <c r="I160" s="170"/>
      <c r="J160" s="354"/>
      <c r="K160" s="355"/>
      <c r="N160" s="76"/>
      <c r="O160" s="10"/>
      <c r="P160" s="11"/>
      <c r="Q160" s="10"/>
      <c r="R160" s="3"/>
      <c r="S160" s="18"/>
    </row>
    <row r="161" spans="2:21" s="9" customFormat="1" ht="18.75" customHeight="1" x14ac:dyDescent="0.15">
      <c r="B161" s="401"/>
      <c r="C161" s="369"/>
      <c r="D161" s="192"/>
      <c r="E161" s="149"/>
      <c r="F161" s="386"/>
      <c r="G161" s="8"/>
      <c r="H161" s="416"/>
      <c r="I161" s="170"/>
      <c r="J161" s="354"/>
      <c r="K161" s="355"/>
      <c r="N161" s="76"/>
      <c r="O161" s="10"/>
      <c r="P161" s="11"/>
      <c r="Q161" s="10"/>
      <c r="R161" s="3"/>
      <c r="S161" s="18"/>
    </row>
    <row r="162" spans="2:21" s="9" customFormat="1" ht="18.75" customHeight="1" x14ac:dyDescent="0.15">
      <c r="B162" s="401"/>
      <c r="C162" s="369"/>
      <c r="D162" s="192"/>
      <c r="E162" s="149"/>
      <c r="F162" s="386"/>
      <c r="G162" s="8"/>
      <c r="H162" s="416"/>
      <c r="I162" s="170"/>
      <c r="J162" s="354"/>
      <c r="K162" s="355"/>
      <c r="N162" s="76"/>
      <c r="O162" s="10"/>
      <c r="P162" s="11"/>
      <c r="Q162" s="10"/>
      <c r="R162" s="3"/>
      <c r="S162" s="18"/>
    </row>
    <row r="163" spans="2:21" s="9" customFormat="1" ht="18.75" customHeight="1" x14ac:dyDescent="0.15">
      <c r="B163" s="401"/>
      <c r="C163" s="369"/>
      <c r="D163" s="192"/>
      <c r="E163" s="149"/>
      <c r="F163" s="386"/>
      <c r="G163" s="8"/>
      <c r="H163" s="416"/>
      <c r="I163" s="170"/>
      <c r="J163" s="354"/>
      <c r="K163" s="355"/>
      <c r="N163" s="76"/>
      <c r="O163" s="10"/>
      <c r="P163" s="11"/>
      <c r="Q163" s="10"/>
      <c r="R163" s="3"/>
      <c r="S163" s="18"/>
    </row>
    <row r="164" spans="2:21" s="9" customFormat="1" ht="18.75" customHeight="1" x14ac:dyDescent="0.15">
      <c r="B164" s="401"/>
      <c r="C164" s="369"/>
      <c r="D164" s="192"/>
      <c r="E164" s="149"/>
      <c r="F164" s="386"/>
      <c r="G164" s="8"/>
      <c r="H164" s="416"/>
      <c r="I164" s="170"/>
      <c r="J164" s="354"/>
      <c r="K164" s="355"/>
      <c r="N164" s="76"/>
      <c r="O164" s="10"/>
      <c r="P164" s="11"/>
      <c r="Q164" s="10"/>
      <c r="R164" s="3"/>
      <c r="S164" s="18"/>
    </row>
    <row r="165" spans="2:21" s="9" customFormat="1" ht="18.75" customHeight="1" x14ac:dyDescent="0.15">
      <c r="B165" s="401"/>
      <c r="C165" s="369"/>
      <c r="D165" s="192"/>
      <c r="E165" s="149"/>
      <c r="F165" s="386"/>
      <c r="G165" s="8"/>
      <c r="H165" s="416"/>
      <c r="I165" s="170"/>
      <c r="J165" s="354"/>
      <c r="K165" s="355"/>
      <c r="N165" s="76"/>
      <c r="O165" s="10"/>
      <c r="P165" s="11"/>
      <c r="Q165" s="10"/>
      <c r="R165" s="3"/>
      <c r="S165" s="18"/>
    </row>
    <row r="166" spans="2:21" s="9" customFormat="1" ht="18.75" customHeight="1" x14ac:dyDescent="0.15">
      <c r="B166" s="401"/>
      <c r="C166" s="369"/>
      <c r="D166" s="192"/>
      <c r="E166" s="149"/>
      <c r="F166" s="386"/>
      <c r="G166" s="8"/>
      <c r="H166" s="416"/>
      <c r="I166" s="170"/>
      <c r="J166" s="354"/>
      <c r="K166" s="355"/>
      <c r="N166" s="76"/>
      <c r="O166" s="10"/>
      <c r="P166" s="11"/>
      <c r="Q166" s="10"/>
      <c r="R166" s="3"/>
      <c r="S166" s="18"/>
    </row>
    <row r="167" spans="2:21" s="9" customFormat="1" ht="19.5" thickBot="1" x14ac:dyDescent="0.2">
      <c r="B167" s="402"/>
      <c r="C167" s="370"/>
      <c r="D167" s="165"/>
      <c r="E167" s="169"/>
      <c r="F167" s="387"/>
      <c r="G167" s="8"/>
      <c r="H167" s="417"/>
      <c r="I167" s="164"/>
      <c r="J167" s="352"/>
      <c r="K167" s="353"/>
      <c r="N167" s="76"/>
      <c r="O167" s="10"/>
      <c r="P167" s="16"/>
      <c r="Q167" s="15"/>
      <c r="R167" s="17"/>
      <c r="S167" s="18"/>
    </row>
    <row r="168" spans="2:21" s="9" customFormat="1" ht="18.75" customHeight="1" x14ac:dyDescent="0.15">
      <c r="B168" s="400" t="s">
        <v>141</v>
      </c>
      <c r="C168" s="368" t="s">
        <v>55</v>
      </c>
      <c r="D168" s="118"/>
      <c r="E168" s="159"/>
      <c r="F168" s="385">
        <v>6</v>
      </c>
      <c r="G168" s="8"/>
      <c r="H168" s="363" t="s">
        <v>55</v>
      </c>
      <c r="I168" s="178"/>
      <c r="J168" s="361"/>
      <c r="K168" s="362"/>
      <c r="N168" s="76" t="s">
        <v>142</v>
      </c>
      <c r="O168" s="10">
        <f>SUM(E168:E178)</f>
        <v>0</v>
      </c>
      <c r="P168" s="11">
        <f>F168</f>
        <v>6</v>
      </c>
      <c r="Q168" s="197" t="str">
        <f>IF(OR(O168+O179+O184+O191&lt;P168,O168=0,O179=0,O184=0,O191=0),"×","")</f>
        <v>×</v>
      </c>
      <c r="R168" s="193" t="str">
        <f>B168</f>
        <v>医療安全管理学に該当する科目</v>
      </c>
      <c r="S168" s="195"/>
      <c r="T168" s="191"/>
      <c r="U168" s="198"/>
    </row>
    <row r="169" spans="2:21" s="9" customFormat="1" ht="18.75" customHeight="1" x14ac:dyDescent="0.15">
      <c r="B169" s="401"/>
      <c r="C169" s="369"/>
      <c r="D169" s="192"/>
      <c r="E169" s="149"/>
      <c r="F169" s="386"/>
      <c r="G169" s="8"/>
      <c r="H169" s="364"/>
      <c r="I169" s="170"/>
      <c r="J169" s="354"/>
      <c r="K169" s="355"/>
      <c r="N169" s="76"/>
      <c r="O169" s="10"/>
      <c r="P169" s="11"/>
      <c r="Q169" s="10"/>
      <c r="R169" s="3"/>
      <c r="S169" s="18"/>
    </row>
    <row r="170" spans="2:21" s="9" customFormat="1" ht="18.75" customHeight="1" x14ac:dyDescent="0.15">
      <c r="B170" s="401"/>
      <c r="C170" s="369"/>
      <c r="D170" s="192"/>
      <c r="E170" s="149"/>
      <c r="F170" s="386"/>
      <c r="G170" s="8"/>
      <c r="H170" s="364"/>
      <c r="I170" s="170"/>
      <c r="J170" s="354"/>
      <c r="K170" s="355"/>
      <c r="N170" s="76"/>
      <c r="O170" s="10"/>
      <c r="P170" s="11"/>
      <c r="Q170" s="10"/>
      <c r="R170" s="3"/>
      <c r="S170" s="18"/>
    </row>
    <row r="171" spans="2:21" s="9" customFormat="1" ht="18.75" customHeight="1" x14ac:dyDescent="0.15">
      <c r="B171" s="401"/>
      <c r="C171" s="369"/>
      <c r="D171" s="192"/>
      <c r="E171" s="149"/>
      <c r="F171" s="386"/>
      <c r="G171" s="8"/>
      <c r="H171" s="364"/>
      <c r="I171" s="170"/>
      <c r="J171" s="354"/>
      <c r="K171" s="355"/>
      <c r="N171" s="76"/>
      <c r="O171" s="10"/>
      <c r="P171" s="11"/>
      <c r="Q171" s="10"/>
      <c r="R171" s="3"/>
      <c r="S171" s="18"/>
    </row>
    <row r="172" spans="2:21" s="9" customFormat="1" ht="18.75" customHeight="1" x14ac:dyDescent="0.15">
      <c r="B172" s="401"/>
      <c r="C172" s="369"/>
      <c r="D172" s="192"/>
      <c r="E172" s="169"/>
      <c r="F172" s="386"/>
      <c r="G172" s="8"/>
      <c r="H172" s="364"/>
      <c r="I172" s="170"/>
      <c r="J172" s="354"/>
      <c r="K172" s="355"/>
      <c r="N172" s="76"/>
      <c r="O172" s="10"/>
      <c r="P172" s="11"/>
      <c r="Q172" s="10"/>
      <c r="R172" s="3"/>
      <c r="S172" s="18"/>
    </row>
    <row r="173" spans="2:21" s="9" customFormat="1" ht="18.75" customHeight="1" x14ac:dyDescent="0.15">
      <c r="B173" s="401"/>
      <c r="C173" s="369"/>
      <c r="D173" s="192"/>
      <c r="E173" s="169"/>
      <c r="F173" s="386"/>
      <c r="G173" s="8"/>
      <c r="H173" s="364"/>
      <c r="I173" s="170"/>
      <c r="J173" s="354"/>
      <c r="K173" s="355"/>
      <c r="N173" s="76"/>
      <c r="O173" s="10"/>
      <c r="P173" s="11"/>
      <c r="Q173" s="10"/>
      <c r="R173" s="3"/>
      <c r="S173" s="18"/>
    </row>
    <row r="174" spans="2:21" s="9" customFormat="1" ht="18.75" customHeight="1" x14ac:dyDescent="0.15">
      <c r="B174" s="401"/>
      <c r="C174" s="369"/>
      <c r="D174" s="192"/>
      <c r="E174" s="169"/>
      <c r="F174" s="386"/>
      <c r="G174" s="8"/>
      <c r="H174" s="364"/>
      <c r="I174" s="170"/>
      <c r="J174" s="354"/>
      <c r="K174" s="355"/>
      <c r="N174" s="76"/>
      <c r="O174" s="10"/>
      <c r="P174" s="11"/>
      <c r="Q174" s="10"/>
      <c r="R174" s="3"/>
      <c r="S174" s="18"/>
    </row>
    <row r="175" spans="2:21" s="9" customFormat="1" ht="18.75" customHeight="1" x14ac:dyDescent="0.15">
      <c r="B175" s="401"/>
      <c r="C175" s="369"/>
      <c r="D175" s="192"/>
      <c r="E175" s="169"/>
      <c r="F175" s="386"/>
      <c r="G175" s="8"/>
      <c r="H175" s="364"/>
      <c r="I175" s="170"/>
      <c r="J175" s="354"/>
      <c r="K175" s="355"/>
      <c r="N175" s="76"/>
      <c r="O175" s="10"/>
      <c r="P175" s="11"/>
      <c r="Q175" s="10"/>
      <c r="R175" s="3"/>
      <c r="S175" s="18"/>
    </row>
    <row r="176" spans="2:21" s="9" customFormat="1" ht="18.75" customHeight="1" x14ac:dyDescent="0.15">
      <c r="B176" s="401"/>
      <c r="C176" s="369"/>
      <c r="D176" s="192"/>
      <c r="E176" s="169"/>
      <c r="F176" s="386"/>
      <c r="G176" s="8"/>
      <c r="H176" s="364"/>
      <c r="I176" s="170"/>
      <c r="J176" s="354"/>
      <c r="K176" s="355"/>
      <c r="N176" s="76"/>
      <c r="O176" s="10"/>
      <c r="P176" s="11"/>
      <c r="Q176" s="10"/>
      <c r="R176" s="3"/>
      <c r="S176" s="18"/>
    </row>
    <row r="177" spans="2:19" s="9" customFormat="1" ht="18.75" customHeight="1" x14ac:dyDescent="0.15">
      <c r="B177" s="401"/>
      <c r="C177" s="369"/>
      <c r="D177" s="192"/>
      <c r="E177" s="149"/>
      <c r="F177" s="386"/>
      <c r="G177" s="8"/>
      <c r="H177" s="364"/>
      <c r="I177" s="170"/>
      <c r="J177" s="354"/>
      <c r="K177" s="355"/>
      <c r="N177" s="76"/>
      <c r="O177" s="10"/>
      <c r="P177" s="11"/>
      <c r="Q177" s="10"/>
      <c r="R177" s="3"/>
      <c r="S177" s="18"/>
    </row>
    <row r="178" spans="2:19" s="9" customFormat="1" ht="18.75" customHeight="1" thickBot="1" x14ac:dyDescent="0.2">
      <c r="B178" s="401"/>
      <c r="C178" s="370"/>
      <c r="D178" s="160"/>
      <c r="E178" s="143"/>
      <c r="F178" s="386"/>
      <c r="G178" s="8"/>
      <c r="H178" s="365"/>
      <c r="I178" s="164"/>
      <c r="J178" s="352"/>
      <c r="K178" s="353"/>
      <c r="N178" s="76"/>
      <c r="O178" s="10"/>
      <c r="P178" s="11"/>
      <c r="Q178" s="10"/>
      <c r="R178" s="3"/>
      <c r="S178" s="18"/>
    </row>
    <row r="179" spans="2:19" s="9" customFormat="1" ht="18.75" x14ac:dyDescent="0.15">
      <c r="B179" s="401"/>
      <c r="C179" s="368" t="s">
        <v>143</v>
      </c>
      <c r="D179" s="118"/>
      <c r="E179" s="159"/>
      <c r="F179" s="386"/>
      <c r="G179" s="8"/>
      <c r="H179" s="363" t="s">
        <v>143</v>
      </c>
      <c r="I179" s="178"/>
      <c r="J179" s="361"/>
      <c r="K179" s="362"/>
      <c r="N179" s="76" t="s">
        <v>144</v>
      </c>
      <c r="O179" s="10">
        <f>SUM(E179:E183)</f>
        <v>0</v>
      </c>
      <c r="P179" s="16"/>
      <c r="Q179" s="15"/>
      <c r="R179" s="17"/>
      <c r="S179" s="18"/>
    </row>
    <row r="180" spans="2:19" s="9" customFormat="1" ht="18.75" x14ac:dyDescent="0.15">
      <c r="B180" s="401"/>
      <c r="C180" s="369"/>
      <c r="D180" s="145"/>
      <c r="E180" s="149"/>
      <c r="F180" s="386"/>
      <c r="G180" s="8"/>
      <c r="H180" s="364"/>
      <c r="I180" s="170"/>
      <c r="J180" s="354"/>
      <c r="K180" s="355"/>
      <c r="N180" s="76"/>
      <c r="O180" s="10"/>
      <c r="P180" s="16"/>
      <c r="Q180" s="15"/>
      <c r="R180" s="17"/>
      <c r="S180" s="18"/>
    </row>
    <row r="181" spans="2:19" s="9" customFormat="1" ht="18.75" x14ac:dyDescent="0.15">
      <c r="B181" s="401"/>
      <c r="C181" s="369"/>
      <c r="D181" s="157"/>
      <c r="E181" s="149"/>
      <c r="F181" s="386"/>
      <c r="G181" s="8"/>
      <c r="H181" s="364"/>
      <c r="I181" s="170"/>
      <c r="J181" s="354"/>
      <c r="K181" s="355"/>
      <c r="N181" s="76"/>
      <c r="O181" s="10"/>
      <c r="P181" s="16"/>
      <c r="Q181" s="15"/>
      <c r="R181" s="17"/>
      <c r="S181" s="18"/>
    </row>
    <row r="182" spans="2:19" s="9" customFormat="1" ht="18.75" x14ac:dyDescent="0.15">
      <c r="B182" s="401"/>
      <c r="C182" s="369"/>
      <c r="D182" s="157"/>
      <c r="E182" s="149"/>
      <c r="F182" s="386"/>
      <c r="G182" s="8"/>
      <c r="H182" s="364"/>
      <c r="I182" s="170"/>
      <c r="J182" s="354"/>
      <c r="K182" s="355"/>
      <c r="N182" s="76"/>
      <c r="O182" s="10"/>
      <c r="P182" s="16"/>
      <c r="Q182" s="15"/>
      <c r="R182" s="17"/>
      <c r="S182" s="18"/>
    </row>
    <row r="183" spans="2:19" s="9" customFormat="1" ht="19.5" thickBot="1" x14ac:dyDescent="0.2">
      <c r="B183" s="401"/>
      <c r="C183" s="370"/>
      <c r="D183" s="168"/>
      <c r="E183" s="143"/>
      <c r="F183" s="386"/>
      <c r="G183" s="8"/>
      <c r="H183" s="365"/>
      <c r="I183" s="164"/>
      <c r="J183" s="352"/>
      <c r="K183" s="353"/>
      <c r="N183" s="76"/>
      <c r="O183" s="10"/>
      <c r="P183" s="16"/>
      <c r="Q183" s="15"/>
      <c r="R183" s="17"/>
      <c r="S183" s="18"/>
    </row>
    <row r="184" spans="2:19" s="9" customFormat="1" ht="18.75" x14ac:dyDescent="0.15">
      <c r="B184" s="401"/>
      <c r="C184" s="368" t="s">
        <v>145</v>
      </c>
      <c r="D184" s="177"/>
      <c r="E184" s="142"/>
      <c r="F184" s="386"/>
      <c r="G184" s="8"/>
      <c r="H184" s="363" t="s">
        <v>145</v>
      </c>
      <c r="I184" s="178"/>
      <c r="J184" s="361"/>
      <c r="K184" s="362"/>
      <c r="N184" s="76" t="s">
        <v>146</v>
      </c>
      <c r="O184" s="10">
        <f>SUM(E184:E190)</f>
        <v>0</v>
      </c>
      <c r="P184" s="16"/>
      <c r="Q184" s="15"/>
      <c r="R184" s="17"/>
      <c r="S184" s="18"/>
    </row>
    <row r="185" spans="2:19" s="9" customFormat="1" ht="18.75" x14ac:dyDescent="0.15">
      <c r="B185" s="401"/>
      <c r="C185" s="369"/>
      <c r="D185" s="157"/>
      <c r="E185" s="150"/>
      <c r="F185" s="386"/>
      <c r="G185" s="8"/>
      <c r="H185" s="364"/>
      <c r="I185" s="170"/>
      <c r="J185" s="354"/>
      <c r="K185" s="355"/>
      <c r="N185" s="76"/>
      <c r="O185" s="10"/>
      <c r="P185" s="16"/>
      <c r="Q185" s="15"/>
      <c r="R185" s="17"/>
      <c r="S185" s="18"/>
    </row>
    <row r="186" spans="2:19" s="9" customFormat="1" ht="18.75" x14ac:dyDescent="0.15">
      <c r="B186" s="401"/>
      <c r="C186" s="369"/>
      <c r="D186" s="157"/>
      <c r="E186" s="150"/>
      <c r="F186" s="386"/>
      <c r="G186" s="8"/>
      <c r="H186" s="364"/>
      <c r="I186" s="170"/>
      <c r="J186" s="354"/>
      <c r="K186" s="355"/>
      <c r="N186" s="76"/>
      <c r="O186" s="10"/>
      <c r="P186" s="16"/>
      <c r="Q186" s="15"/>
      <c r="R186" s="17"/>
      <c r="S186" s="18"/>
    </row>
    <row r="187" spans="2:19" s="9" customFormat="1" ht="18.75" x14ac:dyDescent="0.15">
      <c r="B187" s="401"/>
      <c r="C187" s="369"/>
      <c r="D187" s="157"/>
      <c r="E187" s="150"/>
      <c r="F187" s="386"/>
      <c r="G187" s="8"/>
      <c r="H187" s="364"/>
      <c r="I187" s="170"/>
      <c r="J187" s="354"/>
      <c r="K187" s="355"/>
      <c r="N187" s="76"/>
      <c r="O187" s="10"/>
      <c r="P187" s="16"/>
      <c r="Q187" s="15"/>
      <c r="R187" s="17"/>
      <c r="S187" s="18"/>
    </row>
    <row r="188" spans="2:19" s="9" customFormat="1" ht="18.75" x14ac:dyDescent="0.15">
      <c r="B188" s="401"/>
      <c r="C188" s="369"/>
      <c r="D188" s="157"/>
      <c r="E188" s="150"/>
      <c r="F188" s="386"/>
      <c r="G188" s="8"/>
      <c r="H188" s="364"/>
      <c r="I188" s="170"/>
      <c r="J188" s="354"/>
      <c r="K188" s="355"/>
      <c r="N188" s="76"/>
      <c r="O188" s="10"/>
      <c r="P188" s="16"/>
      <c r="Q188" s="15"/>
      <c r="R188" s="17"/>
      <c r="S188" s="18"/>
    </row>
    <row r="189" spans="2:19" s="9" customFormat="1" ht="18.75" x14ac:dyDescent="0.15">
      <c r="B189" s="401"/>
      <c r="C189" s="369"/>
      <c r="D189" s="157"/>
      <c r="E189" s="150"/>
      <c r="F189" s="386"/>
      <c r="G189" s="8"/>
      <c r="H189" s="364"/>
      <c r="I189" s="170"/>
      <c r="J189" s="354"/>
      <c r="K189" s="355"/>
      <c r="N189" s="76"/>
      <c r="O189" s="10"/>
      <c r="P189" s="16"/>
      <c r="Q189" s="15"/>
      <c r="R189" s="17"/>
      <c r="S189" s="18"/>
    </row>
    <row r="190" spans="2:19" s="9" customFormat="1" ht="19.5" thickBot="1" x14ac:dyDescent="0.2">
      <c r="B190" s="401"/>
      <c r="C190" s="370"/>
      <c r="D190" s="168"/>
      <c r="E190" s="163"/>
      <c r="F190" s="386"/>
      <c r="G190" s="8"/>
      <c r="H190" s="365"/>
      <c r="I190" s="164"/>
      <c r="J190" s="352"/>
      <c r="K190" s="353"/>
      <c r="N190" s="76"/>
      <c r="O190" s="10"/>
      <c r="P190" s="16"/>
      <c r="Q190" s="15"/>
      <c r="R190" s="17"/>
      <c r="S190" s="18"/>
    </row>
    <row r="191" spans="2:19" s="9" customFormat="1" ht="18.75" x14ac:dyDescent="0.15">
      <c r="B191" s="401"/>
      <c r="C191" s="368" t="s">
        <v>147</v>
      </c>
      <c r="D191" s="177"/>
      <c r="E191" s="142"/>
      <c r="F191" s="386"/>
      <c r="G191" s="8"/>
      <c r="H191" s="363" t="s">
        <v>147</v>
      </c>
      <c r="I191" s="178"/>
      <c r="J191" s="361"/>
      <c r="K191" s="362"/>
      <c r="N191" s="76" t="s">
        <v>148</v>
      </c>
      <c r="O191" s="10">
        <f>SUM(E191:E195)</f>
        <v>0</v>
      </c>
      <c r="P191" s="16"/>
      <c r="Q191" s="15"/>
      <c r="R191" s="17"/>
      <c r="S191" s="18"/>
    </row>
    <row r="192" spans="2:19" s="9" customFormat="1" ht="18.75" x14ac:dyDescent="0.15">
      <c r="B192" s="401"/>
      <c r="C192" s="369"/>
      <c r="D192" s="157"/>
      <c r="E192" s="150"/>
      <c r="F192" s="386"/>
      <c r="G192" s="8"/>
      <c r="H192" s="364"/>
      <c r="I192" s="170"/>
      <c r="J192" s="354"/>
      <c r="K192" s="355"/>
      <c r="N192" s="76"/>
      <c r="O192" s="10"/>
      <c r="P192" s="16"/>
      <c r="Q192" s="15"/>
      <c r="R192" s="17"/>
      <c r="S192" s="18"/>
    </row>
    <row r="193" spans="2:21" s="9" customFormat="1" ht="18.75" x14ac:dyDescent="0.15">
      <c r="B193" s="401"/>
      <c r="C193" s="369"/>
      <c r="D193" s="157"/>
      <c r="E193" s="150"/>
      <c r="F193" s="386"/>
      <c r="G193" s="8"/>
      <c r="H193" s="364"/>
      <c r="I193" s="170"/>
      <c r="J193" s="354"/>
      <c r="K193" s="355"/>
      <c r="N193" s="76"/>
      <c r="O193" s="10"/>
      <c r="P193" s="16"/>
      <c r="Q193" s="15"/>
      <c r="R193" s="17"/>
      <c r="S193" s="18"/>
    </row>
    <row r="194" spans="2:21" s="9" customFormat="1" ht="18.75" x14ac:dyDescent="0.15">
      <c r="B194" s="401"/>
      <c r="C194" s="369"/>
      <c r="D194" s="157"/>
      <c r="E194" s="150"/>
      <c r="F194" s="386"/>
      <c r="G194" s="8"/>
      <c r="H194" s="364"/>
      <c r="I194" s="170"/>
      <c r="J194" s="354"/>
      <c r="K194" s="355"/>
      <c r="N194" s="76"/>
      <c r="O194" s="10"/>
      <c r="P194" s="16"/>
      <c r="Q194" s="15"/>
      <c r="R194" s="17"/>
      <c r="S194" s="18"/>
    </row>
    <row r="195" spans="2:21" s="9" customFormat="1" ht="19.5" thickBot="1" x14ac:dyDescent="0.2">
      <c r="B195" s="402"/>
      <c r="C195" s="370"/>
      <c r="D195" s="168"/>
      <c r="E195" s="163"/>
      <c r="F195" s="387"/>
      <c r="G195" s="8"/>
      <c r="H195" s="365"/>
      <c r="I195" s="164"/>
      <c r="J195" s="352"/>
      <c r="K195" s="353"/>
      <c r="N195" s="76"/>
      <c r="O195" s="10"/>
      <c r="P195" s="16"/>
      <c r="Q195" s="15"/>
      <c r="R195" s="17"/>
      <c r="S195" s="18"/>
    </row>
    <row r="196" spans="2:21" s="9" customFormat="1" ht="18.75" customHeight="1" x14ac:dyDescent="0.15">
      <c r="B196" s="400" t="s">
        <v>149</v>
      </c>
      <c r="C196" s="388" t="s">
        <v>56</v>
      </c>
      <c r="D196" s="177"/>
      <c r="E196" s="159"/>
      <c r="F196" s="385">
        <v>7</v>
      </c>
      <c r="G196" s="8"/>
      <c r="H196" s="363" t="s">
        <v>56</v>
      </c>
      <c r="I196" s="178"/>
      <c r="J196" s="361"/>
      <c r="K196" s="362"/>
      <c r="N196" s="76" t="s">
        <v>150</v>
      </c>
      <c r="O196" s="10">
        <f>SUM(E196:E205)</f>
        <v>0</v>
      </c>
      <c r="P196" s="11">
        <f>F196</f>
        <v>7</v>
      </c>
      <c r="Q196" s="197" t="str">
        <f>IF(O196&lt;P196,"×","")</f>
        <v>×</v>
      </c>
      <c r="R196" s="193" t="str">
        <f>B196</f>
        <v>関連臨床医学に該当する科目</v>
      </c>
      <c r="S196" s="195"/>
      <c r="T196" s="191"/>
      <c r="U196" s="198"/>
    </row>
    <row r="197" spans="2:21" s="9" customFormat="1" ht="18.75" customHeight="1" x14ac:dyDescent="0.15">
      <c r="B197" s="401"/>
      <c r="C197" s="389"/>
      <c r="D197" s="157"/>
      <c r="E197" s="149"/>
      <c r="F197" s="386"/>
      <c r="G197" s="8"/>
      <c r="H197" s="364"/>
      <c r="I197" s="170"/>
      <c r="J197" s="354"/>
      <c r="K197" s="355"/>
      <c r="N197" s="76"/>
      <c r="O197" s="10"/>
      <c r="P197" s="11"/>
      <c r="Q197" s="10"/>
      <c r="R197" s="3"/>
      <c r="S197" s="18"/>
    </row>
    <row r="198" spans="2:21" s="9" customFormat="1" ht="18.75" customHeight="1" x14ac:dyDescent="0.15">
      <c r="B198" s="401"/>
      <c r="C198" s="389"/>
      <c r="D198" s="157"/>
      <c r="E198" s="149"/>
      <c r="F198" s="386"/>
      <c r="G198" s="8"/>
      <c r="H198" s="364"/>
      <c r="I198" s="170"/>
      <c r="J198" s="354"/>
      <c r="K198" s="355"/>
      <c r="N198" s="76"/>
      <c r="O198" s="10"/>
      <c r="P198" s="11"/>
      <c r="Q198" s="10"/>
      <c r="R198" s="3"/>
      <c r="S198" s="18"/>
    </row>
    <row r="199" spans="2:21" s="9" customFormat="1" ht="18.75" customHeight="1" x14ac:dyDescent="0.15">
      <c r="B199" s="401"/>
      <c r="C199" s="389"/>
      <c r="D199" s="157"/>
      <c r="E199" s="149"/>
      <c r="F199" s="386"/>
      <c r="G199" s="8"/>
      <c r="H199" s="364"/>
      <c r="I199" s="170"/>
      <c r="J199" s="354"/>
      <c r="K199" s="355"/>
      <c r="N199" s="76"/>
      <c r="O199" s="10"/>
      <c r="P199" s="11"/>
      <c r="Q199" s="10"/>
      <c r="R199" s="3"/>
      <c r="S199" s="18"/>
    </row>
    <row r="200" spans="2:21" s="9" customFormat="1" ht="18.75" customHeight="1" x14ac:dyDescent="0.15">
      <c r="B200" s="401"/>
      <c r="C200" s="389"/>
      <c r="D200" s="157"/>
      <c r="E200" s="149"/>
      <c r="F200" s="386"/>
      <c r="G200" s="8"/>
      <c r="H200" s="364"/>
      <c r="I200" s="170"/>
      <c r="J200" s="354"/>
      <c r="K200" s="355"/>
      <c r="N200" s="76"/>
      <c r="O200" s="10"/>
      <c r="P200" s="11"/>
      <c r="Q200" s="10"/>
      <c r="R200" s="3"/>
      <c r="S200" s="18"/>
    </row>
    <row r="201" spans="2:21" s="9" customFormat="1" ht="18.75" customHeight="1" x14ac:dyDescent="0.15">
      <c r="B201" s="401"/>
      <c r="C201" s="389"/>
      <c r="D201" s="157"/>
      <c r="E201" s="149"/>
      <c r="F201" s="386"/>
      <c r="G201" s="8"/>
      <c r="H201" s="364"/>
      <c r="I201" s="170"/>
      <c r="J201" s="354"/>
      <c r="K201" s="355"/>
      <c r="N201" s="76"/>
      <c r="O201" s="10"/>
      <c r="P201" s="11"/>
      <c r="Q201" s="10"/>
      <c r="R201" s="3"/>
      <c r="S201" s="18"/>
    </row>
    <row r="202" spans="2:21" s="9" customFormat="1" ht="18.75" customHeight="1" x14ac:dyDescent="0.15">
      <c r="B202" s="401"/>
      <c r="C202" s="389"/>
      <c r="D202" s="157"/>
      <c r="E202" s="149"/>
      <c r="F202" s="386"/>
      <c r="G202" s="8"/>
      <c r="H202" s="364"/>
      <c r="I202" s="170"/>
      <c r="J202" s="354"/>
      <c r="K202" s="355"/>
      <c r="N202" s="76"/>
      <c r="O202" s="10"/>
      <c r="P202" s="11"/>
      <c r="Q202" s="10"/>
      <c r="R202" s="3"/>
      <c r="S202" s="18"/>
    </row>
    <row r="203" spans="2:21" s="9" customFormat="1" ht="18.75" customHeight="1" x14ac:dyDescent="0.15">
      <c r="B203" s="401"/>
      <c r="C203" s="389"/>
      <c r="D203" s="157"/>
      <c r="E203" s="149"/>
      <c r="F203" s="386"/>
      <c r="G203" s="8"/>
      <c r="H203" s="364"/>
      <c r="I203" s="170"/>
      <c r="J203" s="354"/>
      <c r="K203" s="355"/>
      <c r="N203" s="76"/>
      <c r="O203" s="10"/>
      <c r="P203" s="11"/>
      <c r="Q203" s="10"/>
      <c r="R203" s="3"/>
      <c r="S203" s="18"/>
    </row>
    <row r="204" spans="2:21" s="9" customFormat="1" ht="18.75" customHeight="1" x14ac:dyDescent="0.15">
      <c r="B204" s="401"/>
      <c r="C204" s="389"/>
      <c r="D204" s="157"/>
      <c r="E204" s="149"/>
      <c r="F204" s="386"/>
      <c r="G204" s="8"/>
      <c r="H204" s="364"/>
      <c r="I204" s="170"/>
      <c r="J204" s="354"/>
      <c r="K204" s="355"/>
      <c r="N204" s="76"/>
      <c r="O204" s="10"/>
      <c r="P204" s="11"/>
      <c r="Q204" s="10"/>
      <c r="R204" s="3"/>
      <c r="S204" s="18"/>
    </row>
    <row r="205" spans="2:21" s="9" customFormat="1" ht="19.5" thickBot="1" x14ac:dyDescent="0.2">
      <c r="B205" s="402"/>
      <c r="C205" s="390"/>
      <c r="D205" s="168"/>
      <c r="E205" s="163"/>
      <c r="F205" s="387"/>
      <c r="G205" s="8"/>
      <c r="H205" s="365"/>
      <c r="I205" s="164"/>
      <c r="J205" s="352"/>
      <c r="K205" s="353"/>
      <c r="N205" s="76"/>
      <c r="O205" s="10"/>
      <c r="P205" s="16"/>
      <c r="Q205" s="15"/>
      <c r="R205" s="17"/>
      <c r="S205" s="18"/>
    </row>
    <row r="206" spans="2:21" s="9" customFormat="1" ht="18.75" x14ac:dyDescent="0.15">
      <c r="B206" s="397" t="s">
        <v>151</v>
      </c>
      <c r="C206" s="403" t="s">
        <v>57</v>
      </c>
      <c r="D206" s="156"/>
      <c r="E206" s="146"/>
      <c r="F206" s="373">
        <v>7</v>
      </c>
      <c r="G206" s="8"/>
      <c r="H206" s="363" t="s">
        <v>57</v>
      </c>
      <c r="I206" s="178"/>
      <c r="J206" s="361"/>
      <c r="K206" s="362"/>
      <c r="N206" s="76" t="s">
        <v>152</v>
      </c>
      <c r="O206" s="10">
        <f>SUM(E206:E210)</f>
        <v>0</v>
      </c>
      <c r="P206" s="11">
        <f>F206</f>
        <v>7</v>
      </c>
      <c r="Q206" s="197" t="str">
        <f>IF(O206&lt;P206,"×","")</f>
        <v>×</v>
      </c>
      <c r="R206" s="193" t="str">
        <f>B206</f>
        <v>臨床実習に該当する科目</v>
      </c>
      <c r="S206" s="195"/>
      <c r="T206" s="191"/>
    </row>
    <row r="207" spans="2:21" s="9" customFormat="1" ht="18.75" x14ac:dyDescent="0.15">
      <c r="B207" s="398"/>
      <c r="C207" s="403"/>
      <c r="D207" s="157"/>
      <c r="E207" s="170"/>
      <c r="F207" s="414"/>
      <c r="G207" s="8"/>
      <c r="H207" s="364"/>
      <c r="I207" s="170"/>
      <c r="J207" s="354"/>
      <c r="K207" s="355"/>
      <c r="N207" s="76"/>
      <c r="O207" s="10"/>
      <c r="P207" s="11"/>
      <c r="Q207" s="10"/>
      <c r="R207" s="3"/>
      <c r="S207" s="18"/>
    </row>
    <row r="208" spans="2:21" s="9" customFormat="1" ht="18.75" x14ac:dyDescent="0.15">
      <c r="B208" s="398"/>
      <c r="C208" s="403"/>
      <c r="D208" s="157"/>
      <c r="E208" s="170"/>
      <c r="F208" s="414"/>
      <c r="G208" s="8"/>
      <c r="H208" s="364"/>
      <c r="I208" s="170"/>
      <c r="J208" s="354"/>
      <c r="K208" s="355"/>
      <c r="N208" s="76"/>
      <c r="O208" s="10"/>
      <c r="P208" s="11"/>
      <c r="Q208" s="10"/>
      <c r="R208" s="3"/>
      <c r="S208" s="18"/>
    </row>
    <row r="209" spans="2:23" s="9" customFormat="1" ht="18.75" x14ac:dyDescent="0.15">
      <c r="B209" s="398"/>
      <c r="C209" s="403"/>
      <c r="D209" s="157"/>
      <c r="E209" s="170"/>
      <c r="F209" s="414"/>
      <c r="G209" s="8"/>
      <c r="H209" s="364"/>
      <c r="I209" s="170"/>
      <c r="J209" s="354"/>
      <c r="K209" s="355"/>
      <c r="N209" s="76"/>
      <c r="O209" s="10"/>
      <c r="P209" s="11"/>
      <c r="Q209" s="10"/>
      <c r="R209" s="3"/>
      <c r="S209" s="18"/>
    </row>
    <row r="210" spans="2:23" s="9" customFormat="1" ht="19.5" thickBot="1" x14ac:dyDescent="0.2">
      <c r="B210" s="399"/>
      <c r="C210" s="404"/>
      <c r="D210" s="157"/>
      <c r="E210" s="143"/>
      <c r="F210" s="415"/>
      <c r="G210" s="8"/>
      <c r="H210" s="365"/>
      <c r="I210" s="164"/>
      <c r="J210" s="352"/>
      <c r="K210" s="353"/>
      <c r="N210" s="76"/>
      <c r="O210" s="15"/>
      <c r="P210" s="16"/>
      <c r="Q210" s="15"/>
      <c r="R210" s="17"/>
      <c r="S210" s="18"/>
    </row>
    <row r="211" spans="2:23" s="9" customFormat="1" ht="19.5" thickBot="1" x14ac:dyDescent="0.2">
      <c r="B211" s="392" t="s">
        <v>58</v>
      </c>
      <c r="C211" s="393"/>
      <c r="D211" s="394"/>
      <c r="E211" s="121">
        <f>SUM(E12:E210)</f>
        <v>0</v>
      </c>
      <c r="F211" s="122">
        <v>87</v>
      </c>
      <c r="G211" s="8"/>
      <c r="H211"/>
      <c r="I211"/>
      <c r="J211"/>
      <c r="K211"/>
      <c r="O211" s="15"/>
      <c r="P211" s="16"/>
      <c r="Q211" s="15"/>
      <c r="R211" s="17"/>
      <c r="S211" s="18"/>
    </row>
    <row r="212" spans="2:23" s="9" customFormat="1" ht="19.5" thickBot="1" x14ac:dyDescent="0.2">
      <c r="B212" s="117"/>
      <c r="C212" s="105"/>
      <c r="D212" s="101"/>
      <c r="E212" s="101"/>
      <c r="F212" s="104"/>
      <c r="G212" s="8"/>
      <c r="H212"/>
      <c r="I212"/>
      <c r="J212"/>
      <c r="K212"/>
      <c r="O212" s="15"/>
      <c r="P212" s="16"/>
      <c r="Q212" s="15"/>
      <c r="R212" s="17"/>
      <c r="S212" s="18"/>
    </row>
    <row r="213" spans="2:23" ht="18.75" x14ac:dyDescent="0.15">
      <c r="B213"/>
      <c r="C213" s="123" t="s">
        <v>153</v>
      </c>
      <c r="D213" s="179" t="s">
        <v>154</v>
      </c>
      <c r="E213" s="199" t="s">
        <v>155</v>
      </c>
      <c r="F213" s="124" t="s">
        <v>96</v>
      </c>
      <c r="G213" s="8"/>
      <c r="H213" s="123" t="s">
        <v>153</v>
      </c>
      <c r="I213" s="179" t="s">
        <v>154</v>
      </c>
      <c r="J213" s="356" t="s">
        <v>155</v>
      </c>
      <c r="K213" s="357"/>
      <c r="L213" s="9"/>
      <c r="M213" s="9"/>
      <c r="P213" s="19"/>
    </row>
    <row r="214" spans="2:23" ht="18.75" customHeight="1" x14ac:dyDescent="0.15">
      <c r="B214"/>
      <c r="C214" s="358" t="s">
        <v>156</v>
      </c>
      <c r="D214" s="180" t="s">
        <v>157</v>
      </c>
      <c r="E214" s="200"/>
      <c r="F214" s="135"/>
      <c r="G214" s="8"/>
      <c r="H214" s="358" t="s">
        <v>156</v>
      </c>
      <c r="I214" s="180" t="s">
        <v>157</v>
      </c>
      <c r="J214" s="354"/>
      <c r="K214" s="355"/>
      <c r="L214" s="9"/>
      <c r="M214" s="9"/>
      <c r="N214" s="76" t="s">
        <v>158</v>
      </c>
      <c r="O214" s="10">
        <f>E214</f>
        <v>0</v>
      </c>
      <c r="P214" s="11">
        <v>0</v>
      </c>
      <c r="Q214" s="215" t="str">
        <f>IF(O214&lt;P214,"×","")</f>
        <v/>
      </c>
      <c r="R214" s="136" t="s">
        <v>57</v>
      </c>
      <c r="S214" s="137" t="s">
        <v>159</v>
      </c>
      <c r="T214" s="137"/>
      <c r="U214" s="137"/>
      <c r="V214" s="137"/>
      <c r="W214" s="138"/>
    </row>
    <row r="215" spans="2:23" ht="18.75" customHeight="1" x14ac:dyDescent="0.15">
      <c r="B215"/>
      <c r="C215" s="359"/>
      <c r="D215" s="181" t="s">
        <v>160</v>
      </c>
      <c r="E215" s="200"/>
      <c r="F215" s="134">
        <v>1</v>
      </c>
      <c r="G215" s="8"/>
      <c r="H215" s="359"/>
      <c r="I215" s="181" t="s">
        <v>160</v>
      </c>
      <c r="J215" s="354"/>
      <c r="K215" s="355"/>
      <c r="L215" s="9"/>
      <c r="M215" s="9"/>
      <c r="N215" s="76" t="s">
        <v>158</v>
      </c>
      <c r="O215" s="10">
        <f>E215</f>
        <v>0</v>
      </c>
      <c r="P215" s="11">
        <v>1</v>
      </c>
      <c r="Q215" s="215" t="str">
        <f>IF(O215&lt;P215,"×","")</f>
        <v>×</v>
      </c>
      <c r="R215" s="136" t="s">
        <v>57</v>
      </c>
      <c r="S215" s="137" t="s">
        <v>161</v>
      </c>
      <c r="T215" s="137"/>
      <c r="U215" s="137"/>
      <c r="V215" s="137"/>
      <c r="W215" s="138"/>
    </row>
    <row r="216" spans="2:23" ht="18.75" x14ac:dyDescent="0.15">
      <c r="B216"/>
      <c r="C216" s="359"/>
      <c r="D216" s="182" t="s">
        <v>162</v>
      </c>
      <c r="E216" s="200"/>
      <c r="F216" s="126">
        <v>2</v>
      </c>
      <c r="G216" s="8"/>
      <c r="H216" s="359"/>
      <c r="I216" s="182" t="s">
        <v>162</v>
      </c>
      <c r="J216" s="354"/>
      <c r="K216" s="355"/>
      <c r="L216" s="9"/>
      <c r="M216" s="9"/>
      <c r="N216" s="76" t="s">
        <v>163</v>
      </c>
      <c r="O216" s="10">
        <f t="shared" ref="O216:O218" si="0">E216</f>
        <v>0</v>
      </c>
      <c r="P216" s="11">
        <v>2</v>
      </c>
      <c r="Q216" s="215" t="str">
        <f>IF(O216&lt;P216,"×","")</f>
        <v>×</v>
      </c>
      <c r="R216" s="216" t="s">
        <v>57</v>
      </c>
      <c r="S216" s="125" t="s">
        <v>164</v>
      </c>
      <c r="T216" s="125"/>
      <c r="U216" s="125"/>
      <c r="V216" s="125"/>
      <c r="W216" s="201"/>
    </row>
    <row r="217" spans="2:23" ht="18.75" x14ac:dyDescent="0.15">
      <c r="B217"/>
      <c r="C217" s="359"/>
      <c r="D217" s="133" t="s">
        <v>165</v>
      </c>
      <c r="E217" s="200"/>
      <c r="F217" s="126">
        <v>2</v>
      </c>
      <c r="G217" s="8"/>
      <c r="H217" s="359"/>
      <c r="I217" s="133" t="s">
        <v>165</v>
      </c>
      <c r="J217" s="354"/>
      <c r="K217" s="355"/>
      <c r="L217" s="9"/>
      <c r="M217" s="9"/>
      <c r="N217" s="76" t="s">
        <v>163</v>
      </c>
      <c r="O217" s="10">
        <f t="shared" ref="O217" si="1">E217</f>
        <v>0</v>
      </c>
      <c r="P217" s="11">
        <v>2</v>
      </c>
      <c r="Q217" s="215" t="str">
        <f>IF(O217&lt;P217,"×","")</f>
        <v>×</v>
      </c>
      <c r="R217" s="202" t="s">
        <v>57</v>
      </c>
      <c r="S217" s="139" t="s">
        <v>166</v>
      </c>
      <c r="T217" s="139"/>
      <c r="U217" s="139"/>
      <c r="V217" s="139"/>
      <c r="W217" s="203"/>
    </row>
    <row r="218" spans="2:23" ht="19.5" thickBot="1" x14ac:dyDescent="0.2">
      <c r="B218"/>
      <c r="C218" s="360"/>
      <c r="D218" s="183" t="s">
        <v>167</v>
      </c>
      <c r="E218" s="204"/>
      <c r="F218" s="127"/>
      <c r="G218" s="8"/>
      <c r="H218" s="360"/>
      <c r="I218" s="183" t="s">
        <v>167</v>
      </c>
      <c r="J218" s="352"/>
      <c r="K218" s="353"/>
      <c r="L218" s="9"/>
      <c r="M218" s="9"/>
      <c r="N218" s="76" t="s">
        <v>168</v>
      </c>
      <c r="O218" s="10">
        <f t="shared" si="0"/>
        <v>0</v>
      </c>
      <c r="P218" s="11">
        <v>0</v>
      </c>
      <c r="Q218" s="215" t="str">
        <f>IF(O218&lt;P218,"×","")</f>
        <v/>
      </c>
      <c r="R218" s="202" t="s">
        <v>57</v>
      </c>
      <c r="S218" s="139" t="s">
        <v>169</v>
      </c>
      <c r="T218" s="139"/>
      <c r="U218" s="139"/>
      <c r="V218" s="139"/>
      <c r="W218" s="203"/>
    </row>
    <row r="219" spans="2:23" ht="18.75" x14ac:dyDescent="0.15">
      <c r="B219" s="100"/>
      <c r="C219" s="128" t="s">
        <v>170</v>
      </c>
      <c r="D219" s="101"/>
      <c r="E219" s="102"/>
      <c r="F219" s="8"/>
      <c r="G219" s="8"/>
      <c r="H219" s="18"/>
      <c r="I219" s="23"/>
      <c r="J219" s="23"/>
      <c r="K219" s="23"/>
      <c r="L219" s="9"/>
      <c r="M219" s="9"/>
      <c r="O219"/>
      <c r="Q219" s="19"/>
      <c r="S219" s="3"/>
    </row>
    <row r="220" spans="2:23" ht="18.75" x14ac:dyDescent="0.15">
      <c r="B220" s="100"/>
      <c r="C220" s="129" t="s">
        <v>171</v>
      </c>
      <c r="D220" s="130"/>
      <c r="E220" s="130"/>
      <c r="F220" s="8"/>
      <c r="G220" s="8"/>
      <c r="H220" s="18"/>
      <c r="I220" s="23"/>
      <c r="J220" s="23"/>
      <c r="K220" s="23"/>
      <c r="L220" s="9"/>
      <c r="M220" s="9"/>
      <c r="O220" s="21" t="s">
        <v>172</v>
      </c>
      <c r="Q220" s="19"/>
      <c r="S220" s="3"/>
    </row>
    <row r="221" spans="2:23" ht="18.75" x14ac:dyDescent="0.15">
      <c r="B221" s="100"/>
      <c r="C221" s="131" t="s">
        <v>173</v>
      </c>
      <c r="D221" s="101"/>
      <c r="E221" s="102"/>
      <c r="F221" s="8"/>
      <c r="G221" s="8"/>
      <c r="L221" s="9"/>
      <c r="M221" s="9"/>
      <c r="O221" s="132" t="s">
        <v>174</v>
      </c>
      <c r="Q221" s="19"/>
      <c r="S221" s="3"/>
    </row>
    <row r="222" spans="2:23" ht="18.75" x14ac:dyDescent="0.15">
      <c r="B222" s="100"/>
      <c r="C222" s="101"/>
      <c r="D222" s="101"/>
      <c r="E222" s="102"/>
      <c r="F222" s="8"/>
      <c r="G222" s="8"/>
      <c r="L222" s="9"/>
      <c r="M222" s="9"/>
      <c r="O222"/>
      <c r="Q222" s="19"/>
      <c r="S222" s="3"/>
    </row>
    <row r="223" spans="2:23" s="9" customFormat="1" ht="18.75" x14ac:dyDescent="0.15">
      <c r="B223" s="117"/>
      <c r="C223" s="103"/>
      <c r="D223" s="101"/>
      <c r="E223" s="101"/>
      <c r="F223" s="102"/>
      <c r="G223" s="8"/>
      <c r="H223"/>
      <c r="I223"/>
      <c r="J223"/>
      <c r="K223"/>
      <c r="O223" s="15"/>
      <c r="P223" s="16"/>
      <c r="Q223" s="15"/>
      <c r="R223" s="17"/>
      <c r="S223" s="18"/>
    </row>
    <row r="224" spans="2:23" s="9" customFormat="1" ht="18.75" x14ac:dyDescent="0.15">
      <c r="B224" s="117"/>
      <c r="C224" s="100"/>
      <c r="D224" s="101"/>
      <c r="E224" s="101"/>
      <c r="F224" s="102"/>
      <c r="G224" s="8"/>
      <c r="H224" s="18"/>
      <c r="I224" s="23"/>
      <c r="J224" s="23"/>
      <c r="K224" s="23"/>
      <c r="O224" s="15"/>
      <c r="P224" s="16"/>
      <c r="Q224" s="15"/>
      <c r="R224" s="17"/>
      <c r="S224" s="18"/>
    </row>
    <row r="225" spans="2:19" s="9" customFormat="1" ht="18.75" customHeight="1" x14ac:dyDescent="0.15">
      <c r="B225" s="117"/>
      <c r="C225" s="100"/>
      <c r="D225" s="101"/>
      <c r="E225" s="101"/>
      <c r="F225" s="22"/>
      <c r="G225" s="8"/>
      <c r="H225" s="18"/>
      <c r="I225" s="23"/>
      <c r="J225" s="23"/>
      <c r="K225" s="23"/>
      <c r="O225" s="15"/>
      <c r="P225" s="16"/>
      <c r="Q225" s="15"/>
      <c r="R225" s="17"/>
      <c r="S225" s="18"/>
    </row>
    <row r="226" spans="2:19" s="9" customFormat="1" ht="18.75" x14ac:dyDescent="0.15">
      <c r="B226" s="117"/>
      <c r="C226" s="100"/>
      <c r="D226" s="101"/>
      <c r="E226" s="101"/>
      <c r="F226" s="104"/>
      <c r="G226" s="8"/>
      <c r="H226"/>
      <c r="I226"/>
      <c r="J226"/>
      <c r="K226"/>
      <c r="O226" s="15"/>
      <c r="P226" s="16"/>
      <c r="Q226" s="15"/>
      <c r="R226" s="17"/>
      <c r="S226" s="18"/>
    </row>
    <row r="227" spans="2:19" s="9" customFormat="1" ht="18.75" x14ac:dyDescent="0.15">
      <c r="B227" s="117"/>
      <c r="C227" s="100"/>
      <c r="D227" s="101"/>
      <c r="E227" s="101"/>
      <c r="F227" s="104"/>
      <c r="G227" s="8"/>
      <c r="H227"/>
      <c r="I227"/>
      <c r="J227"/>
      <c r="K227"/>
      <c r="O227" s="15"/>
      <c r="P227" s="16"/>
      <c r="Q227" s="15"/>
      <c r="R227" s="17"/>
      <c r="S227" s="18"/>
    </row>
    <row r="228" spans="2:19" s="9" customFormat="1" ht="18.75" x14ac:dyDescent="0.15">
      <c r="B228" s="117"/>
      <c r="C228" s="100"/>
      <c r="D228" s="101"/>
      <c r="E228" s="101"/>
      <c r="F228" s="104"/>
      <c r="G228" s="8"/>
      <c r="H228"/>
      <c r="I228"/>
      <c r="J228"/>
      <c r="K228"/>
      <c r="O228" s="15"/>
      <c r="P228" s="16"/>
      <c r="Q228" s="15"/>
      <c r="R228" s="17"/>
      <c r="S228" s="18"/>
    </row>
    <row r="229" spans="2:19" s="9" customFormat="1" ht="18.75" x14ac:dyDescent="0.15">
      <c r="B229" s="117"/>
      <c r="C229" s="103"/>
      <c r="D229" s="101"/>
      <c r="E229" s="101"/>
      <c r="F229" s="104"/>
      <c r="G229" s="8"/>
      <c r="H229"/>
      <c r="I229"/>
      <c r="J229"/>
      <c r="K229"/>
      <c r="O229" s="15"/>
      <c r="P229" s="16"/>
      <c r="Q229" s="15"/>
      <c r="R229" s="17"/>
      <c r="S229" s="18"/>
    </row>
    <row r="230" spans="2:19" s="9" customFormat="1" ht="18.75" x14ac:dyDescent="0.15">
      <c r="B230" s="117"/>
      <c r="C230" s="103"/>
      <c r="D230" s="101"/>
      <c r="E230" s="101"/>
      <c r="F230" s="104"/>
      <c r="G230" s="8"/>
      <c r="H230"/>
      <c r="I230"/>
      <c r="J230"/>
      <c r="K230"/>
      <c r="O230" s="15"/>
      <c r="P230" s="16"/>
      <c r="Q230" s="15"/>
      <c r="R230" s="17"/>
      <c r="S230" s="18"/>
    </row>
    <row r="231" spans="2:19" s="9" customFormat="1" ht="18.75" x14ac:dyDescent="0.15">
      <c r="B231" s="117"/>
      <c r="C231" s="103"/>
      <c r="D231" s="101"/>
      <c r="E231" s="101"/>
      <c r="F231" s="102"/>
      <c r="G231" s="8"/>
      <c r="H231"/>
      <c r="I231"/>
      <c r="J231"/>
      <c r="K231"/>
      <c r="O231" s="15"/>
      <c r="P231" s="16"/>
      <c r="Q231" s="15"/>
      <c r="R231" s="17"/>
      <c r="S231" s="18"/>
    </row>
    <row r="232" spans="2:19" s="9" customFormat="1" ht="18.75" x14ac:dyDescent="0.15">
      <c r="B232" s="117"/>
      <c r="C232" s="103"/>
      <c r="D232" s="116"/>
      <c r="E232" s="18"/>
      <c r="F232" s="18"/>
      <c r="G232" s="8"/>
      <c r="H232"/>
      <c r="I232"/>
      <c r="J232"/>
      <c r="K232"/>
      <c r="O232" s="15"/>
      <c r="P232" s="16"/>
      <c r="Q232" s="15"/>
      <c r="R232" s="17"/>
      <c r="S232" s="18"/>
    </row>
    <row r="233" spans="2:19" s="9" customFormat="1" ht="18.75" x14ac:dyDescent="0.15">
      <c r="B233" s="117"/>
      <c r="C233" s="103"/>
      <c r="D233" s="97"/>
      <c r="E233" s="24"/>
      <c r="F233" s="106"/>
      <c r="G233" s="8"/>
      <c r="H233"/>
      <c r="I233"/>
      <c r="J233"/>
      <c r="K233"/>
      <c r="O233" s="15"/>
      <c r="P233" s="16"/>
      <c r="Q233" s="15"/>
      <c r="R233" s="17"/>
      <c r="S233" s="18"/>
    </row>
    <row r="234" spans="2:19" s="9" customFormat="1" ht="18.75" x14ac:dyDescent="0.15">
      <c r="B234" s="117"/>
      <c r="C234" s="103"/>
      <c r="D234" s="18"/>
      <c r="E234" s="98"/>
      <c r="F234" s="97"/>
      <c r="G234" s="8"/>
      <c r="H234"/>
      <c r="I234"/>
      <c r="J234"/>
      <c r="K234"/>
      <c r="O234" s="15"/>
      <c r="P234" s="16"/>
      <c r="Q234" s="15"/>
      <c r="R234" s="17"/>
      <c r="S234" s="18"/>
    </row>
    <row r="235" spans="2:19" s="9" customFormat="1" ht="18.75" x14ac:dyDescent="0.15">
      <c r="B235" s="117"/>
      <c r="C235" s="100"/>
      <c r="D235" s="97"/>
      <c r="E235" s="98"/>
      <c r="F235" s="97"/>
      <c r="G235" s="8"/>
      <c r="H235"/>
      <c r="I235"/>
      <c r="J235"/>
      <c r="K235"/>
      <c r="O235" s="15"/>
      <c r="P235" s="16"/>
      <c r="Q235" s="15"/>
      <c r="R235" s="17"/>
      <c r="S235" s="18"/>
    </row>
    <row r="236" spans="2:19" s="9" customFormat="1" ht="18.75" x14ac:dyDescent="0.15">
      <c r="B236" s="117"/>
      <c r="C236" s="116"/>
      <c r="D236" s="97"/>
      <c r="E236" s="98"/>
      <c r="F236" s="97"/>
      <c r="G236" s="8"/>
      <c r="H236"/>
      <c r="I236"/>
      <c r="J236"/>
      <c r="K236"/>
      <c r="O236" s="15"/>
      <c r="P236" s="16"/>
      <c r="Q236" s="15"/>
      <c r="R236" s="17"/>
      <c r="S236" s="18"/>
    </row>
    <row r="237" spans="2:19" s="9" customFormat="1" ht="18.75" x14ac:dyDescent="0.15">
      <c r="B237" s="117"/>
      <c r="C237" s="97"/>
      <c r="D237" s="97"/>
      <c r="E237" s="98"/>
      <c r="F237" s="97"/>
      <c r="G237" s="8"/>
      <c r="H237"/>
      <c r="I237"/>
      <c r="J237"/>
      <c r="K237"/>
      <c r="O237" s="15"/>
      <c r="P237" s="16"/>
      <c r="Q237" s="15"/>
      <c r="R237" s="17"/>
      <c r="S237" s="18"/>
    </row>
    <row r="238" spans="2:19" s="9" customFormat="1" ht="18.75" x14ac:dyDescent="0.15">
      <c r="B238" s="117"/>
      <c r="C238" s="391"/>
      <c r="D238" s="24"/>
      <c r="E238" s="98"/>
      <c r="F238" s="97"/>
      <c r="G238" s="8"/>
      <c r="H238"/>
      <c r="I238"/>
      <c r="J238"/>
      <c r="K238"/>
      <c r="O238" s="15"/>
      <c r="P238" s="16"/>
      <c r="Q238" s="15"/>
      <c r="R238" s="17"/>
      <c r="S238" s="18"/>
    </row>
    <row r="239" spans="2:19" s="9" customFormat="1" ht="18.75" x14ac:dyDescent="0.15">
      <c r="B239" s="117"/>
      <c r="C239" s="391"/>
      <c r="D239" s="97"/>
      <c r="E239" s="97"/>
      <c r="F239"/>
      <c r="G239" s="8"/>
      <c r="H239"/>
      <c r="I239"/>
      <c r="J239"/>
      <c r="K239"/>
      <c r="O239" s="15"/>
      <c r="P239" s="16"/>
      <c r="Q239" s="15"/>
      <c r="R239" s="17"/>
      <c r="S239" s="18"/>
    </row>
    <row r="240" spans="2:19" s="9" customFormat="1" ht="18.75" x14ac:dyDescent="0.15">
      <c r="B240" s="117"/>
      <c r="C240" s="96"/>
      <c r="D240"/>
      <c r="E240"/>
      <c r="F240"/>
      <c r="G240" s="8"/>
      <c r="H240"/>
      <c r="I240"/>
      <c r="J240"/>
      <c r="K240"/>
      <c r="O240" s="15"/>
      <c r="P240" s="16"/>
      <c r="Q240" s="15"/>
      <c r="R240" s="17"/>
      <c r="S240" s="18"/>
    </row>
    <row r="241" spans="2:20" s="9" customFormat="1" ht="18.75" x14ac:dyDescent="0.15">
      <c r="B241" s="117"/>
      <c r="C241" s="96"/>
      <c r="D241"/>
      <c r="E241"/>
      <c r="F241"/>
      <c r="G241" s="8"/>
      <c r="H241"/>
      <c r="I241"/>
      <c r="J241"/>
      <c r="K241"/>
      <c r="O241" s="2"/>
      <c r="P241" s="12"/>
      <c r="Q241" s="2"/>
      <c r="R241" s="3"/>
    </row>
    <row r="242" spans="2:20" s="9" customFormat="1" ht="18.75" x14ac:dyDescent="0.15">
      <c r="B242" s="117"/>
      <c r="C242" s="96"/>
      <c r="D242"/>
      <c r="E242"/>
      <c r="F242"/>
      <c r="G242"/>
      <c r="H242"/>
      <c r="I242"/>
      <c r="J242"/>
      <c r="K242"/>
      <c r="O242" s="2"/>
      <c r="P242" s="12"/>
      <c r="Q242" s="2"/>
      <c r="R242" s="3"/>
    </row>
    <row r="243" spans="2:20" s="9" customFormat="1" ht="18.75" x14ac:dyDescent="0.15">
      <c r="B243" s="117"/>
      <c r="C243" s="97"/>
      <c r="D243"/>
      <c r="E243"/>
      <c r="F243"/>
      <c r="G243"/>
      <c r="H243"/>
      <c r="I243"/>
      <c r="J243"/>
      <c r="K243"/>
      <c r="O243" s="2"/>
      <c r="P243" s="12"/>
      <c r="Q243" s="2"/>
      <c r="R243" s="3"/>
    </row>
    <row r="244" spans="2:20" s="9" customFormat="1" ht="18.75" customHeight="1" x14ac:dyDescent="0.15">
      <c r="B244" s="117"/>
      <c r="C244"/>
      <c r="D244"/>
      <c r="E244"/>
      <c r="F244"/>
      <c r="G244"/>
      <c r="H244"/>
      <c r="I244"/>
      <c r="J244"/>
      <c r="K244"/>
      <c r="O244" s="2"/>
      <c r="P244" s="12"/>
      <c r="Q244" s="2"/>
      <c r="R244" s="3"/>
    </row>
    <row r="245" spans="2:20" s="9" customFormat="1" ht="18.75" x14ac:dyDescent="0.15">
      <c r="B245" s="117"/>
      <c r="C245"/>
      <c r="D245"/>
      <c r="E245"/>
      <c r="F245"/>
      <c r="G245"/>
      <c r="H245"/>
      <c r="I245"/>
      <c r="J245"/>
      <c r="K245"/>
      <c r="N245"/>
      <c r="O245" s="3"/>
      <c r="P245" s="19"/>
      <c r="Q245" s="3"/>
      <c r="R245" s="3"/>
      <c r="S245"/>
      <c r="T245"/>
    </row>
    <row r="246" spans="2:20" s="9" customFormat="1" ht="18.75" x14ac:dyDescent="0.15">
      <c r="B246" s="117"/>
      <c r="C246"/>
      <c r="D246"/>
      <c r="E246"/>
      <c r="F246"/>
      <c r="G246"/>
      <c r="H246"/>
      <c r="I246"/>
      <c r="J246"/>
      <c r="K246"/>
      <c r="N246"/>
      <c r="O246" s="3"/>
      <c r="P246" s="20"/>
      <c r="Q246" s="3"/>
      <c r="R246" s="3"/>
      <c r="S246"/>
      <c r="T246"/>
    </row>
    <row r="247" spans="2:20" s="9" customFormat="1" ht="18.75" x14ac:dyDescent="0.15">
      <c r="B247" s="117"/>
      <c r="C247"/>
      <c r="D247"/>
      <c r="E247"/>
      <c r="F247"/>
      <c r="G247"/>
      <c r="H247"/>
      <c r="I247"/>
      <c r="J247"/>
      <c r="K247"/>
      <c r="N247"/>
      <c r="O247" s="3"/>
      <c r="P247" s="20"/>
      <c r="Q247" s="3"/>
      <c r="R247" s="3"/>
      <c r="S247"/>
      <c r="T247"/>
    </row>
    <row r="248" spans="2:20" s="9" customFormat="1" ht="18.75" x14ac:dyDescent="0.15">
      <c r="B248" s="117"/>
      <c r="C248"/>
      <c r="D248"/>
      <c r="E248"/>
      <c r="F248"/>
      <c r="G248"/>
      <c r="H248"/>
      <c r="I248"/>
      <c r="J248"/>
      <c r="K248"/>
      <c r="N248"/>
      <c r="O248" s="3"/>
      <c r="P248" s="20"/>
      <c r="Q248" s="3"/>
      <c r="R248" s="3"/>
      <c r="S248"/>
      <c r="T248"/>
    </row>
    <row r="249" spans="2:20" ht="18.75" x14ac:dyDescent="0.15">
      <c r="B249" s="117"/>
      <c r="P249" s="20"/>
    </row>
    <row r="250" spans="2:20" x14ac:dyDescent="0.15">
      <c r="P250" s="20"/>
    </row>
    <row r="251" spans="2:20" ht="18.75" customHeight="1" x14ac:dyDescent="0.15">
      <c r="P251" s="19"/>
    </row>
    <row r="252" spans="2:20" ht="18.75" customHeight="1" x14ac:dyDescent="0.15">
      <c r="P252" s="19"/>
    </row>
    <row r="253" spans="2:20" ht="18.75" customHeight="1" x14ac:dyDescent="0.15">
      <c r="P253" s="19"/>
    </row>
    <row r="254" spans="2:20" ht="18.75" customHeight="1" x14ac:dyDescent="0.15">
      <c r="P254" s="19"/>
    </row>
    <row r="255" spans="2:20" x14ac:dyDescent="0.15">
      <c r="P255" s="19"/>
    </row>
    <row r="256" spans="2:20" ht="13.5" x14ac:dyDescent="0.15">
      <c r="O256"/>
      <c r="P256"/>
      <c r="Q256"/>
      <c r="R256"/>
    </row>
    <row r="257" spans="15:18" x14ac:dyDescent="0.15">
      <c r="P257" s="19"/>
    </row>
    <row r="258" spans="15:18" x14ac:dyDescent="0.15">
      <c r="P258" s="19"/>
    </row>
    <row r="259" spans="15:18" x14ac:dyDescent="0.15">
      <c r="P259" s="19"/>
    </row>
    <row r="260" spans="15:18" ht="21" customHeight="1" x14ac:dyDescent="0.15">
      <c r="P260" s="19"/>
    </row>
    <row r="261" spans="15:18" ht="21" customHeight="1" x14ac:dyDescent="0.15">
      <c r="P261" s="19"/>
    </row>
    <row r="262" spans="15:18" ht="21" customHeight="1" x14ac:dyDescent="0.15">
      <c r="P262" s="19"/>
    </row>
    <row r="263" spans="15:18" ht="21" customHeight="1" x14ac:dyDescent="0.15">
      <c r="O263"/>
      <c r="P263"/>
      <c r="Q263"/>
      <c r="R263"/>
    </row>
    <row r="264" spans="15:18" ht="21" customHeight="1" x14ac:dyDescent="0.15">
      <c r="P264" s="19"/>
    </row>
    <row r="265" spans="15:18" ht="21" customHeight="1" x14ac:dyDescent="0.15">
      <c r="P265" s="19"/>
    </row>
    <row r="266" spans="15:18" x14ac:dyDescent="0.15">
      <c r="P266" s="19"/>
    </row>
    <row r="267" spans="15:18" x14ac:dyDescent="0.15">
      <c r="P267" s="19"/>
    </row>
    <row r="268" spans="15:18" ht="19.5" customHeight="1" x14ac:dyDescent="0.15">
      <c r="P268" s="19"/>
    </row>
    <row r="269" spans="15:18" ht="19.5" customHeight="1" x14ac:dyDescent="0.15">
      <c r="P269" s="19"/>
    </row>
    <row r="270" spans="15:18" ht="19.5" customHeight="1" x14ac:dyDescent="0.15">
      <c r="O270"/>
      <c r="P270"/>
      <c r="Q270"/>
      <c r="R270"/>
    </row>
    <row r="271" spans="15:18" ht="13.5" x14ac:dyDescent="0.15">
      <c r="O271"/>
      <c r="P271"/>
      <c r="Q271"/>
      <c r="R271"/>
    </row>
    <row r="272" spans="15:18" ht="13.5" x14ac:dyDescent="0.15">
      <c r="O272"/>
      <c r="P272"/>
      <c r="Q272"/>
      <c r="R272"/>
    </row>
    <row r="273" spans="14:18" ht="13.5" x14ac:dyDescent="0.15">
      <c r="O273"/>
      <c r="P273"/>
      <c r="Q273"/>
      <c r="R273"/>
    </row>
    <row r="274" spans="14:18" ht="13.5" x14ac:dyDescent="0.15">
      <c r="O274"/>
      <c r="P274"/>
      <c r="Q274"/>
      <c r="R274"/>
    </row>
    <row r="275" spans="14:18" ht="13.5" x14ac:dyDescent="0.15">
      <c r="O275"/>
      <c r="P275"/>
      <c r="Q275"/>
      <c r="R275"/>
    </row>
    <row r="276" spans="14:18" x14ac:dyDescent="0.15">
      <c r="N276" s="76"/>
      <c r="O276" s="10"/>
      <c r="P276" s="11"/>
      <c r="Q276" s="10"/>
    </row>
    <row r="277" spans="14:18" x14ac:dyDescent="0.15">
      <c r="P277" s="21"/>
    </row>
    <row r="330" ht="18.75" customHeight="1" x14ac:dyDescent="0.15"/>
    <row r="345" ht="19.5" customHeight="1" x14ac:dyDescent="0.15"/>
    <row r="353" ht="19.5" customHeight="1" x14ac:dyDescent="0.15"/>
    <row r="355" ht="19.5" customHeight="1" x14ac:dyDescent="0.15"/>
    <row r="356" ht="20.25" customHeight="1" x14ac:dyDescent="0.15"/>
    <row r="357" ht="18.75" customHeight="1" x14ac:dyDescent="0.15"/>
    <row r="358" ht="18.75" customHeight="1" x14ac:dyDescent="0.15"/>
    <row r="359" ht="18.75" customHeight="1" x14ac:dyDescent="0.15"/>
    <row r="360" ht="18.75" customHeight="1" x14ac:dyDescent="0.15"/>
    <row r="361" ht="18.75" customHeight="1" x14ac:dyDescent="0.15"/>
    <row r="362" ht="19.5" customHeight="1" x14ac:dyDescent="0.15"/>
  </sheetData>
  <sheetProtection algorithmName="SHA-512" hashValue="7cDCg3ReQZdfxhOe89N73M/Gl0FAtVnv47YnG1kZwbMC0VcLYqU1vq5oc0W9VcdUAA34CPyLGVkIr5SuEGQ1zw==" saltValue="ZMidS39AQSYLoz5AHYXmgQ==" spinCount="100000" sheet="1" formatCells="0"/>
  <mergeCells count="304">
    <mergeCell ref="B1:K1"/>
    <mergeCell ref="J207:K207"/>
    <mergeCell ref="J208:K208"/>
    <mergeCell ref="J209:K209"/>
    <mergeCell ref="J210:K210"/>
    <mergeCell ref="H168:H178"/>
    <mergeCell ref="H179:H183"/>
    <mergeCell ref="H184:H190"/>
    <mergeCell ref="H191:H195"/>
    <mergeCell ref="H196:H205"/>
    <mergeCell ref="H206:H210"/>
    <mergeCell ref="J198:K198"/>
    <mergeCell ref="J199:K199"/>
    <mergeCell ref="J200:K200"/>
    <mergeCell ref="J201:K201"/>
    <mergeCell ref="J202:K202"/>
    <mergeCell ref="J203:K203"/>
    <mergeCell ref="J204:K204"/>
    <mergeCell ref="J205:K205"/>
    <mergeCell ref="J206:K206"/>
    <mergeCell ref="J189:K189"/>
    <mergeCell ref="J190:K190"/>
    <mergeCell ref="J191:K191"/>
    <mergeCell ref="J192:K192"/>
    <mergeCell ref="J193:K193"/>
    <mergeCell ref="J194:K194"/>
    <mergeCell ref="J195:K195"/>
    <mergeCell ref="J196:K196"/>
    <mergeCell ref="J197:K197"/>
    <mergeCell ref="J179:K179"/>
    <mergeCell ref="J180:K180"/>
    <mergeCell ref="J182:K182"/>
    <mergeCell ref="J183:K183"/>
    <mergeCell ref="J184:K184"/>
    <mergeCell ref="J185:K185"/>
    <mergeCell ref="J186:K186"/>
    <mergeCell ref="J187:K187"/>
    <mergeCell ref="J188:K188"/>
    <mergeCell ref="H131:H135"/>
    <mergeCell ref="H136:H140"/>
    <mergeCell ref="H141:H147"/>
    <mergeCell ref="H148:H152"/>
    <mergeCell ref="H153:H167"/>
    <mergeCell ref="J175:K175"/>
    <mergeCell ref="J176:K176"/>
    <mergeCell ref="J177:K177"/>
    <mergeCell ref="J178:K178"/>
    <mergeCell ref="J135:K135"/>
    <mergeCell ref="J136:K136"/>
    <mergeCell ref="J138:K138"/>
    <mergeCell ref="J140:K140"/>
    <mergeCell ref="J141:K141"/>
    <mergeCell ref="J142:K142"/>
    <mergeCell ref="J143:K143"/>
    <mergeCell ref="J145:K145"/>
    <mergeCell ref="J137:K137"/>
    <mergeCell ref="J168:K168"/>
    <mergeCell ref="J171:K171"/>
    <mergeCell ref="J172:K172"/>
    <mergeCell ref="J173:K173"/>
    <mergeCell ref="J155:K155"/>
    <mergeCell ref="J159:K159"/>
    <mergeCell ref="H67:H74"/>
    <mergeCell ref="H75:H81"/>
    <mergeCell ref="H82:H86"/>
    <mergeCell ref="H87:H94"/>
    <mergeCell ref="H95:H99"/>
    <mergeCell ref="H100:H113"/>
    <mergeCell ref="H114:H118"/>
    <mergeCell ref="H119:H123"/>
    <mergeCell ref="H124:H130"/>
    <mergeCell ref="J95:K95"/>
    <mergeCell ref="J112:K112"/>
    <mergeCell ref="J113:K113"/>
    <mergeCell ref="C214:C218"/>
    <mergeCell ref="J156:K156"/>
    <mergeCell ref="J126:K126"/>
    <mergeCell ref="J133:K133"/>
    <mergeCell ref="J139:K139"/>
    <mergeCell ref="J144:K144"/>
    <mergeCell ref="J151:K151"/>
    <mergeCell ref="J157:K157"/>
    <mergeCell ref="J158:K158"/>
    <mergeCell ref="J169:K169"/>
    <mergeCell ref="J170:K170"/>
    <mergeCell ref="J174:K174"/>
    <mergeCell ref="J181:K181"/>
    <mergeCell ref="J128:K128"/>
    <mergeCell ref="J129:K129"/>
    <mergeCell ref="J130:K130"/>
    <mergeCell ref="J131:K131"/>
    <mergeCell ref="J132:K132"/>
    <mergeCell ref="F131:F152"/>
    <mergeCell ref="F206:F210"/>
    <mergeCell ref="F168:F195"/>
    <mergeCell ref="B100:B113"/>
    <mergeCell ref="C100:C113"/>
    <mergeCell ref="C37:C41"/>
    <mergeCell ref="C52:C56"/>
    <mergeCell ref="C87:C94"/>
    <mergeCell ref="B5:F5"/>
    <mergeCell ref="B2:K2"/>
    <mergeCell ref="J10:K11"/>
    <mergeCell ref="J12:K12"/>
    <mergeCell ref="J17:K17"/>
    <mergeCell ref="J24:K24"/>
    <mergeCell ref="J29:K29"/>
    <mergeCell ref="J55:K55"/>
    <mergeCell ref="J56:K56"/>
    <mergeCell ref="J57:K57"/>
    <mergeCell ref="J58:K58"/>
    <mergeCell ref="J60:K60"/>
    <mergeCell ref="J61:K61"/>
    <mergeCell ref="J67:K67"/>
    <mergeCell ref="F12:F26"/>
    <mergeCell ref="J82:K82"/>
    <mergeCell ref="F67:F99"/>
    <mergeCell ref="C67:C74"/>
    <mergeCell ref="C75:C81"/>
    <mergeCell ref="C238:C239"/>
    <mergeCell ref="B211:D211"/>
    <mergeCell ref="B10:B11"/>
    <mergeCell ref="B206:B210"/>
    <mergeCell ref="B168:B195"/>
    <mergeCell ref="B196:B205"/>
    <mergeCell ref="B153:B167"/>
    <mergeCell ref="B114:B130"/>
    <mergeCell ref="C141:C147"/>
    <mergeCell ref="C22:C26"/>
    <mergeCell ref="C27:C31"/>
    <mergeCell ref="C119:C123"/>
    <mergeCell ref="B131:B152"/>
    <mergeCell ref="C148:C152"/>
    <mergeCell ref="C168:C178"/>
    <mergeCell ref="C179:C183"/>
    <mergeCell ref="C184:C190"/>
    <mergeCell ref="C191:C195"/>
    <mergeCell ref="B12:B26"/>
    <mergeCell ref="B27:B66"/>
    <mergeCell ref="B67:B99"/>
    <mergeCell ref="C114:C118"/>
    <mergeCell ref="C206:C210"/>
    <mergeCell ref="C95:C99"/>
    <mergeCell ref="F196:F205"/>
    <mergeCell ref="C196:C205"/>
    <mergeCell ref="F114:F124"/>
    <mergeCell ref="C153:C167"/>
    <mergeCell ref="F153:F167"/>
    <mergeCell ref="C124:C130"/>
    <mergeCell ref="C131:C135"/>
    <mergeCell ref="C136:C140"/>
    <mergeCell ref="F100:F113"/>
    <mergeCell ref="C82:C86"/>
    <mergeCell ref="S119:S124"/>
    <mergeCell ref="R119:R124"/>
    <mergeCell ref="C10:C11"/>
    <mergeCell ref="D10:D11"/>
    <mergeCell ref="F10:F11"/>
    <mergeCell ref="I10:I11"/>
    <mergeCell ref="E10:E11"/>
    <mergeCell ref="H10:H11"/>
    <mergeCell ref="J84:K84"/>
    <mergeCell ref="J89:K89"/>
    <mergeCell ref="J97:K97"/>
    <mergeCell ref="J102:K102"/>
    <mergeCell ref="J116:K116"/>
    <mergeCell ref="J121:K121"/>
    <mergeCell ref="J73:K73"/>
    <mergeCell ref="J76:K76"/>
    <mergeCell ref="H12:H16"/>
    <mergeCell ref="C32:C36"/>
    <mergeCell ref="C12:C16"/>
    <mergeCell ref="C17:C21"/>
    <mergeCell ref="C57:C61"/>
    <mergeCell ref="F27:F66"/>
    <mergeCell ref="C62:C66"/>
    <mergeCell ref="C42:C46"/>
    <mergeCell ref="C47:C51"/>
    <mergeCell ref="H22:H26"/>
    <mergeCell ref="H27:H31"/>
    <mergeCell ref="H32:H36"/>
    <mergeCell ref="H37:H41"/>
    <mergeCell ref="H42:H46"/>
    <mergeCell ref="H47:H51"/>
    <mergeCell ref="H52:H56"/>
    <mergeCell ref="H57:H61"/>
    <mergeCell ref="H62:H66"/>
    <mergeCell ref="J13:K13"/>
    <mergeCell ref="J14:K14"/>
    <mergeCell ref="J15:K15"/>
    <mergeCell ref="J16:K16"/>
    <mergeCell ref="J20:K20"/>
    <mergeCell ref="J21:K21"/>
    <mergeCell ref="J22:K22"/>
    <mergeCell ref="J23:K23"/>
    <mergeCell ref="J18:K18"/>
    <mergeCell ref="J19:K19"/>
    <mergeCell ref="H17:H21"/>
    <mergeCell ref="J25:K25"/>
    <mergeCell ref="J26:K26"/>
    <mergeCell ref="J27:K27"/>
    <mergeCell ref="J28:K28"/>
    <mergeCell ref="J30:K30"/>
    <mergeCell ref="J31:K31"/>
    <mergeCell ref="J32:K32"/>
    <mergeCell ref="J33:K33"/>
    <mergeCell ref="J35:K35"/>
    <mergeCell ref="J36:K36"/>
    <mergeCell ref="J34:K34"/>
    <mergeCell ref="J37:K37"/>
    <mergeCell ref="J38:K38"/>
    <mergeCell ref="J40:K40"/>
    <mergeCell ref="J41:K41"/>
    <mergeCell ref="J42:K42"/>
    <mergeCell ref="J62:K62"/>
    <mergeCell ref="J63:K63"/>
    <mergeCell ref="J65:K65"/>
    <mergeCell ref="J66:K66"/>
    <mergeCell ref="J39:K39"/>
    <mergeCell ref="J44:K44"/>
    <mergeCell ref="J49:K49"/>
    <mergeCell ref="J54:K54"/>
    <mergeCell ref="J59:K59"/>
    <mergeCell ref="J64:K64"/>
    <mergeCell ref="J43:K43"/>
    <mergeCell ref="J45:K45"/>
    <mergeCell ref="J46:K46"/>
    <mergeCell ref="J47:K47"/>
    <mergeCell ref="J48:K48"/>
    <mergeCell ref="J50:K50"/>
    <mergeCell ref="J51:K51"/>
    <mergeCell ref="J52:K52"/>
    <mergeCell ref="J53:K53"/>
    <mergeCell ref="J68:K68"/>
    <mergeCell ref="J70:K70"/>
    <mergeCell ref="J71:K71"/>
    <mergeCell ref="J72:K72"/>
    <mergeCell ref="J90:K90"/>
    <mergeCell ref="J91:K91"/>
    <mergeCell ref="J92:K92"/>
    <mergeCell ref="J96:K96"/>
    <mergeCell ref="J98:K98"/>
    <mergeCell ref="J69:K69"/>
    <mergeCell ref="J77:K77"/>
    <mergeCell ref="J83:K83"/>
    <mergeCell ref="J85:K85"/>
    <mergeCell ref="J86:K86"/>
    <mergeCell ref="J87:K87"/>
    <mergeCell ref="J88:K88"/>
    <mergeCell ref="J78:K78"/>
    <mergeCell ref="J79:K79"/>
    <mergeCell ref="J80:K80"/>
    <mergeCell ref="J81:K81"/>
    <mergeCell ref="J74:K74"/>
    <mergeCell ref="J75:K75"/>
    <mergeCell ref="J93:K93"/>
    <mergeCell ref="J94:K94"/>
    <mergeCell ref="J99:K99"/>
    <mergeCell ref="J100:K100"/>
    <mergeCell ref="J101:K101"/>
    <mergeCell ref="J108:K108"/>
    <mergeCell ref="J109:K109"/>
    <mergeCell ref="J110:K110"/>
    <mergeCell ref="J111:K111"/>
    <mergeCell ref="J114:K114"/>
    <mergeCell ref="J115:K115"/>
    <mergeCell ref="J103:K103"/>
    <mergeCell ref="J104:K104"/>
    <mergeCell ref="J105:K105"/>
    <mergeCell ref="J106:K106"/>
    <mergeCell ref="J107:K107"/>
    <mergeCell ref="J117:K117"/>
    <mergeCell ref="J118:K118"/>
    <mergeCell ref="J119:K119"/>
    <mergeCell ref="J120:K120"/>
    <mergeCell ref="J122:K122"/>
    <mergeCell ref="J123:K123"/>
    <mergeCell ref="J124:K124"/>
    <mergeCell ref="J125:K125"/>
    <mergeCell ref="J127:K127"/>
    <mergeCell ref="J167:K167"/>
    <mergeCell ref="J134:K134"/>
    <mergeCell ref="J213:K213"/>
    <mergeCell ref="J214:K214"/>
    <mergeCell ref="J215:K215"/>
    <mergeCell ref="J216:K216"/>
    <mergeCell ref="J217:K217"/>
    <mergeCell ref="J218:K218"/>
    <mergeCell ref="H214:H218"/>
    <mergeCell ref="J160:K160"/>
    <mergeCell ref="J161:K161"/>
    <mergeCell ref="J162:K162"/>
    <mergeCell ref="J163:K163"/>
    <mergeCell ref="J164:K164"/>
    <mergeCell ref="J165:K165"/>
    <mergeCell ref="J166:K166"/>
    <mergeCell ref="J146:K146"/>
    <mergeCell ref="J147:K147"/>
    <mergeCell ref="J148:K148"/>
    <mergeCell ref="J149:K149"/>
    <mergeCell ref="J150:K150"/>
    <mergeCell ref="J152:K152"/>
    <mergeCell ref="J153:K153"/>
    <mergeCell ref="J154:K154"/>
  </mergeCells>
  <phoneticPr fontId="7"/>
  <conditionalFormatting sqref="B5">
    <cfRule type="expression" dxfId="17" priority="14">
      <formula>$N$1="×"</formula>
    </cfRule>
  </conditionalFormatting>
  <conditionalFormatting sqref="B12">
    <cfRule type="expression" dxfId="16" priority="13">
      <formula>$Q$12="×"</formula>
    </cfRule>
  </conditionalFormatting>
  <conditionalFormatting sqref="B27">
    <cfRule type="expression" dxfId="15" priority="12">
      <formula>$Q$27="×"</formula>
    </cfRule>
  </conditionalFormatting>
  <conditionalFormatting sqref="B67">
    <cfRule type="expression" dxfId="14" priority="11">
      <formula>$Q$67="×"</formula>
    </cfRule>
  </conditionalFormatting>
  <conditionalFormatting sqref="B100:B113">
    <cfRule type="expression" dxfId="13" priority="10">
      <formula>$Q$100="×"</formula>
    </cfRule>
  </conditionalFormatting>
  <conditionalFormatting sqref="B114">
    <cfRule type="expression" dxfId="12" priority="9">
      <formula>$Q$114="×"</formula>
    </cfRule>
  </conditionalFormatting>
  <conditionalFormatting sqref="B131">
    <cfRule type="expression" dxfId="11" priority="8">
      <formula>$Q$131="×"</formula>
    </cfRule>
  </conditionalFormatting>
  <conditionalFormatting sqref="B153:B167">
    <cfRule type="expression" dxfId="10" priority="7">
      <formula>$Q$153="×"</formula>
    </cfRule>
  </conditionalFormatting>
  <conditionalFormatting sqref="B168:B195">
    <cfRule type="expression" dxfId="9" priority="6">
      <formula>$Q$168="×"</formula>
    </cfRule>
  </conditionalFormatting>
  <conditionalFormatting sqref="B196:B205">
    <cfRule type="expression" dxfId="8" priority="5">
      <formula>$Q$196="×"</formula>
    </cfRule>
  </conditionalFormatting>
  <conditionalFormatting sqref="B206:B210">
    <cfRule type="expression" dxfId="7" priority="4">
      <formula>$Q$206="×"</formula>
    </cfRule>
  </conditionalFormatting>
  <conditionalFormatting sqref="C214">
    <cfRule type="expression" dxfId="6" priority="3">
      <formula>OR($R$322="×",$R$323="×")</formula>
    </cfRule>
  </conditionalFormatting>
  <conditionalFormatting sqref="H214">
    <cfRule type="expression" dxfId="5" priority="1">
      <formula>OR($R$322="×",$R$323="×")</formula>
    </cfRule>
  </conditionalFormatting>
  <pageMargins left="0.75" right="0.21" top="0.67" bottom="1" header="0.51200000000000001" footer="0.51200000000000001"/>
  <pageSetup paperSize="9" scale="40" fitToHeight="0" orientation="portrait" r:id="rId1"/>
  <headerFooter alignWithMargins="0"/>
  <rowBreaks count="3" manualBreakCount="3">
    <brk id="94" max="11" man="1"/>
    <brk id="195" max="11" man="1"/>
    <brk id="261" max="12" man="1"/>
  </rowBreaks>
  <colBreaks count="1" manualBreakCount="1">
    <brk id="3" max="59"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R890"/>
  <sheetViews>
    <sheetView showGridLines="0" view="pageBreakPreview" zoomScale="90" zoomScaleNormal="100" zoomScaleSheetLayoutView="90" workbookViewId="0">
      <selection activeCell="K1" sqref="K1"/>
    </sheetView>
  </sheetViews>
  <sheetFormatPr defaultColWidth="9" defaultRowHeight="13.5" x14ac:dyDescent="0.15"/>
  <cols>
    <col min="1" max="1" width="2.625" style="106" customWidth="1"/>
    <col min="2" max="2" width="16.625" style="106" customWidth="1"/>
    <col min="3" max="3" width="33.375" style="310" customWidth="1"/>
    <col min="4" max="4" width="6.375" style="106" bestFit="1" customWidth="1"/>
    <col min="5" max="5" width="11.875" style="106" customWidth="1"/>
    <col min="6" max="6" width="37.125" style="106" customWidth="1"/>
    <col min="7" max="7" width="11.125" style="106" customWidth="1"/>
    <col min="8" max="8" width="3.625" style="106" customWidth="1"/>
    <col min="9" max="9" width="0.875" style="106" customWidth="1"/>
    <col min="10" max="10" width="8.625" style="106" customWidth="1"/>
    <col min="11" max="14" width="9" style="106"/>
    <col min="15" max="15" width="9.375" style="106" bestFit="1" customWidth="1"/>
    <col min="16" max="17" width="9" style="106" customWidth="1"/>
    <col min="18" max="16384" width="9" style="106"/>
  </cols>
  <sheetData>
    <row r="1" spans="2:17" ht="34.5" customHeight="1" thickBot="1" x14ac:dyDescent="0.2">
      <c r="B1" s="423" t="s">
        <v>175</v>
      </c>
      <c r="C1" s="424"/>
      <c r="D1" s="424"/>
      <c r="E1" s="424"/>
      <c r="F1" s="424"/>
      <c r="G1" s="424"/>
      <c r="K1" s="247" t="str">
        <f>IF(COUNTIF(J:J,"×")&gt;0,"×","○")</f>
        <v>×</v>
      </c>
      <c r="L1" s="248" t="s">
        <v>176</v>
      </c>
    </row>
    <row r="2" spans="2:17" ht="28.5" customHeight="1" x14ac:dyDescent="0.15">
      <c r="B2" s="423" t="s">
        <v>177</v>
      </c>
      <c r="C2" s="423"/>
      <c r="D2" s="423"/>
      <c r="E2" s="423"/>
      <c r="F2" s="423"/>
      <c r="G2" s="423"/>
    </row>
    <row r="3" spans="2:17" ht="27.75" customHeight="1" x14ac:dyDescent="0.15">
      <c r="B3" s="249"/>
      <c r="C3" s="249"/>
      <c r="D3" s="249"/>
      <c r="E3" s="425" t="str">
        <f>IF(K1="×","◎がある「授業科目名」「授業内容」「シラバス記載ページ」を"&amp;CHAR(10)&amp;"入力してください。　（黄色背景 ＝ 未入力があります）","")</f>
        <v>◎がある「授業科目名」「授業内容」「シラバス記載ページ」を
入力してください。　（黄色背景 ＝ 未入力があります）</v>
      </c>
      <c r="F3" s="425"/>
      <c r="G3" s="425"/>
    </row>
    <row r="4" spans="2:17" ht="14.25" thickBot="1" x14ac:dyDescent="0.2">
      <c r="B4" s="250"/>
      <c r="C4" s="250"/>
      <c r="D4" s="250"/>
      <c r="E4" s="250"/>
      <c r="F4" s="250"/>
      <c r="G4" s="250"/>
    </row>
    <row r="5" spans="2:17" s="249" customFormat="1" ht="54.75" thickBot="1" x14ac:dyDescent="0.2">
      <c r="B5" s="251" t="s">
        <v>178</v>
      </c>
      <c r="C5" s="251" t="s">
        <v>179</v>
      </c>
      <c r="D5" s="251" t="s">
        <v>180</v>
      </c>
      <c r="E5" s="252" t="s">
        <v>181</v>
      </c>
      <c r="F5" s="252" t="s">
        <v>833</v>
      </c>
      <c r="G5" s="252" t="s">
        <v>182</v>
      </c>
      <c r="H5" s="249" t="s">
        <v>183</v>
      </c>
      <c r="I5" s="249" t="s">
        <v>183</v>
      </c>
      <c r="J5" s="249" t="s">
        <v>100</v>
      </c>
      <c r="P5" s="106" t="s">
        <v>184</v>
      </c>
      <c r="Q5" s="106" t="s">
        <v>185</v>
      </c>
    </row>
    <row r="6" spans="2:17" x14ac:dyDescent="0.15">
      <c r="B6" s="253" t="s">
        <v>32</v>
      </c>
      <c r="C6" s="254" t="s">
        <v>186</v>
      </c>
      <c r="D6" s="255" t="s">
        <v>187</v>
      </c>
      <c r="E6" s="256"/>
      <c r="F6" s="256"/>
      <c r="G6" s="257"/>
      <c r="J6" s="234" t="str">
        <f>IF(AND(OR(D6="◎",D6="◎※１"),OR(E6="",F6="",G6="")),"×","")</f>
        <v>×</v>
      </c>
      <c r="K6" s="258" t="str">
        <f>C6</f>
        <v>１　人体発生の概要</v>
      </c>
      <c r="L6" s="259"/>
      <c r="M6" s="259"/>
      <c r="N6" s="260"/>
      <c r="P6" s="261" t="str">
        <f>IF((COUNTIF(E6, "*人体発生の概要*"))=1,"〇","X")</f>
        <v>X</v>
      </c>
      <c r="Q6" s="261" t="str">
        <f>IF((COUNTIF(F6, "*人体発生の概要*"))=1,"〇","X")</f>
        <v>X</v>
      </c>
    </row>
    <row r="7" spans="2:17" x14ac:dyDescent="0.15">
      <c r="B7" s="262"/>
      <c r="C7" s="263" t="s">
        <v>188</v>
      </c>
      <c r="D7" s="264" t="s">
        <v>187</v>
      </c>
      <c r="E7" s="265"/>
      <c r="F7" s="265"/>
      <c r="G7" s="266"/>
      <c r="J7" s="234" t="str">
        <f t="shared" ref="J7:J70" si="0">IF(AND(OR(D7="◎",D7="◎※１"),OR(E7="",F7="",G7="")),"×","")</f>
        <v>×</v>
      </c>
      <c r="K7" s="267" t="str">
        <f>C7</f>
        <v>２　細胞と組織</v>
      </c>
      <c r="L7" s="268"/>
      <c r="M7" s="268"/>
      <c r="N7" s="269"/>
      <c r="P7" s="261" t="str">
        <f>IF((COUNTIF(E7, "*細胞と組織*"))=1,"〇","X")</f>
        <v>X</v>
      </c>
      <c r="Q7" s="261" t="str">
        <f>IF((COUNTIF(F7, "*細胞と組織*"))=1,"〇","X")</f>
        <v>X</v>
      </c>
    </row>
    <row r="8" spans="2:17" x14ac:dyDescent="0.15">
      <c r="B8" s="262"/>
      <c r="C8" s="263" t="s">
        <v>189</v>
      </c>
      <c r="D8" s="264"/>
      <c r="E8" s="265"/>
      <c r="F8" s="265"/>
      <c r="G8" s="266"/>
      <c r="J8" s="234" t="str">
        <f t="shared" si="0"/>
        <v/>
      </c>
    </row>
    <row r="9" spans="2:17" x14ac:dyDescent="0.15">
      <c r="B9" s="262"/>
      <c r="C9" s="263" t="s">
        <v>190</v>
      </c>
      <c r="D9" s="264"/>
      <c r="E9" s="265"/>
      <c r="F9" s="265"/>
      <c r="G9" s="266"/>
      <c r="J9" s="234" t="str">
        <f t="shared" si="0"/>
        <v/>
      </c>
    </row>
    <row r="10" spans="2:17" x14ac:dyDescent="0.15">
      <c r="B10" s="270"/>
      <c r="C10" s="263" t="s">
        <v>191</v>
      </c>
      <c r="D10" s="264" t="s">
        <v>187</v>
      </c>
      <c r="E10" s="265"/>
      <c r="F10" s="271"/>
      <c r="G10" s="266"/>
      <c r="J10" s="234" t="str">
        <f t="shared" si="0"/>
        <v>×</v>
      </c>
      <c r="K10" s="267" t="str">
        <f>C10</f>
        <v>３　器官系統の解剖</v>
      </c>
      <c r="L10" s="268"/>
      <c r="M10" s="268"/>
      <c r="N10" s="269"/>
      <c r="P10" s="261" t="str">
        <f>IF((COUNTIF(E10, "*器官系統の解剖*"))=1,"〇","X")</f>
        <v>X</v>
      </c>
      <c r="Q10" s="261" t="str">
        <f>IF((COUNTIF(F10, "*器官系統の解剖*"))=1,"〇","X")</f>
        <v>X</v>
      </c>
    </row>
    <row r="11" spans="2:17" x14ac:dyDescent="0.15">
      <c r="B11" s="270"/>
      <c r="C11" s="263" t="s">
        <v>192</v>
      </c>
      <c r="D11" s="264"/>
      <c r="E11" s="265"/>
      <c r="F11" s="265"/>
      <c r="G11" s="266"/>
      <c r="J11" s="234" t="str">
        <f t="shared" si="0"/>
        <v/>
      </c>
    </row>
    <row r="12" spans="2:17" x14ac:dyDescent="0.15">
      <c r="B12" s="270"/>
      <c r="C12" s="263" t="s">
        <v>193</v>
      </c>
      <c r="D12" s="264"/>
      <c r="E12" s="265"/>
      <c r="F12" s="265"/>
      <c r="G12" s="266"/>
      <c r="J12" s="234" t="str">
        <f t="shared" si="0"/>
        <v/>
      </c>
    </row>
    <row r="13" spans="2:17" x14ac:dyDescent="0.15">
      <c r="B13" s="270"/>
      <c r="C13" s="263" t="s">
        <v>194</v>
      </c>
      <c r="D13" s="264"/>
      <c r="E13" s="265"/>
      <c r="F13" s="265"/>
      <c r="G13" s="266"/>
      <c r="J13" s="234" t="str">
        <f t="shared" si="0"/>
        <v/>
      </c>
    </row>
    <row r="14" spans="2:17" x14ac:dyDescent="0.15">
      <c r="B14" s="270"/>
      <c r="C14" s="263" t="s">
        <v>195</v>
      </c>
      <c r="D14" s="264"/>
      <c r="E14" s="265"/>
      <c r="F14" s="265"/>
      <c r="G14" s="266"/>
      <c r="J14" s="234"/>
    </row>
    <row r="15" spans="2:17" x14ac:dyDescent="0.15">
      <c r="B15" s="270"/>
      <c r="C15" s="263" t="s">
        <v>196</v>
      </c>
      <c r="D15" s="264"/>
      <c r="E15" s="265"/>
      <c r="F15" s="265"/>
      <c r="G15" s="266"/>
      <c r="J15" s="234" t="str">
        <f t="shared" si="0"/>
        <v/>
      </c>
    </row>
    <row r="16" spans="2:17" x14ac:dyDescent="0.15">
      <c r="B16" s="270"/>
      <c r="C16" s="263" t="s">
        <v>197</v>
      </c>
      <c r="D16" s="264"/>
      <c r="E16" s="265"/>
      <c r="F16" s="265"/>
      <c r="G16" s="266"/>
      <c r="J16" s="234" t="str">
        <f t="shared" si="0"/>
        <v/>
      </c>
    </row>
    <row r="17" spans="1:17" x14ac:dyDescent="0.15">
      <c r="B17" s="270"/>
      <c r="C17" s="263" t="s">
        <v>198</v>
      </c>
      <c r="D17" s="264"/>
      <c r="E17" s="265"/>
      <c r="F17" s="265"/>
      <c r="G17" s="266"/>
      <c r="J17" s="234" t="str">
        <f t="shared" si="0"/>
        <v/>
      </c>
    </row>
    <row r="18" spans="1:17" x14ac:dyDescent="0.15">
      <c r="B18" s="270"/>
      <c r="C18" s="263" t="s">
        <v>199</v>
      </c>
      <c r="D18" s="264"/>
      <c r="E18" s="265"/>
      <c r="F18" s="265"/>
      <c r="G18" s="266"/>
      <c r="J18" s="234" t="str">
        <f t="shared" si="0"/>
        <v/>
      </c>
    </row>
    <row r="19" spans="1:17" x14ac:dyDescent="0.15">
      <c r="B19" s="270"/>
      <c r="C19" s="263" t="s">
        <v>200</v>
      </c>
      <c r="D19" s="264"/>
      <c r="E19" s="265"/>
      <c r="F19" s="265"/>
      <c r="G19" s="266"/>
      <c r="J19" s="234" t="str">
        <f t="shared" si="0"/>
        <v/>
      </c>
    </row>
    <row r="20" spans="1:17" x14ac:dyDescent="0.15">
      <c r="B20" s="270"/>
      <c r="C20" s="263" t="s">
        <v>201</v>
      </c>
      <c r="D20" s="264"/>
      <c r="E20" s="265"/>
      <c r="F20" s="265"/>
      <c r="G20" s="266"/>
      <c r="J20" s="234" t="str">
        <f t="shared" si="0"/>
        <v/>
      </c>
    </row>
    <row r="21" spans="1:17" x14ac:dyDescent="0.15">
      <c r="B21" s="270"/>
      <c r="C21" s="263" t="s">
        <v>202</v>
      </c>
      <c r="D21" s="264" t="s">
        <v>187</v>
      </c>
      <c r="E21" s="265"/>
      <c r="F21" s="265"/>
      <c r="G21" s="266"/>
      <c r="J21" s="234" t="str">
        <f t="shared" si="0"/>
        <v>×</v>
      </c>
      <c r="K21" s="267" t="str">
        <f>C21</f>
        <v>４　解剖実習</v>
      </c>
      <c r="L21" s="268"/>
      <c r="M21" s="268"/>
      <c r="N21" s="269"/>
      <c r="P21" s="261" t="str">
        <f>IF((COUNTIF(E21, "*解剖実習*"))=1,"〇","X")</f>
        <v>X</v>
      </c>
      <c r="Q21" s="261" t="str">
        <f>IF((COUNTIF(F21, "*解剖実習*"))=1,"〇","X")</f>
        <v>X</v>
      </c>
    </row>
    <row r="22" spans="1:17" ht="27" x14ac:dyDescent="0.15">
      <c r="B22" s="270"/>
      <c r="C22" s="263" t="s">
        <v>777</v>
      </c>
      <c r="D22" s="264"/>
      <c r="E22" s="265"/>
      <c r="F22" s="265"/>
      <c r="G22" s="266"/>
      <c r="J22" s="234" t="str">
        <f t="shared" si="0"/>
        <v/>
      </c>
    </row>
    <row r="23" spans="1:17" ht="14.25" thickBot="1" x14ac:dyDescent="0.2">
      <c r="B23" s="272"/>
      <c r="C23" s="273" t="s">
        <v>203</v>
      </c>
      <c r="D23" s="274"/>
      <c r="E23" s="275"/>
      <c r="F23" s="275"/>
      <c r="G23" s="276"/>
      <c r="J23" s="234" t="str">
        <f t="shared" si="0"/>
        <v/>
      </c>
    </row>
    <row r="24" spans="1:17" x14ac:dyDescent="0.15">
      <c r="B24" s="270" t="s">
        <v>33</v>
      </c>
      <c r="C24" s="254" t="s">
        <v>204</v>
      </c>
      <c r="D24" s="264" t="s">
        <v>187</v>
      </c>
      <c r="E24" s="277"/>
      <c r="F24" s="277"/>
      <c r="G24" s="278"/>
      <c r="J24" s="234" t="str">
        <f t="shared" si="0"/>
        <v>×</v>
      </c>
      <c r="K24" s="267" t="str">
        <f>C24</f>
        <v>１　生理的機能と構造</v>
      </c>
      <c r="L24" s="268"/>
      <c r="M24" s="268"/>
      <c r="N24" s="269"/>
      <c r="P24" s="261" t="str">
        <f>IF((COUNTIF(E24, "*生理的機能と構造*"))=1,"〇","X")</f>
        <v>X</v>
      </c>
      <c r="Q24" s="261" t="str">
        <f>IF((COUNTIF(F24, "*生理的機能と構造*"))=1,"〇","X")</f>
        <v>X</v>
      </c>
    </row>
    <row r="25" spans="1:17" x14ac:dyDescent="0.15">
      <c r="B25" s="270"/>
      <c r="C25" s="263" t="s">
        <v>205</v>
      </c>
      <c r="D25" s="264"/>
      <c r="E25" s="265"/>
      <c r="F25" s="265"/>
      <c r="G25" s="266"/>
      <c r="J25" s="234" t="str">
        <f t="shared" si="0"/>
        <v/>
      </c>
    </row>
    <row r="26" spans="1:17" x14ac:dyDescent="0.15">
      <c r="B26" s="270"/>
      <c r="C26" s="263" t="s">
        <v>206</v>
      </c>
      <c r="D26" s="279"/>
      <c r="E26" s="265"/>
      <c r="F26" s="265"/>
      <c r="G26" s="266"/>
      <c r="J26" s="234" t="str">
        <f t="shared" si="0"/>
        <v/>
      </c>
    </row>
    <row r="27" spans="1:17" x14ac:dyDescent="0.15">
      <c r="A27" s="280"/>
      <c r="B27" s="270"/>
      <c r="C27" s="281" t="s">
        <v>207</v>
      </c>
      <c r="D27" s="279"/>
      <c r="E27" s="265"/>
      <c r="F27" s="265"/>
      <c r="G27" s="266"/>
      <c r="J27" s="234" t="str">
        <f t="shared" si="0"/>
        <v/>
      </c>
    </row>
    <row r="28" spans="1:17" x14ac:dyDescent="0.15">
      <c r="B28" s="270"/>
      <c r="C28" s="263" t="s">
        <v>208</v>
      </c>
      <c r="D28" s="282"/>
      <c r="E28" s="277"/>
      <c r="F28" s="277"/>
      <c r="G28" s="278"/>
      <c r="J28" s="234" t="str">
        <f t="shared" si="0"/>
        <v/>
      </c>
    </row>
    <row r="29" spans="1:17" x14ac:dyDescent="0.15">
      <c r="B29" s="270"/>
      <c r="C29" s="263" t="s">
        <v>209</v>
      </c>
      <c r="D29" s="279"/>
      <c r="E29" s="265"/>
      <c r="F29" s="265"/>
      <c r="G29" s="266"/>
      <c r="J29" s="234" t="str">
        <f t="shared" si="0"/>
        <v/>
      </c>
    </row>
    <row r="30" spans="1:17" x14ac:dyDescent="0.15">
      <c r="B30" s="270"/>
      <c r="C30" s="263" t="s">
        <v>210</v>
      </c>
      <c r="D30" s="279"/>
      <c r="E30" s="265"/>
      <c r="F30" s="265"/>
      <c r="G30" s="266"/>
      <c r="J30" s="234" t="str">
        <f t="shared" si="0"/>
        <v/>
      </c>
    </row>
    <row r="31" spans="1:17" x14ac:dyDescent="0.15">
      <c r="B31" s="270"/>
      <c r="C31" s="263" t="s">
        <v>211</v>
      </c>
      <c r="D31" s="279"/>
      <c r="E31" s="265"/>
      <c r="F31" s="265"/>
      <c r="G31" s="266"/>
      <c r="J31" s="234" t="str">
        <f t="shared" si="0"/>
        <v/>
      </c>
    </row>
    <row r="32" spans="1:17" x14ac:dyDescent="0.15">
      <c r="B32" s="270"/>
      <c r="C32" s="263" t="s">
        <v>212</v>
      </c>
      <c r="D32" s="279"/>
      <c r="E32" s="265"/>
      <c r="F32" s="265"/>
      <c r="G32" s="266"/>
      <c r="J32" s="234" t="str">
        <f t="shared" si="0"/>
        <v/>
      </c>
    </row>
    <row r="33" spans="2:17" x14ac:dyDescent="0.15">
      <c r="B33" s="270"/>
      <c r="C33" s="263" t="s">
        <v>213</v>
      </c>
      <c r="D33" s="279"/>
      <c r="E33" s="265"/>
      <c r="F33" s="265"/>
      <c r="G33" s="266"/>
      <c r="J33" s="234" t="str">
        <f t="shared" si="0"/>
        <v/>
      </c>
    </row>
    <row r="34" spans="2:17" x14ac:dyDescent="0.15">
      <c r="B34" s="270"/>
      <c r="C34" s="263" t="s">
        <v>214</v>
      </c>
      <c r="D34" s="279"/>
      <c r="E34" s="265"/>
      <c r="F34" s="265"/>
      <c r="G34" s="266"/>
      <c r="J34" s="234" t="str">
        <f t="shared" si="0"/>
        <v/>
      </c>
    </row>
    <row r="35" spans="2:17" x14ac:dyDescent="0.15">
      <c r="B35" s="262"/>
      <c r="C35" s="263" t="s">
        <v>215</v>
      </c>
      <c r="D35" s="279"/>
      <c r="E35" s="265"/>
      <c r="F35" s="265"/>
      <c r="G35" s="266"/>
      <c r="J35" s="234" t="str">
        <f t="shared" si="0"/>
        <v/>
      </c>
    </row>
    <row r="36" spans="2:17" x14ac:dyDescent="0.15">
      <c r="B36" s="262"/>
      <c r="C36" s="263" t="s">
        <v>216</v>
      </c>
      <c r="D36" s="279"/>
      <c r="E36" s="265"/>
      <c r="F36" s="265"/>
      <c r="G36" s="266"/>
      <c r="J36" s="234" t="str">
        <f t="shared" si="0"/>
        <v/>
      </c>
    </row>
    <row r="37" spans="2:17" ht="14.25" thickBot="1" x14ac:dyDescent="0.2">
      <c r="B37" s="283"/>
      <c r="C37" s="273" t="s">
        <v>217</v>
      </c>
      <c r="D37" s="274" t="s">
        <v>187</v>
      </c>
      <c r="E37" s="275"/>
      <c r="F37" s="275"/>
      <c r="G37" s="276"/>
      <c r="J37" s="234" t="str">
        <f t="shared" si="0"/>
        <v>×</v>
      </c>
      <c r="K37" s="267" t="str">
        <f t="shared" ref="K37:K42" si="1">C37</f>
        <v>２　実習</v>
      </c>
      <c r="L37" s="268"/>
      <c r="M37" s="268"/>
      <c r="N37" s="269"/>
      <c r="P37" s="261" t="str">
        <f>IF((COUNTIF(E37, "*実習*"))=1,"〇","X")</f>
        <v>X</v>
      </c>
      <c r="Q37" s="261" t="str">
        <f>IF((COUNTIF(F37, "*実習*"))=1,"〇","X")</f>
        <v>X</v>
      </c>
    </row>
    <row r="38" spans="2:17" x14ac:dyDescent="0.15">
      <c r="B38" s="253" t="s">
        <v>35</v>
      </c>
      <c r="C38" s="254" t="s">
        <v>218</v>
      </c>
      <c r="D38" s="284" t="s">
        <v>187</v>
      </c>
      <c r="E38" s="256"/>
      <c r="F38" s="256"/>
      <c r="G38" s="257"/>
      <c r="J38" s="234" t="str">
        <f t="shared" si="0"/>
        <v>×</v>
      </c>
      <c r="K38" s="267" t="str">
        <f t="shared" si="1"/>
        <v>１　医学の歴史的変遷</v>
      </c>
      <c r="L38" s="268"/>
      <c r="M38" s="268"/>
      <c r="N38" s="269"/>
      <c r="P38" s="261" t="str">
        <f>IF((COUNTIF(E38, "*医学の歴史的変遷*"))=1,"〇","X")</f>
        <v>X</v>
      </c>
      <c r="Q38" s="261" t="str">
        <f>IF((COUNTIF(F38, "*医学の歴史的変遷*"))=1,"〇","X")</f>
        <v>X</v>
      </c>
    </row>
    <row r="39" spans="2:17" x14ac:dyDescent="0.15">
      <c r="B39" s="262"/>
      <c r="C39" s="263" t="s">
        <v>219</v>
      </c>
      <c r="D39" s="264" t="s">
        <v>187</v>
      </c>
      <c r="E39" s="265"/>
      <c r="F39" s="265"/>
      <c r="G39" s="266"/>
      <c r="J39" s="234" t="str">
        <f t="shared" si="0"/>
        <v>×</v>
      </c>
      <c r="K39" s="267" t="str">
        <f t="shared" si="1"/>
        <v>２　医療機器の歴史的変遷</v>
      </c>
      <c r="L39" s="268"/>
      <c r="M39" s="268"/>
      <c r="N39" s="269"/>
      <c r="P39" s="261" t="str">
        <f>IF((COUNTIF(E39, "*医療機器の歴史的変遷*"))=1,"〇","X")</f>
        <v>X</v>
      </c>
      <c r="Q39" s="261" t="str">
        <f>IF((COUNTIF(F39, "*医療機器の歴史的変遷*"))=1,"〇","X")</f>
        <v>X</v>
      </c>
    </row>
    <row r="40" spans="2:17" x14ac:dyDescent="0.15">
      <c r="B40" s="262"/>
      <c r="C40" s="263" t="s">
        <v>220</v>
      </c>
      <c r="D40" s="264" t="s">
        <v>187</v>
      </c>
      <c r="E40" s="265"/>
      <c r="F40" s="265"/>
      <c r="G40" s="266"/>
      <c r="J40" s="234" t="str">
        <f t="shared" si="0"/>
        <v>×</v>
      </c>
      <c r="K40" s="267" t="str">
        <f t="shared" si="1"/>
        <v>３　医療従事者の倫理</v>
      </c>
      <c r="L40" s="268"/>
      <c r="M40" s="268"/>
      <c r="N40" s="269"/>
      <c r="P40" s="261" t="str">
        <f>IF((COUNTIF(E40, "*医療従事者の倫理*"))=1,"〇","X")</f>
        <v>X</v>
      </c>
      <c r="Q40" s="261" t="str">
        <f>IF((COUNTIF(F40, "*医療従事者の倫理*"))=1,"〇","X")</f>
        <v>X</v>
      </c>
    </row>
    <row r="41" spans="2:17" ht="14.25" thickBot="1" x14ac:dyDescent="0.2">
      <c r="B41" s="283"/>
      <c r="C41" s="273" t="s">
        <v>221</v>
      </c>
      <c r="D41" s="274" t="s">
        <v>187</v>
      </c>
      <c r="E41" s="275"/>
      <c r="F41" s="275"/>
      <c r="G41" s="276"/>
      <c r="J41" s="234" t="str">
        <f t="shared" si="0"/>
        <v>×</v>
      </c>
      <c r="K41" s="267" t="str">
        <f t="shared" si="1"/>
        <v>４　将来の展望</v>
      </c>
      <c r="L41" s="268"/>
      <c r="M41" s="268"/>
      <c r="N41" s="269"/>
      <c r="P41" s="261" t="str">
        <f>IF((COUNTIF(E41, "*将来の展望*"))=1,"〇","X")</f>
        <v>X</v>
      </c>
      <c r="Q41" s="261" t="str">
        <f>IF((COUNTIF(F41, "*将来の展望*"))=1,"〇","X")</f>
        <v>X</v>
      </c>
    </row>
    <row r="42" spans="2:17" x14ac:dyDescent="0.15">
      <c r="B42" s="262" t="s">
        <v>36</v>
      </c>
      <c r="C42" s="254" t="s">
        <v>222</v>
      </c>
      <c r="D42" s="284" t="s">
        <v>187</v>
      </c>
      <c r="E42" s="277"/>
      <c r="F42" s="277"/>
      <c r="G42" s="278"/>
      <c r="J42" s="234" t="str">
        <f t="shared" si="0"/>
        <v>×</v>
      </c>
      <c r="K42" s="267" t="str">
        <f t="shared" si="1"/>
        <v>１　概論</v>
      </c>
      <c r="L42" s="268"/>
      <c r="M42" s="268"/>
      <c r="N42" s="269"/>
      <c r="P42" s="261" t="str">
        <f>IF((COUNTIF(E42, "*概論*"))=1,"〇","X")</f>
        <v>X</v>
      </c>
      <c r="Q42" s="261" t="str">
        <f>IF((COUNTIF(F42, "*概論*"))=1,"〇","X")</f>
        <v>X</v>
      </c>
    </row>
    <row r="43" spans="2:17" x14ac:dyDescent="0.15">
      <c r="B43" s="262"/>
      <c r="C43" s="263" t="s">
        <v>223</v>
      </c>
      <c r="D43" s="279"/>
      <c r="E43" s="265"/>
      <c r="F43" s="265"/>
      <c r="G43" s="266"/>
      <c r="J43" s="234" t="str">
        <f t="shared" si="0"/>
        <v/>
      </c>
    </row>
    <row r="44" spans="2:17" x14ac:dyDescent="0.15">
      <c r="B44" s="262"/>
      <c r="C44" s="263" t="s">
        <v>224</v>
      </c>
      <c r="D44" s="279"/>
      <c r="E44" s="265"/>
      <c r="F44" s="265"/>
      <c r="G44" s="266"/>
      <c r="J44" s="234" t="str">
        <f t="shared" si="0"/>
        <v/>
      </c>
    </row>
    <row r="45" spans="2:17" x14ac:dyDescent="0.15">
      <c r="B45" s="262"/>
      <c r="C45" s="263" t="s">
        <v>225</v>
      </c>
      <c r="D45" s="282" t="s">
        <v>187</v>
      </c>
      <c r="E45" s="265"/>
      <c r="F45" s="265"/>
      <c r="G45" s="266"/>
      <c r="J45" s="234" t="str">
        <f t="shared" si="0"/>
        <v>×</v>
      </c>
      <c r="K45" s="267" t="str">
        <f>C45</f>
        <v>２　各論</v>
      </c>
      <c r="L45" s="268"/>
      <c r="M45" s="268"/>
      <c r="N45" s="269"/>
      <c r="P45" s="261" t="str">
        <f>IF((COUNTIF(E45, "*各論*"))=1,"〇","X")</f>
        <v>X</v>
      </c>
      <c r="Q45" s="261" t="str">
        <f>IF((COUNTIF(F45, "*各論*"))=1,"〇","X")</f>
        <v>X</v>
      </c>
    </row>
    <row r="46" spans="2:17" x14ac:dyDescent="0.15">
      <c r="B46" s="262"/>
      <c r="C46" s="263" t="s">
        <v>226</v>
      </c>
      <c r="D46" s="279"/>
      <c r="E46" s="265"/>
      <c r="F46" s="265"/>
      <c r="G46" s="266"/>
      <c r="J46" s="234" t="str">
        <f t="shared" si="0"/>
        <v/>
      </c>
    </row>
    <row r="47" spans="2:17" x14ac:dyDescent="0.15">
      <c r="B47" s="262"/>
      <c r="C47" s="263" t="s">
        <v>227</v>
      </c>
      <c r="D47" s="279"/>
      <c r="E47" s="265"/>
      <c r="F47" s="265"/>
      <c r="G47" s="266"/>
      <c r="J47" s="234" t="str">
        <f t="shared" si="0"/>
        <v/>
      </c>
    </row>
    <row r="48" spans="2:17" x14ac:dyDescent="0.15">
      <c r="B48" s="262"/>
      <c r="C48" s="281" t="s">
        <v>228</v>
      </c>
      <c r="D48" s="279"/>
      <c r="E48" s="265"/>
      <c r="F48" s="265"/>
      <c r="G48" s="266"/>
      <c r="J48" s="234" t="str">
        <f t="shared" si="0"/>
        <v/>
      </c>
    </row>
    <row r="49" spans="2:17" x14ac:dyDescent="0.15">
      <c r="B49" s="262"/>
      <c r="C49" s="263" t="s">
        <v>229</v>
      </c>
      <c r="D49" s="279"/>
      <c r="E49" s="265"/>
      <c r="F49" s="265"/>
      <c r="G49" s="266"/>
      <c r="J49" s="234" t="str">
        <f t="shared" si="0"/>
        <v/>
      </c>
    </row>
    <row r="50" spans="2:17" x14ac:dyDescent="0.15">
      <c r="B50" s="262"/>
      <c r="C50" s="263" t="s">
        <v>230</v>
      </c>
      <c r="D50" s="279"/>
      <c r="E50" s="265"/>
      <c r="F50" s="265"/>
      <c r="G50" s="266"/>
      <c r="J50" s="234" t="str">
        <f t="shared" si="0"/>
        <v/>
      </c>
    </row>
    <row r="51" spans="2:17" x14ac:dyDescent="0.15">
      <c r="B51" s="262"/>
      <c r="C51" s="263" t="s">
        <v>231</v>
      </c>
      <c r="D51" s="279"/>
      <c r="E51" s="265"/>
      <c r="F51" s="265"/>
      <c r="G51" s="266"/>
      <c r="J51" s="234" t="str">
        <f t="shared" si="0"/>
        <v/>
      </c>
    </row>
    <row r="52" spans="2:17" x14ac:dyDescent="0.15">
      <c r="B52" s="262"/>
      <c r="C52" s="263" t="s">
        <v>232</v>
      </c>
      <c r="D52" s="279"/>
      <c r="E52" s="265"/>
      <c r="F52" s="265"/>
      <c r="G52" s="266"/>
      <c r="J52" s="234" t="str">
        <f t="shared" si="0"/>
        <v/>
      </c>
    </row>
    <row r="53" spans="2:17" x14ac:dyDescent="0.15">
      <c r="B53" s="262"/>
      <c r="C53" s="263" t="s">
        <v>233</v>
      </c>
      <c r="D53" s="279"/>
      <c r="E53" s="265"/>
      <c r="F53" s="265"/>
      <c r="G53" s="266"/>
      <c r="J53" s="234" t="str">
        <f>IF(AND(OR(D53="◎",D53="◎※１"),OR(E53="",F53="",G53="")),"×","")</f>
        <v/>
      </c>
    </row>
    <row r="54" spans="2:17" ht="14.25" thickBot="1" x14ac:dyDescent="0.2">
      <c r="B54" s="283"/>
      <c r="C54" s="273" t="s">
        <v>234</v>
      </c>
      <c r="D54" s="285"/>
      <c r="E54" s="275"/>
      <c r="F54" s="275"/>
      <c r="G54" s="276"/>
      <c r="J54" s="234" t="str">
        <f t="shared" si="0"/>
        <v/>
      </c>
    </row>
    <row r="55" spans="2:17" x14ac:dyDescent="0.15">
      <c r="B55" s="262" t="s">
        <v>37</v>
      </c>
      <c r="C55" s="263" t="s">
        <v>235</v>
      </c>
      <c r="D55" s="282" t="s">
        <v>187</v>
      </c>
      <c r="E55" s="277"/>
      <c r="F55" s="277"/>
      <c r="G55" s="278"/>
      <c r="J55" s="234" t="str">
        <f t="shared" si="0"/>
        <v>×</v>
      </c>
      <c r="K55" s="267" t="str">
        <f>C55</f>
        <v>１　総論</v>
      </c>
      <c r="L55" s="268"/>
      <c r="M55" s="268"/>
      <c r="N55" s="269"/>
      <c r="P55" s="261" t="str">
        <f>IF((COUNTIF(E55, "*総論*"))=1,"〇","X")</f>
        <v>X</v>
      </c>
      <c r="Q55" s="261" t="str">
        <f>IF((COUNTIF(F55, "*総論*"))=1,"〇","X")</f>
        <v>X</v>
      </c>
    </row>
    <row r="56" spans="2:17" x14ac:dyDescent="0.15">
      <c r="B56" s="262"/>
      <c r="C56" s="263" t="s">
        <v>236</v>
      </c>
      <c r="D56" s="279"/>
      <c r="E56" s="265"/>
      <c r="F56" s="265"/>
      <c r="G56" s="266"/>
      <c r="J56" s="234" t="str">
        <f t="shared" si="0"/>
        <v/>
      </c>
    </row>
    <row r="57" spans="2:17" x14ac:dyDescent="0.15">
      <c r="B57" s="262"/>
      <c r="C57" s="263" t="s">
        <v>237</v>
      </c>
      <c r="D57" s="279"/>
      <c r="E57" s="265"/>
      <c r="F57" s="265"/>
      <c r="G57" s="266"/>
      <c r="J57" s="234" t="str">
        <f t="shared" si="0"/>
        <v/>
      </c>
    </row>
    <row r="58" spans="2:17" x14ac:dyDescent="0.15">
      <c r="B58" s="262"/>
      <c r="C58" s="263" t="s">
        <v>238</v>
      </c>
      <c r="D58" s="279"/>
      <c r="E58" s="265"/>
      <c r="F58" s="265"/>
      <c r="G58" s="266"/>
      <c r="J58" s="234" t="str">
        <f t="shared" si="0"/>
        <v/>
      </c>
    </row>
    <row r="59" spans="2:17" x14ac:dyDescent="0.15">
      <c r="B59" s="262"/>
      <c r="C59" s="263" t="s">
        <v>239</v>
      </c>
      <c r="D59" s="279"/>
      <c r="E59" s="265"/>
      <c r="F59" s="265"/>
      <c r="G59" s="266"/>
      <c r="J59" s="234" t="str">
        <f t="shared" si="0"/>
        <v/>
      </c>
    </row>
    <row r="60" spans="2:17" x14ac:dyDescent="0.15">
      <c r="B60" s="262"/>
      <c r="C60" s="263" t="s">
        <v>240</v>
      </c>
      <c r="D60" s="279"/>
      <c r="E60" s="265"/>
      <c r="F60" s="265"/>
      <c r="G60" s="266"/>
      <c r="J60" s="234" t="str">
        <f t="shared" si="0"/>
        <v/>
      </c>
    </row>
    <row r="61" spans="2:17" x14ac:dyDescent="0.15">
      <c r="B61" s="262"/>
      <c r="C61" s="263" t="s">
        <v>241</v>
      </c>
      <c r="D61" s="279"/>
      <c r="E61" s="265"/>
      <c r="F61" s="265"/>
      <c r="G61" s="266"/>
      <c r="J61" s="234" t="str">
        <f t="shared" si="0"/>
        <v/>
      </c>
    </row>
    <row r="62" spans="2:17" x14ac:dyDescent="0.15">
      <c r="B62" s="262"/>
      <c r="C62" s="263" t="s">
        <v>225</v>
      </c>
      <c r="D62" s="282" t="s">
        <v>187</v>
      </c>
      <c r="E62" s="265"/>
      <c r="F62" s="265"/>
      <c r="G62" s="266"/>
      <c r="J62" s="234" t="str">
        <f t="shared" si="0"/>
        <v>×</v>
      </c>
      <c r="K62" s="267" t="str">
        <f>C62</f>
        <v>２　各論</v>
      </c>
      <c r="L62" s="268"/>
      <c r="M62" s="268"/>
      <c r="N62" s="269"/>
      <c r="P62" s="261" t="str">
        <f>IF((COUNTIF(E62, "*各論*"))=1,"〇","X")</f>
        <v>X</v>
      </c>
      <c r="Q62" s="261" t="str">
        <f>IF((COUNTIF(F62, "*各論*"))=1,"〇","X")</f>
        <v>X</v>
      </c>
    </row>
    <row r="63" spans="2:17" x14ac:dyDescent="0.15">
      <c r="B63" s="262"/>
      <c r="C63" s="263" t="s">
        <v>242</v>
      </c>
      <c r="D63" s="279"/>
      <c r="E63" s="265"/>
      <c r="F63" s="265"/>
      <c r="G63" s="266"/>
      <c r="J63" s="234" t="str">
        <f t="shared" si="0"/>
        <v/>
      </c>
    </row>
    <row r="64" spans="2:17" x14ac:dyDescent="0.15">
      <c r="B64" s="262"/>
      <c r="C64" s="263" t="s">
        <v>243</v>
      </c>
      <c r="D64" s="279"/>
      <c r="E64" s="265"/>
      <c r="F64" s="265"/>
      <c r="G64" s="266"/>
      <c r="J64" s="234" t="str">
        <f t="shared" si="0"/>
        <v/>
      </c>
    </row>
    <row r="65" spans="2:17" x14ac:dyDescent="0.15">
      <c r="B65" s="262"/>
      <c r="C65" s="281" t="s">
        <v>244</v>
      </c>
      <c r="D65" s="279"/>
      <c r="E65" s="265"/>
      <c r="F65" s="265"/>
      <c r="G65" s="266"/>
      <c r="J65" s="234" t="str">
        <f t="shared" si="0"/>
        <v/>
      </c>
    </row>
    <row r="66" spans="2:17" x14ac:dyDescent="0.15">
      <c r="B66" s="262"/>
      <c r="C66" s="263" t="s">
        <v>245</v>
      </c>
      <c r="D66" s="279"/>
      <c r="E66" s="265"/>
      <c r="F66" s="265"/>
      <c r="G66" s="266"/>
      <c r="J66" s="234" t="str">
        <f t="shared" si="0"/>
        <v/>
      </c>
    </row>
    <row r="67" spans="2:17" x14ac:dyDescent="0.15">
      <c r="B67" s="262"/>
      <c r="C67" s="263" t="s">
        <v>246</v>
      </c>
      <c r="D67" s="279"/>
      <c r="E67" s="265"/>
      <c r="F67" s="265"/>
      <c r="G67" s="266"/>
      <c r="J67" s="234" t="str">
        <f t="shared" si="0"/>
        <v/>
      </c>
    </row>
    <row r="68" spans="2:17" ht="14.25" thickBot="1" x14ac:dyDescent="0.2">
      <c r="B68" s="283"/>
      <c r="C68" s="273" t="s">
        <v>247</v>
      </c>
      <c r="D68" s="285"/>
      <c r="E68" s="275"/>
      <c r="F68" s="275"/>
      <c r="G68" s="276"/>
      <c r="J68" s="234" t="str">
        <f t="shared" si="0"/>
        <v/>
      </c>
    </row>
    <row r="69" spans="2:17" x14ac:dyDescent="0.15">
      <c r="B69" s="262" t="s">
        <v>34</v>
      </c>
      <c r="C69" s="254" t="s">
        <v>248</v>
      </c>
      <c r="D69" s="282" t="s">
        <v>187</v>
      </c>
      <c r="E69" s="277"/>
      <c r="F69" s="277"/>
      <c r="G69" s="278"/>
      <c r="J69" s="234" t="str">
        <f t="shared" si="0"/>
        <v>×</v>
      </c>
      <c r="K69" s="267" t="str">
        <f>C69</f>
        <v>１　物質の代謝</v>
      </c>
      <c r="L69" s="268"/>
      <c r="M69" s="268"/>
      <c r="N69" s="269"/>
      <c r="P69" s="261" t="str">
        <f>IF((COUNTIF(E69, "*物質の代謝*"))=1,"〇","X")</f>
        <v>X</v>
      </c>
      <c r="Q69" s="261" t="str">
        <f>IF((COUNTIF(F69, "*物質の代謝*"))=1,"〇","X")</f>
        <v>X</v>
      </c>
    </row>
    <row r="70" spans="2:17" x14ac:dyDescent="0.15">
      <c r="B70" s="262"/>
      <c r="C70" s="263" t="s">
        <v>249</v>
      </c>
      <c r="D70" s="279"/>
      <c r="E70" s="265"/>
      <c r="F70" s="265"/>
      <c r="G70" s="266"/>
      <c r="J70" s="234" t="str">
        <f t="shared" si="0"/>
        <v/>
      </c>
    </row>
    <row r="71" spans="2:17" x14ac:dyDescent="0.15">
      <c r="B71" s="262"/>
      <c r="C71" s="263" t="s">
        <v>250</v>
      </c>
      <c r="D71" s="279"/>
      <c r="E71" s="265"/>
      <c r="F71" s="265"/>
      <c r="G71" s="266"/>
      <c r="J71" s="234" t="str">
        <f t="shared" ref="J71:J134" si="2">IF(AND(OR(D71="◎",D71="◎※１"),OR(E71="",F71="",G71="")),"×","")</f>
        <v/>
      </c>
    </row>
    <row r="72" spans="2:17" x14ac:dyDescent="0.15">
      <c r="B72" s="262"/>
      <c r="C72" s="281" t="s">
        <v>251</v>
      </c>
      <c r="D72" s="279"/>
      <c r="E72" s="265"/>
      <c r="F72" s="265"/>
      <c r="G72" s="266"/>
      <c r="J72" s="234" t="str">
        <f t="shared" si="2"/>
        <v/>
      </c>
    </row>
    <row r="73" spans="2:17" x14ac:dyDescent="0.15">
      <c r="B73" s="262"/>
      <c r="C73" s="263" t="s">
        <v>252</v>
      </c>
      <c r="D73" s="279"/>
      <c r="E73" s="265"/>
      <c r="F73" s="265"/>
      <c r="G73" s="266"/>
      <c r="J73" s="234" t="str">
        <f t="shared" si="2"/>
        <v/>
      </c>
    </row>
    <row r="74" spans="2:17" x14ac:dyDescent="0.15">
      <c r="B74" s="262"/>
      <c r="C74" s="263" t="s">
        <v>253</v>
      </c>
      <c r="D74" s="279"/>
      <c r="E74" s="265"/>
      <c r="F74" s="265"/>
      <c r="G74" s="266"/>
      <c r="J74" s="234" t="str">
        <f t="shared" si="2"/>
        <v/>
      </c>
    </row>
    <row r="75" spans="2:17" x14ac:dyDescent="0.15">
      <c r="B75" s="262"/>
      <c r="C75" s="263" t="s">
        <v>254</v>
      </c>
      <c r="D75" s="279"/>
      <c r="E75" s="265"/>
      <c r="F75" s="265"/>
      <c r="G75" s="266"/>
      <c r="J75" s="234" t="str">
        <f t="shared" si="2"/>
        <v/>
      </c>
    </row>
    <row r="76" spans="2:17" x14ac:dyDescent="0.15">
      <c r="B76" s="262"/>
      <c r="C76" s="263" t="s">
        <v>255</v>
      </c>
      <c r="D76" s="279"/>
      <c r="E76" s="265"/>
      <c r="F76" s="265"/>
      <c r="G76" s="266"/>
      <c r="J76" s="234" t="str">
        <f t="shared" si="2"/>
        <v/>
      </c>
    </row>
    <row r="77" spans="2:17" x14ac:dyDescent="0.15">
      <c r="B77" s="262"/>
      <c r="C77" s="263" t="s">
        <v>256</v>
      </c>
      <c r="D77" s="279"/>
      <c r="E77" s="265"/>
      <c r="F77" s="265"/>
      <c r="G77" s="266"/>
      <c r="J77" s="234" t="str">
        <f t="shared" si="2"/>
        <v/>
      </c>
    </row>
    <row r="78" spans="2:17" x14ac:dyDescent="0.15">
      <c r="B78" s="262"/>
      <c r="C78" s="263" t="s">
        <v>257</v>
      </c>
      <c r="D78" s="279"/>
      <c r="E78" s="265"/>
      <c r="F78" s="265"/>
      <c r="G78" s="266"/>
      <c r="J78" s="234" t="str">
        <f t="shared" si="2"/>
        <v/>
      </c>
    </row>
    <row r="79" spans="2:17" x14ac:dyDescent="0.15">
      <c r="B79" s="262"/>
      <c r="C79" s="263" t="s">
        <v>258</v>
      </c>
      <c r="D79" s="279"/>
      <c r="E79" s="265"/>
      <c r="F79" s="265"/>
      <c r="G79" s="266"/>
      <c r="J79" s="234" t="str">
        <f t="shared" si="2"/>
        <v/>
      </c>
    </row>
    <row r="80" spans="2:17" x14ac:dyDescent="0.15">
      <c r="B80" s="262"/>
      <c r="C80" s="263" t="s">
        <v>259</v>
      </c>
      <c r="D80" s="279" t="s">
        <v>187</v>
      </c>
      <c r="E80" s="265"/>
      <c r="F80" s="265"/>
      <c r="G80" s="266"/>
      <c r="J80" s="234" t="str">
        <f t="shared" si="2"/>
        <v>×</v>
      </c>
      <c r="K80" s="267" t="str">
        <f>C80</f>
        <v>２　疫病と機能検査</v>
      </c>
      <c r="L80" s="268"/>
      <c r="M80" s="268"/>
      <c r="N80" s="269"/>
      <c r="P80" s="261" t="str">
        <f>IF((COUNTIF(E80, "*疫病と機能検査*"))=1,"〇","X")</f>
        <v>X</v>
      </c>
      <c r="Q80" s="261" t="str">
        <f>IF((COUNTIF(F80, "*疫病と機能検査*"))=1,"〇","X")</f>
        <v>X</v>
      </c>
    </row>
    <row r="81" spans="2:18" x14ac:dyDescent="0.15">
      <c r="B81" s="262"/>
      <c r="C81" s="263" t="s">
        <v>260</v>
      </c>
      <c r="D81" s="279"/>
      <c r="E81" s="265"/>
      <c r="F81" s="265"/>
      <c r="G81" s="266"/>
      <c r="J81" s="234" t="str">
        <f t="shared" si="2"/>
        <v/>
      </c>
    </row>
    <row r="82" spans="2:18" x14ac:dyDescent="0.15">
      <c r="B82" s="262"/>
      <c r="C82" s="263" t="s">
        <v>261</v>
      </c>
      <c r="D82" s="279"/>
      <c r="E82" s="265"/>
      <c r="F82" s="265"/>
      <c r="G82" s="266"/>
      <c r="J82" s="234" t="str">
        <f t="shared" si="2"/>
        <v/>
      </c>
    </row>
    <row r="83" spans="2:18" x14ac:dyDescent="0.15">
      <c r="B83" s="262"/>
      <c r="C83" s="281" t="s">
        <v>262</v>
      </c>
      <c r="D83" s="279"/>
      <c r="E83" s="265"/>
      <c r="F83" s="265"/>
      <c r="G83" s="266"/>
      <c r="J83" s="234" t="str">
        <f t="shared" si="2"/>
        <v/>
      </c>
    </row>
    <row r="84" spans="2:18" x14ac:dyDescent="0.15">
      <c r="B84" s="262"/>
      <c r="C84" s="263" t="s">
        <v>208</v>
      </c>
      <c r="D84" s="279"/>
      <c r="E84" s="265"/>
      <c r="F84" s="265"/>
      <c r="G84" s="266"/>
      <c r="J84" s="234" t="str">
        <f t="shared" si="2"/>
        <v/>
      </c>
    </row>
    <row r="85" spans="2:18" x14ac:dyDescent="0.15">
      <c r="B85" s="262"/>
      <c r="C85" s="263" t="s">
        <v>263</v>
      </c>
      <c r="D85" s="279"/>
      <c r="E85" s="265"/>
      <c r="F85" s="265"/>
      <c r="G85" s="266"/>
      <c r="J85" s="234" t="str">
        <f t="shared" si="2"/>
        <v/>
      </c>
      <c r="R85" s="228"/>
    </row>
    <row r="86" spans="2:18" x14ac:dyDescent="0.15">
      <c r="B86" s="262"/>
      <c r="C86" s="263" t="s">
        <v>264</v>
      </c>
      <c r="D86" s="279" t="s">
        <v>187</v>
      </c>
      <c r="E86" s="265"/>
      <c r="F86" s="265"/>
      <c r="G86" s="266"/>
      <c r="J86" s="234" t="str">
        <f t="shared" si="2"/>
        <v>×</v>
      </c>
      <c r="K86" s="267" t="str">
        <f>C86</f>
        <v>３　生体の分子メカニズム</v>
      </c>
      <c r="L86" s="268"/>
      <c r="M86" s="268"/>
      <c r="N86" s="269"/>
      <c r="P86" s="261" t="str">
        <f>IF((COUNTIF(E86, "*生体の分子メカニズム*"))=1,"〇","X")</f>
        <v>X</v>
      </c>
      <c r="Q86" s="261" t="str">
        <f>IF((COUNTIF(F86, "*生体の分子メカニズム*"))=1,"〇","X")</f>
        <v>X</v>
      </c>
      <c r="R86" s="228"/>
    </row>
    <row r="87" spans="2:18" x14ac:dyDescent="0.15">
      <c r="B87" s="262"/>
      <c r="C87" s="263" t="s">
        <v>265</v>
      </c>
      <c r="D87" s="279"/>
      <c r="E87" s="265"/>
      <c r="F87" s="265"/>
      <c r="G87" s="266"/>
      <c r="J87" s="234" t="str">
        <f t="shared" si="2"/>
        <v/>
      </c>
      <c r="R87" s="228"/>
    </row>
    <row r="88" spans="2:18" x14ac:dyDescent="0.15">
      <c r="B88" s="262"/>
      <c r="C88" s="263" t="s">
        <v>266</v>
      </c>
      <c r="D88" s="279"/>
      <c r="E88" s="265"/>
      <c r="F88" s="265"/>
      <c r="G88" s="266"/>
      <c r="J88" s="234" t="str">
        <f t="shared" si="2"/>
        <v/>
      </c>
      <c r="R88" s="228"/>
    </row>
    <row r="89" spans="2:18" x14ac:dyDescent="0.15">
      <c r="B89" s="262"/>
      <c r="C89" s="263" t="s">
        <v>267</v>
      </c>
      <c r="D89" s="279"/>
      <c r="E89" s="265"/>
      <c r="F89" s="265"/>
      <c r="G89" s="266"/>
      <c r="J89" s="234" t="str">
        <f t="shared" si="2"/>
        <v/>
      </c>
      <c r="R89" s="228"/>
    </row>
    <row r="90" spans="2:18" x14ac:dyDescent="0.15">
      <c r="B90" s="262"/>
      <c r="C90" s="263" t="s">
        <v>268</v>
      </c>
      <c r="D90" s="279"/>
      <c r="E90" s="265"/>
      <c r="F90" s="265"/>
      <c r="G90" s="266"/>
      <c r="J90" s="234" t="str">
        <f t="shared" si="2"/>
        <v/>
      </c>
      <c r="R90" s="228"/>
    </row>
    <row r="91" spans="2:18" x14ac:dyDescent="0.15">
      <c r="B91" s="262"/>
      <c r="C91" s="263" t="s">
        <v>269</v>
      </c>
      <c r="D91" s="279"/>
      <c r="E91" s="265"/>
      <c r="F91" s="265"/>
      <c r="G91" s="266"/>
      <c r="J91" s="234" t="str">
        <f t="shared" si="2"/>
        <v/>
      </c>
      <c r="R91" s="228"/>
    </row>
    <row r="92" spans="2:18" x14ac:dyDescent="0.15">
      <c r="B92" s="262"/>
      <c r="C92" s="263" t="s">
        <v>270</v>
      </c>
      <c r="D92" s="279"/>
      <c r="E92" s="265"/>
      <c r="F92" s="265"/>
      <c r="G92" s="266"/>
      <c r="J92" s="234" t="str">
        <f t="shared" si="2"/>
        <v/>
      </c>
      <c r="R92" s="228"/>
    </row>
    <row r="93" spans="2:18" ht="14.25" thickBot="1" x14ac:dyDescent="0.2">
      <c r="B93" s="283"/>
      <c r="C93" s="273" t="s">
        <v>271</v>
      </c>
      <c r="D93" s="285"/>
      <c r="E93" s="275"/>
      <c r="F93" s="275"/>
      <c r="G93" s="276"/>
      <c r="J93" s="234" t="str">
        <f t="shared" si="2"/>
        <v/>
      </c>
      <c r="R93" s="228"/>
    </row>
    <row r="94" spans="2:18" x14ac:dyDescent="0.15">
      <c r="B94" s="262" t="s">
        <v>39</v>
      </c>
      <c r="C94" s="254" t="s">
        <v>272</v>
      </c>
      <c r="D94" s="279" t="s">
        <v>187</v>
      </c>
      <c r="E94" s="277"/>
      <c r="F94" s="277"/>
      <c r="G94" s="278"/>
      <c r="J94" s="234" t="str">
        <f t="shared" si="2"/>
        <v>×</v>
      </c>
      <c r="K94" s="267" t="str">
        <f>C94</f>
        <v>１　免疫血清学の概要</v>
      </c>
      <c r="L94" s="268"/>
      <c r="M94" s="268"/>
      <c r="N94" s="269"/>
      <c r="P94" s="261" t="str">
        <f>IF((COUNTIF(E94, "*免疫血清学の概要*"))=1,"〇","X")</f>
        <v>X</v>
      </c>
      <c r="Q94" s="261" t="str">
        <f>IF((COUNTIF(F94, "*免疫血清学の概要*"))=1,"〇","X")</f>
        <v>X</v>
      </c>
    </row>
    <row r="95" spans="2:18" x14ac:dyDescent="0.15">
      <c r="B95" s="262"/>
      <c r="C95" s="263" t="s">
        <v>273</v>
      </c>
      <c r="D95" s="279"/>
      <c r="E95" s="265"/>
      <c r="F95" s="265"/>
      <c r="G95" s="266"/>
      <c r="J95" s="234" t="str">
        <f t="shared" si="2"/>
        <v/>
      </c>
    </row>
    <row r="96" spans="2:18" x14ac:dyDescent="0.15">
      <c r="B96" s="262"/>
      <c r="C96" s="263" t="s">
        <v>274</v>
      </c>
      <c r="D96" s="279"/>
      <c r="E96" s="265"/>
      <c r="F96" s="265"/>
      <c r="G96" s="266"/>
      <c r="J96" s="234" t="str">
        <f t="shared" si="2"/>
        <v/>
      </c>
    </row>
    <row r="97" spans="2:17" x14ac:dyDescent="0.15">
      <c r="B97" s="262"/>
      <c r="C97" s="281" t="s">
        <v>275</v>
      </c>
      <c r="D97" s="279"/>
      <c r="E97" s="265"/>
      <c r="F97" s="265"/>
      <c r="G97" s="266"/>
      <c r="J97" s="234" t="str">
        <f t="shared" si="2"/>
        <v/>
      </c>
    </row>
    <row r="98" spans="2:17" x14ac:dyDescent="0.15">
      <c r="B98" s="262"/>
      <c r="C98" s="263" t="s">
        <v>276</v>
      </c>
      <c r="D98" s="279" t="s">
        <v>187</v>
      </c>
      <c r="E98" s="265"/>
      <c r="F98" s="265"/>
      <c r="G98" s="266"/>
      <c r="J98" s="234" t="str">
        <f t="shared" si="2"/>
        <v>×</v>
      </c>
      <c r="K98" s="267" t="str">
        <f>C98</f>
        <v>２　各種免疫</v>
      </c>
      <c r="L98" s="268"/>
      <c r="M98" s="268"/>
      <c r="N98" s="269"/>
      <c r="P98" s="261" t="str">
        <f>IF((COUNTIF(E98, "*各種免疫*"))=1,"〇","X")</f>
        <v>X</v>
      </c>
      <c r="Q98" s="261" t="str">
        <f>IF((COUNTIF(F98, "*各種免疫*"))=1,"〇","X")</f>
        <v>X</v>
      </c>
    </row>
    <row r="99" spans="2:17" x14ac:dyDescent="0.15">
      <c r="B99" s="262"/>
      <c r="C99" s="263" t="s">
        <v>277</v>
      </c>
      <c r="D99" s="279"/>
      <c r="E99" s="265"/>
      <c r="F99" s="265"/>
      <c r="G99" s="266"/>
      <c r="J99" s="234" t="str">
        <f t="shared" si="2"/>
        <v/>
      </c>
    </row>
    <row r="100" spans="2:17" x14ac:dyDescent="0.15">
      <c r="B100" s="262"/>
      <c r="C100" s="263" t="s">
        <v>278</v>
      </c>
      <c r="D100" s="279"/>
      <c r="E100" s="265"/>
      <c r="F100" s="265"/>
      <c r="G100" s="266"/>
      <c r="J100" s="234" t="str">
        <f t="shared" si="2"/>
        <v/>
      </c>
    </row>
    <row r="101" spans="2:17" x14ac:dyDescent="0.15">
      <c r="B101" s="262"/>
      <c r="C101" s="281" t="s">
        <v>279</v>
      </c>
      <c r="D101" s="279"/>
      <c r="E101" s="265"/>
      <c r="F101" s="265"/>
      <c r="G101" s="266"/>
      <c r="J101" s="234" t="str">
        <f t="shared" si="2"/>
        <v/>
      </c>
    </row>
    <row r="102" spans="2:17" x14ac:dyDescent="0.15">
      <c r="B102" s="262"/>
      <c r="C102" s="263" t="s">
        <v>280</v>
      </c>
      <c r="D102" s="279"/>
      <c r="E102" s="265"/>
      <c r="F102" s="265"/>
      <c r="G102" s="266"/>
      <c r="J102" s="234" t="str">
        <f t="shared" si="2"/>
        <v/>
      </c>
    </row>
    <row r="103" spans="2:17" x14ac:dyDescent="0.15">
      <c r="B103" s="262"/>
      <c r="C103" s="263" t="s">
        <v>281</v>
      </c>
      <c r="D103" s="279"/>
      <c r="E103" s="265"/>
      <c r="F103" s="265"/>
      <c r="G103" s="266"/>
      <c r="J103" s="234" t="str">
        <f t="shared" si="2"/>
        <v/>
      </c>
    </row>
    <row r="104" spans="2:17" x14ac:dyDescent="0.15">
      <c r="B104" s="262"/>
      <c r="C104" s="263" t="s">
        <v>282</v>
      </c>
      <c r="D104" s="279"/>
      <c r="E104" s="265"/>
      <c r="F104" s="265"/>
      <c r="G104" s="266"/>
      <c r="J104" s="234" t="str">
        <f t="shared" si="2"/>
        <v/>
      </c>
    </row>
    <row r="105" spans="2:17" x14ac:dyDescent="0.15">
      <c r="B105" s="262"/>
      <c r="C105" s="286" t="s">
        <v>283</v>
      </c>
      <c r="D105" s="279" t="s">
        <v>187</v>
      </c>
      <c r="E105" s="265"/>
      <c r="F105" s="265"/>
      <c r="G105" s="266"/>
      <c r="J105" s="234" t="str">
        <f t="shared" si="2"/>
        <v>×</v>
      </c>
      <c r="K105" s="267" t="str">
        <f>C105</f>
        <v>３　輸血検査</v>
      </c>
      <c r="L105" s="268"/>
      <c r="M105" s="268"/>
      <c r="N105" s="269"/>
      <c r="P105" s="261" t="str">
        <f>IF((COUNTIF(E105, "*輸血検査*"))=1,"〇","X")</f>
        <v>X</v>
      </c>
      <c r="Q105" s="261" t="str">
        <f>IF((COUNTIF(F105, "*輸血検査*"))=1,"〇","X")</f>
        <v>X</v>
      </c>
    </row>
    <row r="106" spans="2:17" x14ac:dyDescent="0.15">
      <c r="B106" s="262"/>
      <c r="C106" s="263" t="s">
        <v>284</v>
      </c>
      <c r="D106" s="279"/>
      <c r="E106" s="265"/>
      <c r="F106" s="265"/>
      <c r="G106" s="266"/>
      <c r="J106" s="234" t="str">
        <f t="shared" si="2"/>
        <v/>
      </c>
    </row>
    <row r="107" spans="2:17" ht="14.25" thickBot="1" x14ac:dyDescent="0.2">
      <c r="B107" s="283"/>
      <c r="C107" s="273" t="s">
        <v>285</v>
      </c>
      <c r="D107" s="285"/>
      <c r="E107" s="275"/>
      <c r="F107" s="275"/>
      <c r="G107" s="276"/>
      <c r="J107" s="234" t="str">
        <f t="shared" si="2"/>
        <v/>
      </c>
    </row>
    <row r="108" spans="2:17" x14ac:dyDescent="0.15">
      <c r="B108" s="262" t="s">
        <v>38</v>
      </c>
      <c r="C108" s="254" t="s">
        <v>286</v>
      </c>
      <c r="D108" s="279" t="s">
        <v>187</v>
      </c>
      <c r="E108" s="277"/>
      <c r="F108" s="277"/>
      <c r="G108" s="278"/>
      <c r="J108" s="234" t="str">
        <f t="shared" si="2"/>
        <v>×</v>
      </c>
      <c r="K108" s="267" t="str">
        <f>C108</f>
        <v>１　呼吸器系薬剤</v>
      </c>
      <c r="L108" s="268"/>
      <c r="M108" s="268"/>
      <c r="N108" s="269"/>
      <c r="P108" s="261" t="str">
        <f>IF((COUNTIF(E108, "*呼吸器系薬剤*"))=1,"〇","X")</f>
        <v>X</v>
      </c>
      <c r="Q108" s="261" t="str">
        <f>IF((COUNTIF(F108, "*呼吸器系薬剤*"))=1,"〇","X")</f>
        <v>X</v>
      </c>
    </row>
    <row r="109" spans="2:17" x14ac:dyDescent="0.15">
      <c r="B109" s="262"/>
      <c r="C109" s="263" t="s">
        <v>287</v>
      </c>
      <c r="D109" s="279"/>
      <c r="E109" s="277"/>
      <c r="F109" s="277"/>
      <c r="G109" s="278"/>
      <c r="J109" s="234" t="str">
        <f t="shared" si="2"/>
        <v/>
      </c>
    </row>
    <row r="110" spans="2:17" x14ac:dyDescent="0.15">
      <c r="B110" s="262"/>
      <c r="C110" s="263" t="s">
        <v>288</v>
      </c>
      <c r="D110" s="279"/>
      <c r="E110" s="265"/>
      <c r="F110" s="265"/>
      <c r="G110" s="266"/>
      <c r="J110" s="234" t="str">
        <f t="shared" si="2"/>
        <v/>
      </c>
    </row>
    <row r="111" spans="2:17" x14ac:dyDescent="0.15">
      <c r="B111" s="262"/>
      <c r="C111" s="263" t="s">
        <v>289</v>
      </c>
      <c r="D111" s="279" t="s">
        <v>187</v>
      </c>
      <c r="E111" s="265"/>
      <c r="F111" s="265"/>
      <c r="G111" s="266"/>
      <c r="J111" s="234" t="str">
        <f t="shared" si="2"/>
        <v>×</v>
      </c>
      <c r="K111" s="267" t="str">
        <f>C111</f>
        <v>２　循環器系薬剤</v>
      </c>
      <c r="L111" s="268"/>
      <c r="M111" s="268"/>
      <c r="N111" s="269"/>
      <c r="P111" s="261" t="str">
        <f>IF((COUNTIF(E111, "*循環器系薬剤*"))=1,"〇","X")</f>
        <v>X</v>
      </c>
      <c r="Q111" s="261" t="str">
        <f>IF((COUNTIF(F111, "*循環器系薬剤*"))=1,"〇","X")</f>
        <v>X</v>
      </c>
    </row>
    <row r="112" spans="2:17" x14ac:dyDescent="0.15">
      <c r="B112" s="262"/>
      <c r="C112" s="263" t="s">
        <v>290</v>
      </c>
      <c r="D112" s="279"/>
      <c r="E112" s="265"/>
      <c r="F112" s="265"/>
      <c r="G112" s="266"/>
      <c r="J112" s="234" t="str">
        <f t="shared" si="2"/>
        <v/>
      </c>
    </row>
    <row r="113" spans="2:17" x14ac:dyDescent="0.15">
      <c r="B113" s="262"/>
      <c r="C113" s="263" t="s">
        <v>291</v>
      </c>
      <c r="D113" s="279"/>
      <c r="E113" s="265"/>
      <c r="F113" s="265"/>
      <c r="G113" s="266"/>
      <c r="J113" s="234" t="str">
        <f t="shared" si="2"/>
        <v/>
      </c>
    </row>
    <row r="114" spans="2:17" x14ac:dyDescent="0.15">
      <c r="B114" s="262"/>
      <c r="C114" s="281" t="s">
        <v>292</v>
      </c>
      <c r="D114" s="279"/>
      <c r="E114" s="265"/>
      <c r="F114" s="265"/>
      <c r="G114" s="266"/>
      <c r="J114" s="234" t="str">
        <f t="shared" si="2"/>
        <v/>
      </c>
    </row>
    <row r="115" spans="2:17" x14ac:dyDescent="0.15">
      <c r="B115" s="262"/>
      <c r="C115" s="263" t="s">
        <v>293</v>
      </c>
      <c r="D115" s="279"/>
      <c r="E115" s="265"/>
      <c r="F115" s="265"/>
      <c r="G115" s="266"/>
      <c r="J115" s="234" t="str">
        <f t="shared" si="2"/>
        <v/>
      </c>
    </row>
    <row r="116" spans="2:17" x14ac:dyDescent="0.15">
      <c r="B116" s="262"/>
      <c r="C116" s="263" t="s">
        <v>294</v>
      </c>
      <c r="D116" s="279" t="s">
        <v>187</v>
      </c>
      <c r="E116" s="265"/>
      <c r="F116" s="265"/>
      <c r="G116" s="266"/>
      <c r="J116" s="234" t="str">
        <f t="shared" si="2"/>
        <v>×</v>
      </c>
      <c r="K116" s="267" t="str">
        <f>C116</f>
        <v>３　利尿薬</v>
      </c>
      <c r="L116" s="268"/>
      <c r="M116" s="268"/>
      <c r="N116" s="269"/>
      <c r="P116" s="261" t="str">
        <f>IF((COUNTIF(E116, "*利尿薬*"))=1,"〇","X")</f>
        <v>X</v>
      </c>
      <c r="Q116" s="261" t="str">
        <f>IF((COUNTIF(F116, "*利尿薬*"))=1,"〇","X")</f>
        <v>X</v>
      </c>
    </row>
    <row r="117" spans="2:17" x14ac:dyDescent="0.15">
      <c r="B117" s="262"/>
      <c r="C117" s="263" t="s">
        <v>295</v>
      </c>
      <c r="D117" s="279" t="s">
        <v>187</v>
      </c>
      <c r="E117" s="265"/>
      <c r="F117" s="265"/>
      <c r="G117" s="266"/>
      <c r="J117" s="234" t="str">
        <f t="shared" si="2"/>
        <v>×</v>
      </c>
      <c r="K117" s="267" t="str">
        <f>C117</f>
        <v>４　脳神経系薬剤</v>
      </c>
      <c r="L117" s="268"/>
      <c r="M117" s="268"/>
      <c r="N117" s="269"/>
      <c r="P117" s="261" t="str">
        <f>IF((COUNTIF(E117, "*脳神経系薬剤*"))=1,"〇","X")</f>
        <v>X</v>
      </c>
      <c r="Q117" s="261" t="str">
        <f>IF((COUNTIF(F117, "*脳神経系薬剤*"))=1,"〇","X")</f>
        <v>X</v>
      </c>
    </row>
    <row r="118" spans="2:17" x14ac:dyDescent="0.15">
      <c r="B118" s="262"/>
      <c r="C118" s="263" t="s">
        <v>296</v>
      </c>
      <c r="D118" s="279"/>
      <c r="E118" s="265"/>
      <c r="F118" s="265"/>
      <c r="G118" s="266"/>
      <c r="J118" s="234" t="str">
        <f t="shared" si="2"/>
        <v/>
      </c>
    </row>
    <row r="119" spans="2:17" x14ac:dyDescent="0.15">
      <c r="B119" s="262"/>
      <c r="C119" s="263" t="s">
        <v>297</v>
      </c>
      <c r="D119" s="279"/>
      <c r="E119" s="265"/>
      <c r="F119" s="265"/>
      <c r="G119" s="266"/>
      <c r="J119" s="234" t="str">
        <f t="shared" si="2"/>
        <v/>
      </c>
    </row>
    <row r="120" spans="2:17" x14ac:dyDescent="0.15">
      <c r="B120" s="262"/>
      <c r="C120" s="287" t="s">
        <v>298</v>
      </c>
      <c r="D120" s="279"/>
      <c r="E120" s="265"/>
      <c r="F120" s="265"/>
      <c r="G120" s="266"/>
      <c r="J120" s="234" t="str">
        <f t="shared" si="2"/>
        <v/>
      </c>
    </row>
    <row r="121" spans="2:17" x14ac:dyDescent="0.15">
      <c r="B121" s="262"/>
      <c r="C121" s="263" t="s">
        <v>299</v>
      </c>
      <c r="D121" s="279" t="s">
        <v>187</v>
      </c>
      <c r="E121" s="265"/>
      <c r="F121" s="265"/>
      <c r="G121" s="266"/>
      <c r="J121" s="234" t="str">
        <f t="shared" si="2"/>
        <v>×</v>
      </c>
      <c r="K121" s="267" t="str">
        <f>C121</f>
        <v>５　抗菌薬</v>
      </c>
      <c r="L121" s="268"/>
      <c r="M121" s="268"/>
      <c r="N121" s="269"/>
      <c r="P121" s="261" t="str">
        <f>IF((COUNTIF(E121, "*抗菌薬*"))=1,"〇","X")</f>
        <v>X</v>
      </c>
      <c r="Q121" s="261" t="str">
        <f>IF((COUNTIF(F121, "*抗菌薬*"))=1,"〇","X")</f>
        <v>X</v>
      </c>
    </row>
    <row r="122" spans="2:17" ht="14.25" thickBot="1" x14ac:dyDescent="0.2">
      <c r="B122" s="283"/>
      <c r="C122" s="273" t="s">
        <v>300</v>
      </c>
      <c r="D122" s="285" t="s">
        <v>187</v>
      </c>
      <c r="E122" s="275"/>
      <c r="F122" s="275"/>
      <c r="G122" s="276"/>
      <c r="J122" s="234" t="str">
        <f t="shared" si="2"/>
        <v>×</v>
      </c>
      <c r="K122" s="267" t="str">
        <f>C122</f>
        <v>６　抗悪性腫瘍薬</v>
      </c>
      <c r="L122" s="268"/>
      <c r="M122" s="268"/>
      <c r="N122" s="269"/>
      <c r="P122" s="261" t="str">
        <f>IF((COUNTIF(E122, "*抗悪性腫瘍薬*"))=1,"〇","X")</f>
        <v>X</v>
      </c>
      <c r="Q122" s="261" t="str">
        <f>IF((COUNTIF(F122, "*抗悪性腫瘍薬*"))=1,"〇","X")</f>
        <v>X</v>
      </c>
    </row>
    <row r="123" spans="2:17" x14ac:dyDescent="0.15">
      <c r="B123" s="262" t="s">
        <v>40</v>
      </c>
      <c r="C123" s="254" t="s">
        <v>301</v>
      </c>
      <c r="D123" s="282" t="s">
        <v>187</v>
      </c>
      <c r="E123" s="277"/>
      <c r="F123" s="277"/>
      <c r="G123" s="278"/>
      <c r="J123" s="234" t="str">
        <f t="shared" si="2"/>
        <v>×</v>
      </c>
      <c r="K123" s="267" t="str">
        <f t="shared" ref="K123:K128" si="3">C123</f>
        <v>１　専門職種の理解</v>
      </c>
      <c r="L123" s="268"/>
      <c r="M123" s="268"/>
      <c r="N123" s="269"/>
      <c r="P123" s="261" t="str">
        <f>IF((COUNTIF(E123, "*専門職種の理解*"))=1,"〇","X")</f>
        <v>X</v>
      </c>
      <c r="Q123" s="261" t="str">
        <f>IF((COUNTIF(F123, "*専門職種の理解*"))=1,"〇","X")</f>
        <v>X</v>
      </c>
    </row>
    <row r="124" spans="2:17" x14ac:dyDescent="0.15">
      <c r="B124" s="262"/>
      <c r="C124" s="263" t="s">
        <v>302</v>
      </c>
      <c r="D124" s="279" t="s">
        <v>187</v>
      </c>
      <c r="E124" s="265"/>
      <c r="F124" s="265"/>
      <c r="G124" s="266"/>
      <c r="J124" s="234" t="str">
        <f t="shared" si="2"/>
        <v>×</v>
      </c>
      <c r="K124" s="267" t="str">
        <f t="shared" si="3"/>
        <v>２　疾病と医療チーム</v>
      </c>
      <c r="L124" s="268"/>
      <c r="M124" s="268"/>
      <c r="N124" s="269"/>
      <c r="P124" s="261" t="str">
        <f>IF((COUNTIF(E124, "*疾病と医療チーム*"))=1,"〇","X")</f>
        <v>X</v>
      </c>
      <c r="Q124" s="261" t="str">
        <f>IF((COUNTIF(F124, "*疾病と医療チーム*"))=1,"〇","X")</f>
        <v>X</v>
      </c>
    </row>
    <row r="125" spans="2:17" x14ac:dyDescent="0.15">
      <c r="B125" s="262"/>
      <c r="C125" s="263" t="s">
        <v>303</v>
      </c>
      <c r="D125" s="279" t="s">
        <v>187</v>
      </c>
      <c r="E125" s="265"/>
      <c r="F125" s="265"/>
      <c r="G125" s="266"/>
      <c r="J125" s="234" t="str">
        <f t="shared" si="2"/>
        <v>×</v>
      </c>
      <c r="K125" s="267" t="str">
        <f t="shared" si="3"/>
        <v>３　医療チームによる患者対応</v>
      </c>
      <c r="L125" s="268"/>
      <c r="M125" s="268"/>
      <c r="N125" s="269"/>
      <c r="P125" s="261" t="str">
        <f>IF((COUNTIF(E125, "*医療チームによる患者対応*"))=1,"〇","X")</f>
        <v>X</v>
      </c>
      <c r="Q125" s="261" t="str">
        <f>IF((COUNTIF(F125, "*医療チームによる患者対応*"))=1,"〇","X")</f>
        <v>X</v>
      </c>
    </row>
    <row r="126" spans="2:17" ht="14.25" thickBot="1" x14ac:dyDescent="0.2">
      <c r="B126" s="283"/>
      <c r="C126" s="273" t="s">
        <v>304</v>
      </c>
      <c r="D126" s="285" t="s">
        <v>187</v>
      </c>
      <c r="E126" s="275"/>
      <c r="F126" s="275"/>
      <c r="G126" s="276"/>
      <c r="J126" s="234" t="str">
        <f t="shared" si="2"/>
        <v>×</v>
      </c>
      <c r="K126" s="267" t="str">
        <f t="shared" si="3"/>
        <v>４　患者の心理</v>
      </c>
      <c r="L126" s="268"/>
      <c r="M126" s="268"/>
      <c r="N126" s="269"/>
      <c r="P126" s="261" t="str">
        <f>IF((COUNTIF(E126, "*患者の心理*"))=1,"〇","X")</f>
        <v>X</v>
      </c>
      <c r="Q126" s="261" t="str">
        <f>IF((COUNTIF(F126, "*患者の心理*"))=1,"〇","X")</f>
        <v>X</v>
      </c>
    </row>
    <row r="127" spans="2:17" x14ac:dyDescent="0.15">
      <c r="B127" s="262" t="s">
        <v>41</v>
      </c>
      <c r="C127" s="254" t="s">
        <v>305</v>
      </c>
      <c r="D127" s="282" t="s">
        <v>187</v>
      </c>
      <c r="E127" s="277"/>
      <c r="F127" s="277"/>
      <c r="G127" s="278"/>
      <c r="J127" s="234" t="str">
        <f t="shared" si="2"/>
        <v>×</v>
      </c>
      <c r="K127" s="267" t="str">
        <f t="shared" si="3"/>
        <v>１　医事法規概説</v>
      </c>
      <c r="L127" s="268"/>
      <c r="M127" s="268"/>
      <c r="N127" s="269"/>
      <c r="P127" s="261" t="str">
        <f>IF((COUNTIF(E127, "*医事法規概説*"))=1,"〇","X")</f>
        <v>X</v>
      </c>
      <c r="Q127" s="261" t="str">
        <f>IF((COUNTIF(F127, "*医事法規概説*"))=1,"〇","X")</f>
        <v>X</v>
      </c>
    </row>
    <row r="128" spans="2:17" x14ac:dyDescent="0.15">
      <c r="B128" s="262"/>
      <c r="C128" s="263" t="s">
        <v>306</v>
      </c>
      <c r="D128" s="279" t="s">
        <v>187</v>
      </c>
      <c r="E128" s="265"/>
      <c r="F128" s="265"/>
      <c r="G128" s="266"/>
      <c r="J128" s="234" t="str">
        <f t="shared" si="2"/>
        <v>×</v>
      </c>
      <c r="K128" s="267" t="str">
        <f t="shared" si="3"/>
        <v>２　臨床工学技士法</v>
      </c>
      <c r="L128" s="268"/>
      <c r="M128" s="268"/>
      <c r="N128" s="269"/>
      <c r="P128" s="261" t="str">
        <f>IF((COUNTIF(E128, "*臨床工学技士法*"))=1,"〇","X")</f>
        <v>X</v>
      </c>
      <c r="Q128" s="261" t="str">
        <f>IF((COUNTIF(F128, "*臨床工学技士法*"))=1,"〇","X")</f>
        <v>X</v>
      </c>
    </row>
    <row r="129" spans="2:17" x14ac:dyDescent="0.15">
      <c r="B129" s="262"/>
      <c r="C129" s="263" t="s">
        <v>307</v>
      </c>
      <c r="D129" s="279"/>
      <c r="E129" s="265"/>
      <c r="F129" s="265"/>
      <c r="G129" s="266"/>
      <c r="J129" s="234" t="str">
        <f t="shared" si="2"/>
        <v/>
      </c>
    </row>
    <row r="130" spans="2:17" x14ac:dyDescent="0.15">
      <c r="B130" s="262"/>
      <c r="C130" s="263" t="s">
        <v>308</v>
      </c>
      <c r="D130" s="279"/>
      <c r="E130" s="265"/>
      <c r="F130" s="265"/>
      <c r="G130" s="266"/>
      <c r="J130" s="234" t="str">
        <f t="shared" si="2"/>
        <v/>
      </c>
    </row>
    <row r="131" spans="2:17" x14ac:dyDescent="0.15">
      <c r="B131" s="262"/>
      <c r="C131" s="281" t="s">
        <v>309</v>
      </c>
      <c r="D131" s="279"/>
      <c r="E131" s="265"/>
      <c r="F131" s="265"/>
      <c r="G131" s="266"/>
      <c r="J131" s="234" t="str">
        <f t="shared" si="2"/>
        <v/>
      </c>
    </row>
    <row r="132" spans="2:17" x14ac:dyDescent="0.15">
      <c r="B132" s="262"/>
      <c r="C132" s="263" t="s">
        <v>310</v>
      </c>
      <c r="D132" s="279" t="s">
        <v>187</v>
      </c>
      <c r="E132" s="265"/>
      <c r="F132" s="265"/>
      <c r="G132" s="266"/>
      <c r="J132" s="234" t="str">
        <f t="shared" si="2"/>
        <v>×</v>
      </c>
      <c r="K132" s="267" t="str">
        <f>C132</f>
        <v>３　関連法規</v>
      </c>
      <c r="L132" s="268"/>
      <c r="M132" s="268"/>
      <c r="N132" s="269"/>
      <c r="P132" s="261" t="str">
        <f>IF((COUNTIF(E132, "*関連法規*"))=1,"〇","X")</f>
        <v>X</v>
      </c>
      <c r="Q132" s="261" t="str">
        <f>IF((COUNTIF(F132, "*関連法規*"))=1,"〇","X")</f>
        <v>X</v>
      </c>
    </row>
    <row r="133" spans="2:17" ht="27" x14ac:dyDescent="0.15">
      <c r="B133" s="262"/>
      <c r="C133" s="263" t="s">
        <v>775</v>
      </c>
      <c r="D133" s="279"/>
      <c r="E133" s="265"/>
      <c r="F133" s="265"/>
      <c r="G133" s="266"/>
      <c r="J133" s="234" t="str">
        <f t="shared" si="2"/>
        <v/>
      </c>
    </row>
    <row r="134" spans="2:17" x14ac:dyDescent="0.15">
      <c r="B134" s="262"/>
      <c r="C134" s="263" t="s">
        <v>311</v>
      </c>
      <c r="D134" s="279"/>
      <c r="E134" s="265"/>
      <c r="F134" s="265"/>
      <c r="G134" s="266"/>
      <c r="J134" s="234" t="str">
        <f t="shared" si="2"/>
        <v/>
      </c>
    </row>
    <row r="135" spans="2:17" x14ac:dyDescent="0.15">
      <c r="B135" s="262"/>
      <c r="C135" s="263" t="s">
        <v>312</v>
      </c>
      <c r="D135" s="279"/>
      <c r="E135" s="265"/>
      <c r="F135" s="265"/>
      <c r="G135" s="266"/>
      <c r="J135" s="234" t="str">
        <f t="shared" ref="J135:J198" si="4">IF(AND(OR(D135="◎",D135="◎※１"),OR(E135="",F135="",G135="")),"×","")</f>
        <v/>
      </c>
    </row>
    <row r="136" spans="2:17" ht="14.25" thickBot="1" x14ac:dyDescent="0.2">
      <c r="B136" s="283"/>
      <c r="C136" s="273" t="s">
        <v>313</v>
      </c>
      <c r="D136" s="285" t="s">
        <v>187</v>
      </c>
      <c r="E136" s="275"/>
      <c r="F136" s="275"/>
      <c r="G136" s="276"/>
      <c r="J136" s="234" t="str">
        <f t="shared" si="4"/>
        <v>×</v>
      </c>
      <c r="K136" s="267" t="str">
        <f>C136</f>
        <v>４　医療過誤</v>
      </c>
      <c r="L136" s="268"/>
      <c r="M136" s="268"/>
      <c r="N136" s="269"/>
      <c r="P136" s="261" t="str">
        <f>IF((COUNTIF(E136, "*医療過誤*"))=1,"〇","X")</f>
        <v>X</v>
      </c>
      <c r="Q136" s="261" t="str">
        <f>IF((COUNTIF(F136, "*医療過誤*"))=1,"〇","X")</f>
        <v>X</v>
      </c>
    </row>
    <row r="137" spans="2:17" x14ac:dyDescent="0.15">
      <c r="B137" s="262" t="s">
        <v>43</v>
      </c>
      <c r="C137" s="254" t="s">
        <v>235</v>
      </c>
      <c r="D137" s="282" t="s">
        <v>187</v>
      </c>
      <c r="E137" s="277"/>
      <c r="F137" s="277"/>
      <c r="G137" s="278"/>
      <c r="J137" s="234" t="str">
        <f t="shared" si="4"/>
        <v>×</v>
      </c>
      <c r="K137" s="267" t="str">
        <f>C137</f>
        <v>１　総論</v>
      </c>
      <c r="L137" s="268"/>
      <c r="M137" s="268"/>
      <c r="N137" s="269"/>
      <c r="P137" s="261" t="str">
        <f>IF((COUNTIF(E137, "*総論*"))=1,"〇","X")</f>
        <v>X</v>
      </c>
      <c r="Q137" s="261" t="str">
        <f>IF((COUNTIF(F137, "*総論*"))=1,"〇","X")</f>
        <v>X</v>
      </c>
    </row>
    <row r="138" spans="2:17" x14ac:dyDescent="0.15">
      <c r="B138" s="262"/>
      <c r="C138" s="263" t="s">
        <v>314</v>
      </c>
      <c r="D138" s="279"/>
      <c r="E138" s="265"/>
      <c r="F138" s="265"/>
      <c r="G138" s="266"/>
      <c r="J138" s="234" t="str">
        <f t="shared" si="4"/>
        <v/>
      </c>
    </row>
    <row r="139" spans="2:17" ht="27" x14ac:dyDescent="0.15">
      <c r="B139" s="262"/>
      <c r="C139" s="263" t="s">
        <v>776</v>
      </c>
      <c r="D139" s="279"/>
      <c r="E139" s="265"/>
      <c r="F139" s="265"/>
      <c r="G139" s="266"/>
      <c r="J139" s="234" t="str">
        <f t="shared" si="4"/>
        <v/>
      </c>
    </row>
    <row r="140" spans="2:17" x14ac:dyDescent="0.15">
      <c r="B140" s="262"/>
      <c r="C140" s="263" t="s">
        <v>225</v>
      </c>
      <c r="D140" s="279" t="s">
        <v>187</v>
      </c>
      <c r="E140" s="265"/>
      <c r="F140" s="265"/>
      <c r="G140" s="266"/>
      <c r="J140" s="234" t="str">
        <f t="shared" si="4"/>
        <v>×</v>
      </c>
      <c r="K140" s="267" t="str">
        <f>C140</f>
        <v>２　各論</v>
      </c>
      <c r="L140" s="268"/>
      <c r="M140" s="268"/>
      <c r="N140" s="269"/>
      <c r="P140" s="261" t="str">
        <f>IF((COUNTIF(E140, "*各論*"))=1,"〇","X")</f>
        <v>X</v>
      </c>
      <c r="Q140" s="261" t="str">
        <f>IF((COUNTIF(F140, "*各論*"))=1,"〇","X")</f>
        <v>X</v>
      </c>
    </row>
    <row r="141" spans="2:17" x14ac:dyDescent="0.15">
      <c r="B141" s="262"/>
      <c r="C141" s="263" t="s">
        <v>315</v>
      </c>
      <c r="D141" s="279"/>
      <c r="E141" s="265"/>
      <c r="F141" s="265"/>
      <c r="G141" s="266"/>
      <c r="J141" s="234" t="str">
        <f t="shared" si="4"/>
        <v/>
      </c>
    </row>
    <row r="142" spans="2:17" x14ac:dyDescent="0.15">
      <c r="B142" s="262"/>
      <c r="C142" s="263" t="s">
        <v>316</v>
      </c>
      <c r="D142" s="279"/>
      <c r="E142" s="265"/>
      <c r="F142" s="265"/>
      <c r="G142" s="266"/>
      <c r="J142" s="234" t="str">
        <f t="shared" si="4"/>
        <v/>
      </c>
    </row>
    <row r="143" spans="2:17" x14ac:dyDescent="0.15">
      <c r="B143" s="262"/>
      <c r="C143" s="281" t="s">
        <v>317</v>
      </c>
      <c r="D143" s="279"/>
      <c r="E143" s="265"/>
      <c r="F143" s="265"/>
      <c r="G143" s="266"/>
      <c r="J143" s="234" t="str">
        <f t="shared" si="4"/>
        <v/>
      </c>
    </row>
    <row r="144" spans="2:17" x14ac:dyDescent="0.15">
      <c r="B144" s="262"/>
      <c r="C144" s="263" t="s">
        <v>318</v>
      </c>
      <c r="D144" s="279"/>
      <c r="E144" s="265"/>
      <c r="F144" s="265"/>
      <c r="G144" s="266"/>
      <c r="J144" s="234" t="str">
        <f t="shared" si="4"/>
        <v/>
      </c>
    </row>
    <row r="145" spans="2:17" x14ac:dyDescent="0.15">
      <c r="B145" s="262"/>
      <c r="C145" s="263" t="s">
        <v>319</v>
      </c>
      <c r="D145" s="279"/>
      <c r="E145" s="265"/>
      <c r="F145" s="265"/>
      <c r="G145" s="266"/>
      <c r="J145" s="234" t="str">
        <f t="shared" si="4"/>
        <v/>
      </c>
    </row>
    <row r="146" spans="2:17" x14ac:dyDescent="0.15">
      <c r="B146" s="262"/>
      <c r="C146" s="263" t="s">
        <v>320</v>
      </c>
      <c r="D146" s="279"/>
      <c r="E146" s="265"/>
      <c r="F146" s="265"/>
      <c r="G146" s="266"/>
      <c r="J146" s="234" t="str">
        <f t="shared" si="4"/>
        <v/>
      </c>
    </row>
    <row r="147" spans="2:17" x14ac:dyDescent="0.15">
      <c r="B147" s="262"/>
      <c r="C147" s="263" t="s">
        <v>321</v>
      </c>
      <c r="D147" s="279"/>
      <c r="E147" s="265"/>
      <c r="F147" s="265"/>
      <c r="G147" s="266"/>
      <c r="J147" s="234" t="str">
        <f t="shared" si="4"/>
        <v/>
      </c>
    </row>
    <row r="148" spans="2:17" ht="27" x14ac:dyDescent="0.15">
      <c r="B148" s="262"/>
      <c r="C148" s="263" t="s">
        <v>778</v>
      </c>
      <c r="D148" s="279"/>
      <c r="E148" s="265"/>
      <c r="F148" s="265"/>
      <c r="G148" s="266"/>
      <c r="J148" s="234" t="str">
        <f t="shared" si="4"/>
        <v/>
      </c>
    </row>
    <row r="149" spans="2:17" ht="14.25" thickBot="1" x14ac:dyDescent="0.2">
      <c r="B149" s="283"/>
      <c r="C149" s="273" t="s">
        <v>322</v>
      </c>
      <c r="D149" s="285" t="s">
        <v>187</v>
      </c>
      <c r="E149" s="275"/>
      <c r="F149" s="275"/>
      <c r="G149" s="276"/>
      <c r="J149" s="234" t="str">
        <f t="shared" si="4"/>
        <v>×</v>
      </c>
      <c r="K149" s="267" t="str">
        <f>C149</f>
        <v>３　実習</v>
      </c>
      <c r="L149" s="268"/>
      <c r="M149" s="268"/>
      <c r="N149" s="269"/>
      <c r="P149" s="261" t="str">
        <f>IF((COUNTIF(E149, "*実習*"))=1,"〇","X")</f>
        <v>X</v>
      </c>
      <c r="Q149" s="261" t="str">
        <f>IF((COUNTIF(F149, "*実習*"))=1,"〇","X")</f>
        <v>X</v>
      </c>
    </row>
    <row r="150" spans="2:17" x14ac:dyDescent="0.15">
      <c r="B150" s="262" t="s">
        <v>44</v>
      </c>
      <c r="C150" s="254" t="s">
        <v>235</v>
      </c>
      <c r="D150" s="282" t="s">
        <v>187</v>
      </c>
      <c r="E150" s="277"/>
      <c r="F150" s="277"/>
      <c r="G150" s="278"/>
      <c r="J150" s="234" t="str">
        <f t="shared" si="4"/>
        <v>×</v>
      </c>
      <c r="K150" s="267" t="str">
        <f>C150</f>
        <v>１　総論</v>
      </c>
      <c r="L150" s="268"/>
      <c r="M150" s="268"/>
      <c r="N150" s="269"/>
      <c r="P150" s="261" t="str">
        <f>IF((COUNTIF(E150, "*総論*"))=1,"〇","X")</f>
        <v>X</v>
      </c>
      <c r="Q150" s="261" t="str">
        <f>IF((COUNTIF(F150, "*総論*"))=1,"〇","X")</f>
        <v>X</v>
      </c>
    </row>
    <row r="151" spans="2:17" x14ac:dyDescent="0.15">
      <c r="B151" s="262"/>
      <c r="C151" s="263" t="s">
        <v>323</v>
      </c>
      <c r="D151" s="279"/>
      <c r="E151" s="265"/>
      <c r="F151" s="265"/>
      <c r="G151" s="266"/>
      <c r="J151" s="234" t="str">
        <f t="shared" si="4"/>
        <v/>
      </c>
    </row>
    <row r="152" spans="2:17" x14ac:dyDescent="0.15">
      <c r="B152" s="262"/>
      <c r="C152" s="263" t="s">
        <v>324</v>
      </c>
      <c r="D152" s="279"/>
      <c r="E152" s="265"/>
      <c r="F152" s="265"/>
      <c r="G152" s="266"/>
      <c r="J152" s="234" t="str">
        <f t="shared" si="4"/>
        <v/>
      </c>
    </row>
    <row r="153" spans="2:17" x14ac:dyDescent="0.15">
      <c r="B153" s="262"/>
      <c r="C153" s="263" t="s">
        <v>225</v>
      </c>
      <c r="D153" s="279" t="s">
        <v>187</v>
      </c>
      <c r="E153" s="265"/>
      <c r="F153" s="265"/>
      <c r="G153" s="266"/>
      <c r="J153" s="234" t="str">
        <f t="shared" si="4"/>
        <v>×</v>
      </c>
      <c r="K153" s="267" t="str">
        <f>C153</f>
        <v>２　各論</v>
      </c>
      <c r="L153" s="268"/>
      <c r="M153" s="268"/>
      <c r="N153" s="269"/>
      <c r="P153" s="261" t="str">
        <f>IF((COUNTIF(E153, "*各論*"))=1,"〇","X")</f>
        <v>X</v>
      </c>
      <c r="Q153" s="261" t="str">
        <f>IF((COUNTIF(F153, "*各論*"))=1,"〇","X")</f>
        <v>X</v>
      </c>
    </row>
    <row r="154" spans="2:17" x14ac:dyDescent="0.15">
      <c r="B154" s="262"/>
      <c r="C154" s="263" t="s">
        <v>325</v>
      </c>
      <c r="D154" s="279"/>
      <c r="E154" s="265"/>
      <c r="F154" s="265"/>
      <c r="G154" s="266"/>
      <c r="J154" s="234" t="str">
        <f t="shared" si="4"/>
        <v/>
      </c>
    </row>
    <row r="155" spans="2:17" x14ac:dyDescent="0.15">
      <c r="B155" s="262"/>
      <c r="C155" s="263" t="s">
        <v>326</v>
      </c>
      <c r="D155" s="279"/>
      <c r="E155" s="265"/>
      <c r="F155" s="265"/>
      <c r="G155" s="266"/>
      <c r="J155" s="234" t="str">
        <f t="shared" si="4"/>
        <v/>
      </c>
    </row>
    <row r="156" spans="2:17" x14ac:dyDescent="0.15">
      <c r="B156" s="262"/>
      <c r="C156" s="281" t="s">
        <v>327</v>
      </c>
      <c r="D156" s="279"/>
      <c r="E156" s="265"/>
      <c r="F156" s="265"/>
      <c r="G156" s="266"/>
      <c r="J156" s="234" t="str">
        <f t="shared" si="4"/>
        <v/>
      </c>
    </row>
    <row r="157" spans="2:17" x14ac:dyDescent="0.15">
      <c r="B157" s="262"/>
      <c r="C157" s="263" t="s">
        <v>328</v>
      </c>
      <c r="D157" s="279"/>
      <c r="E157" s="265"/>
      <c r="F157" s="265"/>
      <c r="G157" s="266"/>
      <c r="J157" s="234" t="str">
        <f t="shared" si="4"/>
        <v/>
      </c>
    </row>
    <row r="158" spans="2:17" ht="27" x14ac:dyDescent="0.15">
      <c r="B158" s="262"/>
      <c r="C158" s="263" t="s">
        <v>779</v>
      </c>
      <c r="D158" s="279"/>
      <c r="E158" s="265"/>
      <c r="F158" s="265"/>
      <c r="G158" s="266"/>
      <c r="J158" s="234" t="str">
        <f t="shared" si="4"/>
        <v/>
      </c>
    </row>
    <row r="159" spans="2:17" ht="14.25" thickBot="1" x14ac:dyDescent="0.2">
      <c r="B159" s="283"/>
      <c r="C159" s="273" t="s">
        <v>322</v>
      </c>
      <c r="D159" s="285" t="s">
        <v>187</v>
      </c>
      <c r="E159" s="275"/>
      <c r="F159" s="275"/>
      <c r="G159" s="276"/>
      <c r="J159" s="234" t="str">
        <f t="shared" si="4"/>
        <v>×</v>
      </c>
      <c r="K159" s="267" t="str">
        <f>C159</f>
        <v>３　実習</v>
      </c>
      <c r="L159" s="268"/>
      <c r="M159" s="268"/>
      <c r="N159" s="269"/>
      <c r="P159" s="261" t="str">
        <f>IF((COUNTIF(E159, "*実習*"))=1,"〇","X")</f>
        <v>X</v>
      </c>
      <c r="Q159" s="261" t="str">
        <f>IF((COUNTIF(F159, "*実習*"))=1,"〇","X")</f>
        <v>X</v>
      </c>
    </row>
    <row r="160" spans="2:17" x14ac:dyDescent="0.15">
      <c r="B160" s="262" t="s">
        <v>47</v>
      </c>
      <c r="C160" s="254" t="s">
        <v>329</v>
      </c>
      <c r="D160" s="279" t="s">
        <v>187</v>
      </c>
      <c r="E160" s="277"/>
      <c r="F160" s="277"/>
      <c r="G160" s="278"/>
      <c r="J160" s="234" t="str">
        <f t="shared" si="4"/>
        <v>×</v>
      </c>
      <c r="K160" s="267" t="str">
        <f>C160</f>
        <v>Ⅰ　医用工学概論</v>
      </c>
      <c r="L160" s="268"/>
      <c r="M160" s="268"/>
      <c r="N160" s="269"/>
      <c r="P160" s="261" t="str">
        <f>IF((COUNTIF(E160, "*医用工学概論*"))=1,"〇","X")</f>
        <v>X</v>
      </c>
      <c r="Q160" s="261" t="str">
        <f>IF((COUNTIF(F160, "*医用工学概論*"))=1,"〇","X")</f>
        <v>X</v>
      </c>
    </row>
    <row r="161" spans="2:17" x14ac:dyDescent="0.15">
      <c r="B161" s="262"/>
      <c r="C161" s="263" t="s">
        <v>235</v>
      </c>
      <c r="D161" s="279"/>
      <c r="E161" s="265"/>
      <c r="F161" s="265"/>
      <c r="G161" s="266"/>
      <c r="J161" s="234" t="str">
        <f t="shared" si="4"/>
        <v/>
      </c>
    </row>
    <row r="162" spans="2:17" x14ac:dyDescent="0.15">
      <c r="B162" s="262"/>
      <c r="C162" s="263" t="s">
        <v>330</v>
      </c>
      <c r="D162" s="279"/>
      <c r="E162" s="265"/>
      <c r="F162" s="265"/>
      <c r="G162" s="266"/>
      <c r="J162" s="234" t="str">
        <f t="shared" si="4"/>
        <v/>
      </c>
    </row>
    <row r="163" spans="2:17" ht="27" x14ac:dyDescent="0.15">
      <c r="B163" s="262"/>
      <c r="C163" s="263" t="s">
        <v>780</v>
      </c>
      <c r="D163" s="279"/>
      <c r="E163" s="265"/>
      <c r="F163" s="265"/>
      <c r="G163" s="266"/>
      <c r="J163" s="234" t="str">
        <f t="shared" si="4"/>
        <v/>
      </c>
    </row>
    <row r="164" spans="2:17" x14ac:dyDescent="0.15">
      <c r="B164" s="262"/>
      <c r="C164" s="263" t="s">
        <v>225</v>
      </c>
      <c r="D164" s="279"/>
      <c r="E164" s="265"/>
      <c r="F164" s="265"/>
      <c r="G164" s="266"/>
      <c r="J164" s="234" t="str">
        <f t="shared" si="4"/>
        <v/>
      </c>
    </row>
    <row r="165" spans="2:17" ht="27" x14ac:dyDescent="0.15">
      <c r="B165" s="262"/>
      <c r="C165" s="263" t="s">
        <v>781</v>
      </c>
      <c r="D165" s="279"/>
      <c r="E165" s="265"/>
      <c r="F165" s="265"/>
      <c r="G165" s="266"/>
      <c r="J165" s="234" t="str">
        <f t="shared" si="4"/>
        <v/>
      </c>
    </row>
    <row r="166" spans="2:17" x14ac:dyDescent="0.15">
      <c r="B166" s="262"/>
      <c r="C166" s="263" t="s">
        <v>331</v>
      </c>
      <c r="D166" s="279"/>
      <c r="E166" s="265"/>
      <c r="F166" s="265"/>
      <c r="G166" s="266"/>
      <c r="J166" s="234" t="str">
        <f t="shared" si="4"/>
        <v/>
      </c>
    </row>
    <row r="167" spans="2:17" x14ac:dyDescent="0.15">
      <c r="B167" s="262"/>
      <c r="C167" s="263" t="s">
        <v>332</v>
      </c>
      <c r="D167" s="279"/>
      <c r="E167" s="265"/>
      <c r="F167" s="265"/>
      <c r="G167" s="266"/>
      <c r="J167" s="234" t="str">
        <f t="shared" si="4"/>
        <v/>
      </c>
    </row>
    <row r="168" spans="2:17" x14ac:dyDescent="0.15">
      <c r="B168" s="262"/>
      <c r="C168" s="263" t="s">
        <v>333</v>
      </c>
      <c r="D168" s="279"/>
      <c r="E168" s="265"/>
      <c r="F168" s="265"/>
      <c r="G168" s="266"/>
      <c r="J168" s="234" t="str">
        <f t="shared" si="4"/>
        <v/>
      </c>
    </row>
    <row r="169" spans="2:17" x14ac:dyDescent="0.15">
      <c r="B169" s="262"/>
      <c r="C169" s="263" t="s">
        <v>334</v>
      </c>
      <c r="D169" s="279"/>
      <c r="E169" s="265"/>
      <c r="F169" s="265"/>
      <c r="G169" s="266"/>
      <c r="J169" s="234" t="str">
        <f t="shared" si="4"/>
        <v/>
      </c>
    </row>
    <row r="170" spans="2:17" x14ac:dyDescent="0.15">
      <c r="B170" s="262"/>
      <c r="C170" s="263" t="s">
        <v>335</v>
      </c>
      <c r="D170" s="279"/>
      <c r="E170" s="265"/>
      <c r="F170" s="265"/>
      <c r="G170" s="266"/>
      <c r="J170" s="234" t="str">
        <f t="shared" si="4"/>
        <v/>
      </c>
    </row>
    <row r="171" spans="2:17" x14ac:dyDescent="0.15">
      <c r="B171" s="262"/>
      <c r="C171" s="263" t="s">
        <v>336</v>
      </c>
      <c r="D171" s="279"/>
      <c r="E171" s="265"/>
      <c r="F171" s="265"/>
      <c r="G171" s="266"/>
      <c r="J171" s="234" t="str">
        <f t="shared" si="4"/>
        <v/>
      </c>
    </row>
    <row r="172" spans="2:17" x14ac:dyDescent="0.15">
      <c r="B172" s="262"/>
      <c r="C172" s="263" t="s">
        <v>337</v>
      </c>
      <c r="D172" s="279"/>
      <c r="E172" s="265"/>
      <c r="F172" s="265"/>
      <c r="G172" s="266"/>
      <c r="J172" s="234" t="str">
        <f t="shared" si="4"/>
        <v/>
      </c>
    </row>
    <row r="173" spans="2:17" x14ac:dyDescent="0.15">
      <c r="B173" s="262"/>
      <c r="C173" s="263" t="s">
        <v>338</v>
      </c>
      <c r="D173" s="279"/>
      <c r="E173" s="265"/>
      <c r="F173" s="265"/>
      <c r="G173" s="266"/>
      <c r="J173" s="234" t="str">
        <f t="shared" si="4"/>
        <v/>
      </c>
    </row>
    <row r="174" spans="2:17" x14ac:dyDescent="0.15">
      <c r="B174" s="262"/>
      <c r="C174" s="263" t="s">
        <v>339</v>
      </c>
      <c r="D174" s="279" t="s">
        <v>187</v>
      </c>
      <c r="E174" s="265"/>
      <c r="F174" s="265"/>
      <c r="G174" s="266"/>
      <c r="J174" s="234" t="str">
        <f t="shared" si="4"/>
        <v>×</v>
      </c>
      <c r="K174" s="267" t="str">
        <f>C174</f>
        <v>Ⅱ　システム工学</v>
      </c>
      <c r="L174" s="268"/>
      <c r="M174" s="268"/>
      <c r="N174" s="269"/>
      <c r="P174" s="261" t="str">
        <f>IF((COUNTIF(E174, "*システム工学*"))=1,"〇","X")</f>
        <v>X</v>
      </c>
      <c r="Q174" s="261" t="str">
        <f>IF((COUNTIF(F174, "*システム工学*"))=1,"〇","X")</f>
        <v>X</v>
      </c>
    </row>
    <row r="175" spans="2:17" x14ac:dyDescent="0.15">
      <c r="B175" s="262"/>
      <c r="C175" s="263" t="s">
        <v>235</v>
      </c>
      <c r="D175" s="279"/>
      <c r="E175" s="265"/>
      <c r="F175" s="265"/>
      <c r="G175" s="266"/>
      <c r="J175" s="234" t="str">
        <f t="shared" si="4"/>
        <v/>
      </c>
    </row>
    <row r="176" spans="2:17" x14ac:dyDescent="0.15">
      <c r="B176" s="262"/>
      <c r="C176" s="263" t="s">
        <v>340</v>
      </c>
      <c r="D176" s="279"/>
      <c r="E176" s="265"/>
      <c r="F176" s="265"/>
      <c r="G176" s="266"/>
      <c r="J176" s="234" t="str">
        <f t="shared" si="4"/>
        <v/>
      </c>
    </row>
    <row r="177" spans="2:17" x14ac:dyDescent="0.15">
      <c r="B177" s="262"/>
      <c r="C177" s="263" t="s">
        <v>341</v>
      </c>
      <c r="D177" s="279"/>
      <c r="E177" s="265"/>
      <c r="F177" s="265"/>
      <c r="G177" s="266"/>
      <c r="J177" s="234" t="str">
        <f t="shared" si="4"/>
        <v/>
      </c>
    </row>
    <row r="178" spans="2:17" x14ac:dyDescent="0.15">
      <c r="B178" s="262"/>
      <c r="C178" s="263" t="s">
        <v>225</v>
      </c>
      <c r="D178" s="279"/>
      <c r="E178" s="265"/>
      <c r="F178" s="265"/>
      <c r="G178" s="266"/>
      <c r="J178" s="234" t="str">
        <f t="shared" si="4"/>
        <v/>
      </c>
    </row>
    <row r="179" spans="2:17" x14ac:dyDescent="0.15">
      <c r="B179" s="262"/>
      <c r="C179" s="263" t="s">
        <v>342</v>
      </c>
      <c r="D179" s="279"/>
      <c r="E179" s="265"/>
      <c r="F179" s="265"/>
      <c r="G179" s="266"/>
      <c r="J179" s="234" t="str">
        <f t="shared" si="4"/>
        <v/>
      </c>
    </row>
    <row r="180" spans="2:17" x14ac:dyDescent="0.15">
      <c r="B180" s="262"/>
      <c r="C180" s="263" t="s">
        <v>343</v>
      </c>
      <c r="D180" s="279"/>
      <c r="E180" s="265"/>
      <c r="F180" s="265"/>
      <c r="G180" s="266"/>
      <c r="J180" s="234" t="str">
        <f t="shared" si="4"/>
        <v/>
      </c>
    </row>
    <row r="181" spans="2:17" x14ac:dyDescent="0.15">
      <c r="B181" s="262"/>
      <c r="C181" s="263" t="s">
        <v>344</v>
      </c>
      <c r="D181" s="279"/>
      <c r="E181" s="265"/>
      <c r="F181" s="265"/>
      <c r="G181" s="266"/>
      <c r="J181" s="234" t="str">
        <f t="shared" si="4"/>
        <v/>
      </c>
    </row>
    <row r="182" spans="2:17" x14ac:dyDescent="0.15">
      <c r="B182" s="262"/>
      <c r="C182" s="263" t="s">
        <v>345</v>
      </c>
      <c r="D182" s="279"/>
      <c r="E182" s="265"/>
      <c r="F182" s="265"/>
      <c r="G182" s="266"/>
      <c r="J182" s="234" t="str">
        <f t="shared" si="4"/>
        <v/>
      </c>
    </row>
    <row r="183" spans="2:17" x14ac:dyDescent="0.15">
      <c r="B183" s="262"/>
      <c r="C183" s="263" t="s">
        <v>346</v>
      </c>
      <c r="D183" s="279"/>
      <c r="E183" s="265"/>
      <c r="F183" s="265"/>
      <c r="G183" s="266"/>
      <c r="J183" s="234" t="str">
        <f t="shared" si="4"/>
        <v/>
      </c>
    </row>
    <row r="184" spans="2:17" x14ac:dyDescent="0.15">
      <c r="B184" s="262"/>
      <c r="C184" s="263" t="s">
        <v>338</v>
      </c>
      <c r="D184" s="279"/>
      <c r="E184" s="265"/>
      <c r="F184" s="265"/>
      <c r="G184" s="266"/>
      <c r="J184" s="234" t="str">
        <f t="shared" si="4"/>
        <v/>
      </c>
    </row>
    <row r="185" spans="2:17" x14ac:dyDescent="0.15">
      <c r="B185" s="262"/>
      <c r="C185" s="263" t="s">
        <v>347</v>
      </c>
      <c r="D185" s="279" t="s">
        <v>187</v>
      </c>
      <c r="E185" s="265"/>
      <c r="F185" s="265"/>
      <c r="G185" s="266"/>
      <c r="J185" s="234" t="str">
        <f t="shared" si="4"/>
        <v>×</v>
      </c>
      <c r="K185" s="267" t="str">
        <f>C185</f>
        <v>Ⅲ　情報処理工学</v>
      </c>
      <c r="L185" s="268"/>
      <c r="M185" s="268"/>
      <c r="N185" s="269"/>
      <c r="P185" s="261" t="str">
        <f>IF((COUNTIF(E185, "*情報処理工学*"))=1,"〇","X")</f>
        <v>X</v>
      </c>
      <c r="Q185" s="261" t="str">
        <f>IF((COUNTIF(F185, "*情報処理工学*"))=1,"〇","X")</f>
        <v>X</v>
      </c>
    </row>
    <row r="186" spans="2:17" x14ac:dyDescent="0.15">
      <c r="B186" s="262"/>
      <c r="C186" s="263" t="s">
        <v>235</v>
      </c>
      <c r="D186" s="279"/>
      <c r="E186" s="265"/>
      <c r="F186" s="265"/>
      <c r="G186" s="266"/>
      <c r="J186" s="234" t="str">
        <f t="shared" si="4"/>
        <v/>
      </c>
    </row>
    <row r="187" spans="2:17" x14ac:dyDescent="0.15">
      <c r="B187" s="262"/>
      <c r="C187" s="263" t="s">
        <v>348</v>
      </c>
      <c r="D187" s="279"/>
      <c r="E187" s="265"/>
      <c r="F187" s="265"/>
      <c r="G187" s="266"/>
      <c r="J187" s="234" t="str">
        <f t="shared" si="4"/>
        <v/>
      </c>
    </row>
    <row r="188" spans="2:17" x14ac:dyDescent="0.15">
      <c r="B188" s="262"/>
      <c r="C188" s="263" t="s">
        <v>349</v>
      </c>
      <c r="D188" s="279"/>
      <c r="E188" s="265"/>
      <c r="F188" s="265"/>
      <c r="G188" s="266"/>
      <c r="J188" s="234" t="str">
        <f t="shared" si="4"/>
        <v/>
      </c>
    </row>
    <row r="189" spans="2:17" x14ac:dyDescent="0.15">
      <c r="B189" s="262"/>
      <c r="C189" s="263" t="s">
        <v>225</v>
      </c>
      <c r="D189" s="279"/>
      <c r="E189" s="265"/>
      <c r="F189" s="265"/>
      <c r="G189" s="266"/>
      <c r="J189" s="234" t="str">
        <f t="shared" si="4"/>
        <v/>
      </c>
    </row>
    <row r="190" spans="2:17" x14ac:dyDescent="0.15">
      <c r="B190" s="262"/>
      <c r="C190" s="263" t="s">
        <v>350</v>
      </c>
      <c r="D190" s="279"/>
      <c r="E190" s="265"/>
      <c r="F190" s="265"/>
      <c r="G190" s="266"/>
      <c r="J190" s="234" t="str">
        <f t="shared" si="4"/>
        <v/>
      </c>
    </row>
    <row r="191" spans="2:17" x14ac:dyDescent="0.15">
      <c r="B191" s="262"/>
      <c r="C191" s="263" t="s">
        <v>351</v>
      </c>
      <c r="D191" s="279"/>
      <c r="E191" s="265"/>
      <c r="F191" s="265"/>
      <c r="G191" s="266"/>
      <c r="J191" s="234" t="str">
        <f t="shared" si="4"/>
        <v/>
      </c>
    </row>
    <row r="192" spans="2:17" x14ac:dyDescent="0.15">
      <c r="B192" s="262"/>
      <c r="C192" s="263" t="s">
        <v>352</v>
      </c>
      <c r="D192" s="279"/>
      <c r="E192" s="265"/>
      <c r="F192" s="265"/>
      <c r="G192" s="266"/>
      <c r="J192" s="234" t="str">
        <f t="shared" si="4"/>
        <v/>
      </c>
    </row>
    <row r="193" spans="2:17" x14ac:dyDescent="0.15">
      <c r="B193" s="262"/>
      <c r="C193" s="263" t="s">
        <v>353</v>
      </c>
      <c r="D193" s="279"/>
      <c r="E193" s="265"/>
      <c r="F193" s="265"/>
      <c r="G193" s="266"/>
      <c r="J193" s="234" t="str">
        <f t="shared" si="4"/>
        <v/>
      </c>
    </row>
    <row r="194" spans="2:17" x14ac:dyDescent="0.15">
      <c r="B194" s="262"/>
      <c r="C194" s="263" t="s">
        <v>354</v>
      </c>
      <c r="D194" s="279"/>
      <c r="E194" s="265"/>
      <c r="F194" s="265"/>
      <c r="G194" s="266"/>
      <c r="J194" s="234" t="str">
        <f t="shared" si="4"/>
        <v/>
      </c>
    </row>
    <row r="195" spans="2:17" x14ac:dyDescent="0.15">
      <c r="B195" s="262"/>
      <c r="C195" s="263" t="s">
        <v>355</v>
      </c>
      <c r="D195" s="279"/>
      <c r="E195" s="265"/>
      <c r="F195" s="265"/>
      <c r="G195" s="266"/>
      <c r="J195" s="234" t="str">
        <f t="shared" si="4"/>
        <v/>
      </c>
    </row>
    <row r="196" spans="2:17" x14ac:dyDescent="0.15">
      <c r="B196" s="262"/>
      <c r="C196" s="263" t="s">
        <v>356</v>
      </c>
      <c r="D196" s="279"/>
      <c r="E196" s="265"/>
      <c r="F196" s="265"/>
      <c r="G196" s="266"/>
      <c r="J196" s="234" t="str">
        <f t="shared" si="4"/>
        <v/>
      </c>
    </row>
    <row r="197" spans="2:17" x14ac:dyDescent="0.15">
      <c r="B197" s="262"/>
      <c r="C197" s="263" t="s">
        <v>338</v>
      </c>
      <c r="D197" s="279"/>
      <c r="E197" s="265"/>
      <c r="F197" s="265"/>
      <c r="G197" s="266"/>
      <c r="J197" s="234" t="str">
        <f t="shared" si="4"/>
        <v/>
      </c>
    </row>
    <row r="198" spans="2:17" x14ac:dyDescent="0.15">
      <c r="B198" s="262"/>
      <c r="C198" s="263" t="s">
        <v>357</v>
      </c>
      <c r="D198" s="279" t="s">
        <v>358</v>
      </c>
      <c r="E198" s="265"/>
      <c r="F198" s="265"/>
      <c r="G198" s="266"/>
      <c r="J198" s="234" t="str">
        <f t="shared" si="4"/>
        <v>×</v>
      </c>
      <c r="K198" s="267" t="str">
        <f>C198</f>
        <v>Ⅳ　システム・情報処理実習</v>
      </c>
      <c r="L198" s="268"/>
      <c r="M198" s="268"/>
      <c r="N198" s="269"/>
      <c r="P198" s="261" t="str">
        <f>IF((COUNTIF(E198, "*システム・情報処理実習*"))=1,"〇","X")</f>
        <v>X</v>
      </c>
      <c r="Q198" s="261" t="str">
        <f>IF((COUNTIF(F198, "*システム・情報処理実習*"))=1,"〇","X")</f>
        <v>X</v>
      </c>
    </row>
    <row r="199" spans="2:17" x14ac:dyDescent="0.15">
      <c r="B199" s="262"/>
      <c r="C199" s="263" t="s">
        <v>359</v>
      </c>
      <c r="D199" s="279"/>
      <c r="E199" s="265"/>
      <c r="F199" s="265"/>
      <c r="G199" s="266"/>
      <c r="J199" s="234" t="str">
        <f t="shared" ref="J199:J260" si="5">IF(AND(OR(D199="◎",D199="◎※１"),OR(E199="",F199="",G199="")),"×","")</f>
        <v/>
      </c>
    </row>
    <row r="200" spans="2:17" x14ac:dyDescent="0.15">
      <c r="B200" s="262"/>
      <c r="C200" s="263" t="s">
        <v>360</v>
      </c>
      <c r="D200" s="279"/>
      <c r="E200" s="265"/>
      <c r="F200" s="265"/>
      <c r="G200" s="266"/>
      <c r="J200" s="234" t="str">
        <f t="shared" si="5"/>
        <v/>
      </c>
    </row>
    <row r="201" spans="2:17" ht="27" x14ac:dyDescent="0.15">
      <c r="B201" s="262"/>
      <c r="C201" s="263" t="s">
        <v>782</v>
      </c>
      <c r="D201" s="279"/>
      <c r="E201" s="265"/>
      <c r="F201" s="265"/>
      <c r="G201" s="266"/>
      <c r="J201" s="234" t="str">
        <f t="shared" si="5"/>
        <v/>
      </c>
    </row>
    <row r="202" spans="2:17" x14ac:dyDescent="0.15">
      <c r="B202" s="262"/>
      <c r="C202" s="263" t="s">
        <v>361</v>
      </c>
      <c r="D202" s="279"/>
      <c r="E202" s="265"/>
      <c r="F202" s="265"/>
      <c r="G202" s="266"/>
      <c r="J202" s="234" t="str">
        <f t="shared" si="5"/>
        <v/>
      </c>
    </row>
    <row r="203" spans="2:17" ht="14.25" thickBot="1" x14ac:dyDescent="0.2">
      <c r="B203" s="283"/>
      <c r="C203" s="273" t="s">
        <v>362</v>
      </c>
      <c r="D203" s="285"/>
      <c r="E203" s="275"/>
      <c r="F203" s="275"/>
      <c r="G203" s="276"/>
      <c r="J203" s="234" t="str">
        <f t="shared" si="5"/>
        <v/>
      </c>
    </row>
    <row r="204" spans="2:17" x14ac:dyDescent="0.15">
      <c r="B204" s="262" t="s">
        <v>42</v>
      </c>
      <c r="C204" s="263" t="s">
        <v>235</v>
      </c>
      <c r="D204" s="279" t="s">
        <v>187</v>
      </c>
      <c r="E204" s="277"/>
      <c r="F204" s="277"/>
      <c r="G204" s="278"/>
      <c r="J204" s="234" t="str">
        <f t="shared" si="5"/>
        <v>×</v>
      </c>
      <c r="K204" s="267" t="str">
        <f>C204</f>
        <v>１　総論</v>
      </c>
      <c r="L204" s="268"/>
      <c r="M204" s="268"/>
      <c r="N204" s="269"/>
      <c r="P204" s="261" t="str">
        <f>IF((COUNTIF(E204, "*総論*"))=1,"〇","X")</f>
        <v>X</v>
      </c>
      <c r="Q204" s="261" t="str">
        <f>IF((COUNTIF(F204, "*総論*"))=1,"〇","X")</f>
        <v>X</v>
      </c>
    </row>
    <row r="205" spans="2:17" x14ac:dyDescent="0.15">
      <c r="B205" s="262"/>
      <c r="C205" s="263" t="s">
        <v>363</v>
      </c>
      <c r="D205" s="279"/>
      <c r="E205" s="265"/>
      <c r="F205" s="265"/>
      <c r="G205" s="266"/>
      <c r="J205" s="234" t="str">
        <f t="shared" si="5"/>
        <v/>
      </c>
    </row>
    <row r="206" spans="2:17" x14ac:dyDescent="0.15">
      <c r="B206" s="262"/>
      <c r="C206" s="263" t="s">
        <v>364</v>
      </c>
      <c r="D206" s="279"/>
      <c r="E206" s="265"/>
      <c r="F206" s="265"/>
      <c r="G206" s="266"/>
      <c r="J206" s="234" t="str">
        <f t="shared" si="5"/>
        <v/>
      </c>
    </row>
    <row r="207" spans="2:17" x14ac:dyDescent="0.15">
      <c r="B207" s="262"/>
      <c r="C207" s="263" t="s">
        <v>225</v>
      </c>
      <c r="D207" s="279" t="s">
        <v>358</v>
      </c>
      <c r="E207" s="265"/>
      <c r="F207" s="265"/>
      <c r="G207" s="266"/>
      <c r="J207" s="234" t="str">
        <f t="shared" si="5"/>
        <v>×</v>
      </c>
      <c r="K207" s="267" t="str">
        <f>C207</f>
        <v>２　各論</v>
      </c>
      <c r="L207" s="268"/>
      <c r="M207" s="268"/>
      <c r="N207" s="269"/>
      <c r="P207" s="261" t="str">
        <f>IF((COUNTIF(E207, "*各論*"))=1,"〇","X")</f>
        <v>X</v>
      </c>
      <c r="Q207" s="261" t="str">
        <f>IF((COUNTIF(F207, "*各論*"))=1,"〇","X")</f>
        <v>X</v>
      </c>
    </row>
    <row r="208" spans="2:17" x14ac:dyDescent="0.15">
      <c r="B208" s="262"/>
      <c r="C208" s="263" t="s">
        <v>365</v>
      </c>
      <c r="D208" s="279"/>
      <c r="E208" s="265"/>
      <c r="F208" s="265"/>
      <c r="G208" s="266"/>
      <c r="J208" s="234" t="str">
        <f t="shared" si="5"/>
        <v/>
      </c>
    </row>
    <row r="209" spans="2:17" x14ac:dyDescent="0.15">
      <c r="B209" s="262"/>
      <c r="C209" s="263" t="s">
        <v>366</v>
      </c>
      <c r="D209" s="279"/>
      <c r="E209" s="265"/>
      <c r="F209" s="265"/>
      <c r="G209" s="266"/>
      <c r="J209" s="234" t="str">
        <f t="shared" si="5"/>
        <v/>
      </c>
    </row>
    <row r="210" spans="2:17" x14ac:dyDescent="0.15">
      <c r="B210" s="262"/>
      <c r="C210" s="263" t="s">
        <v>367</v>
      </c>
      <c r="D210" s="279"/>
      <c r="E210" s="265"/>
      <c r="F210" s="265"/>
      <c r="G210" s="266"/>
      <c r="J210" s="234" t="str">
        <f t="shared" si="5"/>
        <v/>
      </c>
    </row>
    <row r="211" spans="2:17" x14ac:dyDescent="0.15">
      <c r="B211" s="262"/>
      <c r="C211" s="263" t="s">
        <v>368</v>
      </c>
      <c r="D211" s="279"/>
      <c r="E211" s="265"/>
      <c r="F211" s="265"/>
      <c r="G211" s="266"/>
      <c r="J211" s="234" t="str">
        <f t="shared" si="5"/>
        <v/>
      </c>
    </row>
    <row r="212" spans="2:17" x14ac:dyDescent="0.15">
      <c r="B212" s="262"/>
      <c r="C212" s="263" t="s">
        <v>369</v>
      </c>
      <c r="D212" s="279"/>
      <c r="E212" s="265"/>
      <c r="F212" s="265"/>
      <c r="G212" s="266"/>
      <c r="J212" s="234" t="str">
        <f t="shared" si="5"/>
        <v/>
      </c>
    </row>
    <row r="213" spans="2:17" ht="14.25" thickBot="1" x14ac:dyDescent="0.2">
      <c r="B213" s="283"/>
      <c r="C213" s="273" t="s">
        <v>338</v>
      </c>
      <c r="D213" s="285"/>
      <c r="E213" s="275"/>
      <c r="F213" s="275"/>
      <c r="G213" s="276"/>
      <c r="J213" s="234" t="str">
        <f t="shared" si="5"/>
        <v/>
      </c>
      <c r="K213" s="288"/>
      <c r="L213" s="288"/>
      <c r="M213" s="288"/>
      <c r="N213" s="288"/>
    </row>
    <row r="214" spans="2:17" x14ac:dyDescent="0.15">
      <c r="B214" s="262" t="s">
        <v>45</v>
      </c>
      <c r="C214" s="263" t="s">
        <v>235</v>
      </c>
      <c r="D214" s="279" t="s">
        <v>187</v>
      </c>
      <c r="E214" s="277"/>
      <c r="F214" s="277"/>
      <c r="G214" s="278"/>
      <c r="J214" s="234" t="str">
        <f t="shared" si="5"/>
        <v>×</v>
      </c>
      <c r="K214" s="289" t="str">
        <f>C214</f>
        <v>１　総論</v>
      </c>
      <c r="L214" s="288"/>
      <c r="M214" s="288"/>
      <c r="N214" s="290"/>
      <c r="P214" s="261" t="str">
        <f>IF((COUNTIF(E214, "*総論*"))=1,"〇","X")</f>
        <v>X</v>
      </c>
      <c r="Q214" s="261" t="str">
        <f>IF((COUNTIF(F214, "*総論*"))=1,"〇","X")</f>
        <v>X</v>
      </c>
    </row>
    <row r="215" spans="2:17" x14ac:dyDescent="0.15">
      <c r="B215" s="262"/>
      <c r="C215" s="263" t="s">
        <v>370</v>
      </c>
      <c r="D215" s="279"/>
      <c r="E215" s="265"/>
      <c r="F215" s="265"/>
      <c r="G215" s="266"/>
      <c r="J215" s="234" t="str">
        <f t="shared" si="5"/>
        <v/>
      </c>
    </row>
    <row r="216" spans="2:17" x14ac:dyDescent="0.15">
      <c r="B216" s="262"/>
      <c r="C216" s="263" t="s">
        <v>371</v>
      </c>
      <c r="D216" s="279"/>
      <c r="E216" s="265"/>
      <c r="F216" s="265"/>
      <c r="G216" s="266"/>
      <c r="J216" s="234" t="str">
        <f t="shared" si="5"/>
        <v/>
      </c>
    </row>
    <row r="217" spans="2:17" x14ac:dyDescent="0.15">
      <c r="B217" s="262"/>
      <c r="C217" s="263" t="s">
        <v>225</v>
      </c>
      <c r="D217" s="279" t="s">
        <v>358</v>
      </c>
      <c r="E217" s="265"/>
      <c r="F217" s="265"/>
      <c r="G217" s="266"/>
      <c r="J217" s="234" t="str">
        <f t="shared" si="5"/>
        <v>×</v>
      </c>
      <c r="K217" s="267" t="str">
        <f>C217</f>
        <v>２　各論</v>
      </c>
      <c r="L217" s="268"/>
      <c r="M217" s="268"/>
      <c r="N217" s="269"/>
      <c r="P217" s="261" t="str">
        <f>IF((COUNTIF(E217, "*各論*"))=1,"〇","X")</f>
        <v>X</v>
      </c>
      <c r="Q217" s="261" t="str">
        <f>IF((COUNTIF(F217, "*各論*"))=1,"〇","X")</f>
        <v>X</v>
      </c>
    </row>
    <row r="218" spans="2:17" x14ac:dyDescent="0.15">
      <c r="B218" s="262"/>
      <c r="C218" s="263" t="s">
        <v>372</v>
      </c>
      <c r="D218" s="279"/>
      <c r="E218" s="265"/>
      <c r="F218" s="265"/>
      <c r="G218" s="266"/>
      <c r="J218" s="234" t="str">
        <f t="shared" si="5"/>
        <v/>
      </c>
    </row>
    <row r="219" spans="2:17" x14ac:dyDescent="0.15">
      <c r="B219" s="262"/>
      <c r="C219" s="263" t="s">
        <v>373</v>
      </c>
      <c r="D219" s="279"/>
      <c r="E219" s="265"/>
      <c r="F219" s="265"/>
      <c r="G219" s="266"/>
      <c r="J219" s="234" t="str">
        <f t="shared" si="5"/>
        <v/>
      </c>
    </row>
    <row r="220" spans="2:17" x14ac:dyDescent="0.15">
      <c r="B220" s="262"/>
      <c r="C220" s="263" t="s">
        <v>374</v>
      </c>
      <c r="D220" s="279"/>
      <c r="E220" s="265"/>
      <c r="F220" s="265"/>
      <c r="G220" s="266"/>
      <c r="J220" s="234" t="str">
        <f t="shared" si="5"/>
        <v/>
      </c>
    </row>
    <row r="221" spans="2:17" x14ac:dyDescent="0.15">
      <c r="B221" s="262"/>
      <c r="C221" s="263" t="s">
        <v>375</v>
      </c>
      <c r="D221" s="279"/>
      <c r="E221" s="265"/>
      <c r="F221" s="265"/>
      <c r="G221" s="266"/>
      <c r="J221" s="234" t="str">
        <f t="shared" si="5"/>
        <v/>
      </c>
    </row>
    <row r="222" spans="2:17" x14ac:dyDescent="0.15">
      <c r="B222" s="262"/>
      <c r="C222" s="263" t="s">
        <v>376</v>
      </c>
      <c r="D222" s="279"/>
      <c r="E222" s="265"/>
      <c r="F222" s="265"/>
      <c r="G222" s="266"/>
      <c r="J222" s="234" t="str">
        <f t="shared" si="5"/>
        <v/>
      </c>
    </row>
    <row r="223" spans="2:17" x14ac:dyDescent="0.15">
      <c r="B223" s="262"/>
      <c r="C223" s="263" t="s">
        <v>377</v>
      </c>
      <c r="D223" s="279"/>
      <c r="E223" s="265"/>
      <c r="F223" s="265"/>
      <c r="G223" s="266"/>
      <c r="J223" s="234" t="str">
        <f t="shared" si="5"/>
        <v/>
      </c>
    </row>
    <row r="224" spans="2:17" ht="27.75" thickBot="1" x14ac:dyDescent="0.2">
      <c r="B224" s="283"/>
      <c r="C224" s="273" t="s">
        <v>783</v>
      </c>
      <c r="D224" s="285"/>
      <c r="E224" s="275"/>
      <c r="F224" s="275"/>
      <c r="G224" s="276"/>
      <c r="J224" s="234" t="str">
        <f t="shared" si="5"/>
        <v/>
      </c>
    </row>
    <row r="225" spans="2:17" x14ac:dyDescent="0.15">
      <c r="B225" s="262" t="s">
        <v>127</v>
      </c>
      <c r="C225" s="263" t="s">
        <v>235</v>
      </c>
      <c r="D225" s="284" t="s">
        <v>187</v>
      </c>
      <c r="E225" s="277"/>
      <c r="F225" s="277"/>
      <c r="G225" s="278"/>
      <c r="J225" s="234" t="str">
        <f t="shared" si="5"/>
        <v>×</v>
      </c>
      <c r="K225" s="267" t="str">
        <f>C225</f>
        <v>１　総論</v>
      </c>
      <c r="L225" s="268"/>
      <c r="M225" s="268"/>
      <c r="N225" s="269"/>
      <c r="P225" s="261" t="str">
        <f>IF((COUNTIF(E225, "*総論*"))=1,"〇","X")</f>
        <v>X</v>
      </c>
      <c r="Q225" s="261" t="str">
        <f>IF((COUNTIF(F225, "*総論*"))=1,"〇","X")</f>
        <v>X</v>
      </c>
    </row>
    <row r="226" spans="2:17" x14ac:dyDescent="0.15">
      <c r="B226" s="262"/>
      <c r="C226" s="263" t="s">
        <v>378</v>
      </c>
      <c r="D226" s="279"/>
      <c r="E226" s="265"/>
      <c r="F226" s="265"/>
      <c r="G226" s="266"/>
      <c r="J226" s="234" t="str">
        <f t="shared" si="5"/>
        <v/>
      </c>
    </row>
    <row r="227" spans="2:17" x14ac:dyDescent="0.15">
      <c r="B227" s="262"/>
      <c r="C227" s="263" t="s">
        <v>379</v>
      </c>
      <c r="D227" s="279"/>
      <c r="E227" s="265"/>
      <c r="F227" s="265"/>
      <c r="G227" s="266"/>
      <c r="J227" s="234" t="str">
        <f t="shared" si="5"/>
        <v/>
      </c>
    </row>
    <row r="228" spans="2:17" x14ac:dyDescent="0.15">
      <c r="B228" s="262"/>
      <c r="C228" s="263" t="s">
        <v>225</v>
      </c>
      <c r="D228" s="279" t="s">
        <v>187</v>
      </c>
      <c r="E228" s="265"/>
      <c r="F228" s="265"/>
      <c r="G228" s="266"/>
      <c r="J228" s="234" t="str">
        <f t="shared" si="5"/>
        <v>×</v>
      </c>
      <c r="K228" s="267" t="str">
        <f>C228</f>
        <v>２　各論</v>
      </c>
      <c r="L228" s="268"/>
      <c r="M228" s="268"/>
      <c r="N228" s="269"/>
      <c r="P228" s="261" t="str">
        <f>IF((COUNTIF(E228, "*各論*"))=1,"〇","X")</f>
        <v>X</v>
      </c>
      <c r="Q228" s="261" t="str">
        <f>IF((COUNTIF(F228, "*各論*"))=1,"〇","X")</f>
        <v>X</v>
      </c>
    </row>
    <row r="229" spans="2:17" x14ac:dyDescent="0.15">
      <c r="B229" s="262"/>
      <c r="C229" s="263" t="s">
        <v>380</v>
      </c>
      <c r="D229" s="279"/>
      <c r="E229" s="265"/>
      <c r="F229" s="265"/>
      <c r="G229" s="266"/>
      <c r="J229" s="234" t="str">
        <f t="shared" si="5"/>
        <v/>
      </c>
    </row>
    <row r="230" spans="2:17" ht="27" x14ac:dyDescent="0.15">
      <c r="B230" s="262"/>
      <c r="C230" s="263" t="s">
        <v>784</v>
      </c>
      <c r="D230" s="279"/>
      <c r="E230" s="265"/>
      <c r="F230" s="265"/>
      <c r="G230" s="266"/>
      <c r="J230" s="234" t="str">
        <f t="shared" si="5"/>
        <v/>
      </c>
    </row>
    <row r="231" spans="2:17" x14ac:dyDescent="0.15">
      <c r="B231" s="262"/>
      <c r="C231" s="263" t="s">
        <v>381</v>
      </c>
      <c r="D231" s="279"/>
      <c r="E231" s="265"/>
      <c r="F231" s="265"/>
      <c r="G231" s="266"/>
      <c r="J231" s="234" t="str">
        <f t="shared" si="5"/>
        <v/>
      </c>
    </row>
    <row r="232" spans="2:17" x14ac:dyDescent="0.15">
      <c r="B232" s="262"/>
      <c r="C232" s="263" t="s">
        <v>382</v>
      </c>
      <c r="D232" s="279"/>
      <c r="E232" s="265"/>
      <c r="F232" s="265"/>
      <c r="G232" s="266"/>
      <c r="J232" s="234" t="str">
        <f t="shared" si="5"/>
        <v/>
      </c>
    </row>
    <row r="233" spans="2:17" x14ac:dyDescent="0.15">
      <c r="B233" s="262"/>
      <c r="C233" s="263" t="s">
        <v>383</v>
      </c>
      <c r="D233" s="279"/>
      <c r="E233" s="265"/>
      <c r="F233" s="265"/>
      <c r="G233" s="266"/>
      <c r="J233" s="234" t="str">
        <f t="shared" si="5"/>
        <v/>
      </c>
    </row>
    <row r="234" spans="2:17" x14ac:dyDescent="0.15">
      <c r="B234" s="262"/>
      <c r="C234" s="291" t="s">
        <v>384</v>
      </c>
      <c r="D234" s="279"/>
      <c r="E234" s="265"/>
      <c r="F234" s="265"/>
      <c r="G234" s="266"/>
      <c r="J234" s="234" t="str">
        <f t="shared" si="5"/>
        <v/>
      </c>
    </row>
    <row r="235" spans="2:17" x14ac:dyDescent="0.15">
      <c r="B235" s="292"/>
      <c r="C235" s="263" t="s">
        <v>385</v>
      </c>
      <c r="D235" s="293"/>
      <c r="E235" s="265"/>
      <c r="F235" s="265"/>
      <c r="G235" s="266"/>
      <c r="J235" s="234" t="str">
        <f t="shared" si="5"/>
        <v/>
      </c>
    </row>
    <row r="236" spans="2:17" x14ac:dyDescent="0.15">
      <c r="B236" s="262"/>
      <c r="C236" s="286" t="s">
        <v>386</v>
      </c>
      <c r="D236" s="279"/>
      <c r="E236" s="265"/>
      <c r="F236" s="265"/>
      <c r="G236" s="266"/>
      <c r="J236" s="234" t="str">
        <f t="shared" si="5"/>
        <v/>
      </c>
    </row>
    <row r="237" spans="2:17" ht="14.25" thickBot="1" x14ac:dyDescent="0.2">
      <c r="B237" s="283"/>
      <c r="C237" s="273" t="s">
        <v>387</v>
      </c>
      <c r="D237" s="285"/>
      <c r="E237" s="275"/>
      <c r="F237" s="275"/>
      <c r="G237" s="276"/>
      <c r="J237" s="234" t="str">
        <f t="shared" si="5"/>
        <v/>
      </c>
    </row>
    <row r="238" spans="2:17" x14ac:dyDescent="0.15">
      <c r="B238" s="262" t="s">
        <v>49</v>
      </c>
      <c r="C238" s="263" t="s">
        <v>235</v>
      </c>
      <c r="D238" s="284" t="s">
        <v>187</v>
      </c>
      <c r="E238" s="277"/>
      <c r="F238" s="277"/>
      <c r="G238" s="278"/>
      <c r="J238" s="234" t="str">
        <f t="shared" si="5"/>
        <v>×</v>
      </c>
      <c r="K238" s="267" t="str">
        <f>C238</f>
        <v>１　総論</v>
      </c>
      <c r="L238" s="268"/>
      <c r="M238" s="268"/>
      <c r="N238" s="269"/>
      <c r="P238" s="261" t="str">
        <f>IF((COUNTIF(E238, "*総論*"))=1,"〇","X")</f>
        <v>X</v>
      </c>
      <c r="Q238" s="261" t="str">
        <f>IF((COUNTIF(F238, "*総論*"))=1,"〇","X")</f>
        <v>X</v>
      </c>
    </row>
    <row r="239" spans="2:17" x14ac:dyDescent="0.15">
      <c r="B239" s="262"/>
      <c r="C239" s="263" t="s">
        <v>388</v>
      </c>
      <c r="D239" s="279"/>
      <c r="E239" s="265"/>
      <c r="F239" s="265"/>
      <c r="G239" s="266"/>
      <c r="J239" s="234" t="str">
        <f t="shared" si="5"/>
        <v/>
      </c>
    </row>
    <row r="240" spans="2:17" x14ac:dyDescent="0.15">
      <c r="B240" s="262"/>
      <c r="C240" s="263" t="s">
        <v>389</v>
      </c>
      <c r="D240" s="279"/>
      <c r="E240" s="265"/>
      <c r="F240" s="265"/>
      <c r="G240" s="266"/>
      <c r="J240" s="234" t="str">
        <f t="shared" si="5"/>
        <v/>
      </c>
    </row>
    <row r="241" spans="1:17" x14ac:dyDescent="0.15">
      <c r="B241" s="262"/>
      <c r="C241" s="263" t="s">
        <v>390</v>
      </c>
      <c r="D241" s="279"/>
      <c r="E241" s="265"/>
      <c r="F241" s="265"/>
      <c r="G241" s="266"/>
      <c r="J241" s="234" t="str">
        <f t="shared" si="5"/>
        <v/>
      </c>
    </row>
    <row r="242" spans="1:17" x14ac:dyDescent="0.15">
      <c r="B242" s="262"/>
      <c r="C242" s="263" t="s">
        <v>225</v>
      </c>
      <c r="D242" s="279" t="s">
        <v>187</v>
      </c>
      <c r="E242" s="265"/>
      <c r="F242" s="265"/>
      <c r="G242" s="266"/>
      <c r="J242" s="234" t="str">
        <f t="shared" si="5"/>
        <v>×</v>
      </c>
      <c r="K242" s="267" t="str">
        <f>C242</f>
        <v>２　各論</v>
      </c>
      <c r="L242" s="268"/>
      <c r="M242" s="268"/>
      <c r="N242" s="269"/>
      <c r="P242" s="261" t="str">
        <f>IF((COUNTIF(E242, "*各論*"))=1,"〇","X")</f>
        <v>X</v>
      </c>
      <c r="Q242" s="261" t="str">
        <f>IF((COUNTIF(F242, "*各論*"))=1,"〇","X")</f>
        <v>X</v>
      </c>
    </row>
    <row r="243" spans="1:17" x14ac:dyDescent="0.15">
      <c r="B243" s="262"/>
      <c r="C243" s="263" t="s">
        <v>391</v>
      </c>
      <c r="D243" s="279"/>
      <c r="E243" s="265"/>
      <c r="F243" s="265"/>
      <c r="G243" s="266"/>
      <c r="J243" s="234" t="str">
        <f t="shared" si="5"/>
        <v/>
      </c>
    </row>
    <row r="244" spans="1:17" x14ac:dyDescent="0.15">
      <c r="B244" s="262"/>
      <c r="C244" s="263" t="s">
        <v>392</v>
      </c>
      <c r="D244" s="279"/>
      <c r="E244" s="265"/>
      <c r="F244" s="265"/>
      <c r="G244" s="266"/>
      <c r="J244" s="234" t="str">
        <f t="shared" si="5"/>
        <v/>
      </c>
    </row>
    <row r="245" spans="1:17" x14ac:dyDescent="0.15">
      <c r="B245" s="262"/>
      <c r="C245" s="263" t="s">
        <v>393</v>
      </c>
      <c r="D245" s="279"/>
      <c r="E245" s="265"/>
      <c r="F245" s="265"/>
      <c r="G245" s="266"/>
      <c r="J245" s="234" t="str">
        <f t="shared" si="5"/>
        <v/>
      </c>
    </row>
    <row r="246" spans="1:17" ht="14.25" thickBot="1" x14ac:dyDescent="0.2">
      <c r="B246" s="283"/>
      <c r="C246" s="273" t="s">
        <v>394</v>
      </c>
      <c r="D246" s="294"/>
      <c r="E246" s="275"/>
      <c r="F246" s="275"/>
      <c r="G246" s="276"/>
      <c r="J246" s="234" t="str">
        <f t="shared" si="5"/>
        <v/>
      </c>
    </row>
    <row r="247" spans="1:17" x14ac:dyDescent="0.15">
      <c r="B247" s="262" t="s">
        <v>46</v>
      </c>
      <c r="C247" s="263" t="s">
        <v>235</v>
      </c>
      <c r="D247" s="284" t="s">
        <v>187</v>
      </c>
      <c r="E247" s="277"/>
      <c r="F247" s="277"/>
      <c r="G247" s="278"/>
      <c r="J247" s="234" t="str">
        <f t="shared" si="5"/>
        <v>×</v>
      </c>
      <c r="K247" s="267" t="str">
        <f>C247</f>
        <v>１　総論</v>
      </c>
      <c r="L247" s="268"/>
      <c r="M247" s="268"/>
      <c r="N247" s="269"/>
      <c r="P247" s="261" t="str">
        <f>IF((COUNTIF(E247, "*総論*"))=1,"〇","X")</f>
        <v>X</v>
      </c>
      <c r="Q247" s="261" t="str">
        <f>IF((COUNTIF(F247, "*総論*"))=1,"〇","X")</f>
        <v>X</v>
      </c>
    </row>
    <row r="248" spans="1:17" x14ac:dyDescent="0.15">
      <c r="B248" s="262"/>
      <c r="C248" s="263" t="s">
        <v>395</v>
      </c>
      <c r="D248" s="279"/>
      <c r="E248" s="265"/>
      <c r="F248" s="265"/>
      <c r="G248" s="266"/>
      <c r="J248" s="234" t="str">
        <f t="shared" si="5"/>
        <v/>
      </c>
    </row>
    <row r="249" spans="1:17" x14ac:dyDescent="0.15">
      <c r="B249" s="262"/>
      <c r="C249" s="263" t="s">
        <v>396</v>
      </c>
      <c r="D249" s="279"/>
      <c r="E249" s="265"/>
      <c r="F249" s="265"/>
      <c r="G249" s="266"/>
      <c r="J249" s="234" t="str">
        <f t="shared" si="5"/>
        <v/>
      </c>
    </row>
    <row r="250" spans="1:17" x14ac:dyDescent="0.15">
      <c r="B250" s="262"/>
      <c r="C250" s="263" t="s">
        <v>397</v>
      </c>
      <c r="D250" s="279"/>
      <c r="E250" s="265"/>
      <c r="F250" s="265"/>
      <c r="G250" s="266"/>
      <c r="J250" s="234" t="str">
        <f t="shared" si="5"/>
        <v/>
      </c>
    </row>
    <row r="251" spans="1:17" x14ac:dyDescent="0.15">
      <c r="B251" s="262"/>
      <c r="C251" s="263" t="s">
        <v>225</v>
      </c>
      <c r="D251" s="279" t="s">
        <v>187</v>
      </c>
      <c r="E251" s="265"/>
      <c r="F251" s="265"/>
      <c r="G251" s="266"/>
      <c r="J251" s="234" t="str">
        <f t="shared" si="5"/>
        <v>×</v>
      </c>
      <c r="K251" s="267" t="str">
        <f>C251</f>
        <v>２　各論</v>
      </c>
      <c r="L251" s="268"/>
      <c r="M251" s="268"/>
      <c r="N251" s="269"/>
      <c r="P251" s="261" t="str">
        <f>IF((COUNTIF(E251, "*各論*"))=1,"〇","X")</f>
        <v>X</v>
      </c>
      <c r="Q251" s="261" t="str">
        <f>IF((COUNTIF(F251, "*各論*"))=1,"〇","X")</f>
        <v>X</v>
      </c>
    </row>
    <row r="252" spans="1:17" ht="27" x14ac:dyDescent="0.15">
      <c r="B252" s="262"/>
      <c r="C252" s="263" t="s">
        <v>785</v>
      </c>
      <c r="D252" s="279"/>
      <c r="E252" s="265"/>
      <c r="F252" s="265"/>
      <c r="G252" s="266"/>
      <c r="J252" s="234" t="str">
        <f t="shared" si="5"/>
        <v/>
      </c>
    </row>
    <row r="253" spans="1:17" ht="27" x14ac:dyDescent="0.15">
      <c r="B253" s="262"/>
      <c r="C253" s="263" t="s">
        <v>786</v>
      </c>
      <c r="D253" s="279"/>
      <c r="E253" s="265"/>
      <c r="F253" s="265"/>
      <c r="G253" s="266"/>
      <c r="J253" s="234" t="str">
        <f t="shared" si="5"/>
        <v/>
      </c>
    </row>
    <row r="254" spans="1:17" ht="27" x14ac:dyDescent="0.15">
      <c r="B254" s="262"/>
      <c r="C254" s="263" t="s">
        <v>787</v>
      </c>
      <c r="D254" s="279"/>
      <c r="E254" s="265"/>
      <c r="F254" s="265"/>
      <c r="G254" s="266"/>
      <c r="J254" s="234" t="str">
        <f t="shared" si="5"/>
        <v/>
      </c>
    </row>
    <row r="255" spans="1:17" ht="27" x14ac:dyDescent="0.15">
      <c r="A255" s="280"/>
      <c r="B255" s="262"/>
      <c r="C255" s="281" t="s">
        <v>788</v>
      </c>
      <c r="D255" s="295"/>
      <c r="E255" s="265"/>
      <c r="F255" s="265"/>
      <c r="G255" s="266"/>
      <c r="J255" s="234" t="str">
        <f t="shared" si="5"/>
        <v/>
      </c>
    </row>
    <row r="256" spans="1:17" ht="27" x14ac:dyDescent="0.15">
      <c r="A256" s="280"/>
      <c r="B256" s="296"/>
      <c r="C256" s="286" t="s">
        <v>789</v>
      </c>
      <c r="D256" s="284"/>
      <c r="E256" s="277"/>
      <c r="F256" s="277"/>
      <c r="G256" s="278"/>
      <c r="J256" s="234" t="str">
        <f t="shared" si="5"/>
        <v/>
      </c>
    </row>
    <row r="257" spans="2:17" ht="27" x14ac:dyDescent="0.15">
      <c r="B257" s="297"/>
      <c r="C257" s="263" t="s">
        <v>790</v>
      </c>
      <c r="D257" s="264"/>
      <c r="E257" s="265"/>
      <c r="F257" s="265"/>
      <c r="G257" s="266"/>
      <c r="J257" s="234" t="str">
        <f t="shared" si="5"/>
        <v/>
      </c>
    </row>
    <row r="258" spans="2:17" x14ac:dyDescent="0.15">
      <c r="B258" s="297"/>
      <c r="C258" s="263" t="s">
        <v>398</v>
      </c>
      <c r="D258" s="264"/>
      <c r="E258" s="265"/>
      <c r="F258" s="265"/>
      <c r="G258" s="266"/>
      <c r="J258" s="234" t="str">
        <f t="shared" si="5"/>
        <v/>
      </c>
    </row>
    <row r="259" spans="2:17" x14ac:dyDescent="0.15">
      <c r="B259" s="297"/>
      <c r="C259" s="263" t="s">
        <v>399</v>
      </c>
      <c r="D259" s="264"/>
      <c r="E259" s="265"/>
      <c r="F259" s="265"/>
      <c r="G259" s="266"/>
      <c r="J259" s="234" t="str">
        <f t="shared" si="5"/>
        <v/>
      </c>
    </row>
    <row r="260" spans="2:17" x14ac:dyDescent="0.15">
      <c r="B260" s="297"/>
      <c r="C260" s="263" t="s">
        <v>400</v>
      </c>
      <c r="D260" s="264"/>
      <c r="E260" s="265"/>
      <c r="F260" s="265"/>
      <c r="G260" s="266"/>
      <c r="J260" s="234" t="str">
        <f t="shared" si="5"/>
        <v/>
      </c>
    </row>
    <row r="261" spans="2:17" ht="14.25" thickBot="1" x14ac:dyDescent="0.2">
      <c r="B261" s="298"/>
      <c r="C261" s="273" t="s">
        <v>338</v>
      </c>
      <c r="D261" s="274"/>
      <c r="E261" s="275"/>
      <c r="F261" s="275"/>
      <c r="G261" s="276"/>
      <c r="J261" s="234" t="str">
        <f t="shared" ref="J261:J324" si="6">IF(AND(OR(D261="◎",D261="◎※１"),OR(E261="",F261="",G261="")),"×","")</f>
        <v/>
      </c>
      <c r="K261" s="288"/>
      <c r="L261" s="288"/>
      <c r="M261" s="288"/>
      <c r="N261" s="288"/>
    </row>
    <row r="262" spans="2:17" x14ac:dyDescent="0.15">
      <c r="B262" s="270" t="s">
        <v>50</v>
      </c>
      <c r="C262" s="263" t="s">
        <v>401</v>
      </c>
      <c r="D262" s="282" t="s">
        <v>187</v>
      </c>
      <c r="E262" s="277"/>
      <c r="F262" s="277"/>
      <c r="G262" s="278"/>
      <c r="J262" s="234" t="str">
        <f t="shared" si="6"/>
        <v>×</v>
      </c>
      <c r="K262" s="289" t="str">
        <f>C262</f>
        <v>１　医用機器と関連技術</v>
      </c>
      <c r="L262" s="288"/>
      <c r="M262" s="288"/>
      <c r="N262" s="290"/>
      <c r="P262" s="261" t="str">
        <f>IF((COUNTIF(E262, "*医用機器と関連技術*"))=1,"〇","X")</f>
        <v>X</v>
      </c>
      <c r="Q262" s="261" t="str">
        <f>IF((COUNTIF(F262, "*医用機器と関連技術*"))=1,"〇","X")</f>
        <v>X</v>
      </c>
    </row>
    <row r="263" spans="2:17" x14ac:dyDescent="0.15">
      <c r="B263" s="297"/>
      <c r="C263" s="263" t="s">
        <v>402</v>
      </c>
      <c r="D263" s="264"/>
      <c r="E263" s="265"/>
      <c r="F263" s="265"/>
      <c r="G263" s="266"/>
      <c r="J263" s="234" t="str">
        <f t="shared" si="6"/>
        <v/>
      </c>
    </row>
    <row r="264" spans="2:17" x14ac:dyDescent="0.15">
      <c r="B264" s="297"/>
      <c r="C264" s="263" t="s">
        <v>403</v>
      </c>
      <c r="D264" s="264"/>
      <c r="E264" s="265"/>
      <c r="F264" s="265"/>
      <c r="G264" s="266"/>
      <c r="J264" s="234" t="str">
        <f t="shared" si="6"/>
        <v/>
      </c>
    </row>
    <row r="265" spans="2:17" x14ac:dyDescent="0.15">
      <c r="B265" s="297"/>
      <c r="C265" s="263" t="s">
        <v>404</v>
      </c>
      <c r="D265" s="279" t="s">
        <v>187</v>
      </c>
      <c r="E265" s="265"/>
      <c r="F265" s="265"/>
      <c r="G265" s="266"/>
      <c r="J265" s="234" t="str">
        <f t="shared" si="6"/>
        <v>×</v>
      </c>
      <c r="K265" s="267" t="str">
        <f>C265</f>
        <v>２　医用機器の人体への適用</v>
      </c>
      <c r="L265" s="268"/>
      <c r="M265" s="268"/>
      <c r="N265" s="269"/>
      <c r="P265" s="261" t="str">
        <f>IF((COUNTIF(E265, "*医用機器の人体への適用*"))=1,"〇","X")</f>
        <v>X</v>
      </c>
      <c r="Q265" s="261" t="str">
        <f>IF((COUNTIF(F265, "*医用機器の人体への適用*"))=1,"〇","X")</f>
        <v>X</v>
      </c>
    </row>
    <row r="266" spans="2:17" x14ac:dyDescent="0.15">
      <c r="B266" s="297"/>
      <c r="C266" s="263" t="s">
        <v>405</v>
      </c>
      <c r="D266" s="264"/>
      <c r="E266" s="265"/>
      <c r="F266" s="265"/>
      <c r="G266" s="266"/>
      <c r="J266" s="234" t="str">
        <f t="shared" si="6"/>
        <v/>
      </c>
    </row>
    <row r="267" spans="2:17" x14ac:dyDescent="0.15">
      <c r="B267" s="297"/>
      <c r="C267" s="263" t="s">
        <v>406</v>
      </c>
      <c r="D267" s="264"/>
      <c r="E267" s="265"/>
      <c r="F267" s="265"/>
      <c r="G267" s="266"/>
      <c r="J267" s="234" t="str">
        <f t="shared" si="6"/>
        <v/>
      </c>
    </row>
    <row r="268" spans="2:17" x14ac:dyDescent="0.15">
      <c r="B268" s="262"/>
      <c r="C268" s="263" t="s">
        <v>407</v>
      </c>
      <c r="D268" s="279"/>
      <c r="E268" s="265"/>
      <c r="F268" s="265"/>
      <c r="G268" s="266"/>
      <c r="J268" s="234" t="str">
        <f t="shared" si="6"/>
        <v/>
      </c>
    </row>
    <row r="269" spans="2:17" x14ac:dyDescent="0.15">
      <c r="B269" s="262"/>
      <c r="C269" s="263" t="s">
        <v>408</v>
      </c>
      <c r="D269" s="279" t="s">
        <v>187</v>
      </c>
      <c r="E269" s="265"/>
      <c r="F269" s="265"/>
      <c r="G269" s="266"/>
      <c r="J269" s="234" t="str">
        <f>IF(AND(OR(D269="◎",D269="◎※１"),OR(E269="",F269="",G269="")),"×","")</f>
        <v>×</v>
      </c>
      <c r="K269" s="267" t="str">
        <f>C269</f>
        <v>３　生体計測・監視用機器概論</v>
      </c>
      <c r="L269" s="268"/>
      <c r="M269" s="268"/>
      <c r="N269" s="269"/>
      <c r="P269" s="261" t="str">
        <f>IF((COUNTIF(E269, "*生体計測・監視用機器概論*"))=1,"〇","X")</f>
        <v>X</v>
      </c>
      <c r="Q269" s="261" t="str">
        <f>IF((COUNTIF(F269, "*生体計測・監視用機器概論*"))=1,"〇","X")</f>
        <v>X</v>
      </c>
    </row>
    <row r="270" spans="2:17" x14ac:dyDescent="0.15">
      <c r="B270" s="262"/>
      <c r="C270" s="263" t="s">
        <v>409</v>
      </c>
      <c r="D270" s="279"/>
      <c r="E270" s="265"/>
      <c r="F270" s="265"/>
      <c r="G270" s="266"/>
      <c r="J270" s="234" t="str">
        <f t="shared" si="6"/>
        <v/>
      </c>
    </row>
    <row r="271" spans="2:17" x14ac:dyDescent="0.15">
      <c r="B271" s="262"/>
      <c r="C271" s="263" t="s">
        <v>410</v>
      </c>
      <c r="D271" s="279"/>
      <c r="E271" s="265"/>
      <c r="F271" s="265"/>
      <c r="G271" s="266"/>
      <c r="J271" s="234" t="str">
        <f t="shared" si="6"/>
        <v/>
      </c>
    </row>
    <row r="272" spans="2:17" x14ac:dyDescent="0.15">
      <c r="B272" s="262"/>
      <c r="C272" s="263" t="s">
        <v>411</v>
      </c>
      <c r="D272" s="279" t="s">
        <v>187</v>
      </c>
      <c r="E272" s="265"/>
      <c r="F272" s="265"/>
      <c r="G272" s="266"/>
      <c r="J272" s="234" t="str">
        <f t="shared" si="6"/>
        <v>×</v>
      </c>
      <c r="K272" s="267" t="str">
        <f>C272</f>
        <v>４　治療用機器概論</v>
      </c>
      <c r="L272" s="268"/>
      <c r="M272" s="268"/>
      <c r="N272" s="269"/>
      <c r="P272" s="261" t="str">
        <f>IF((COUNTIF(E272, "*治療用機器概論*"))=1,"〇","X")</f>
        <v>X</v>
      </c>
      <c r="Q272" s="261" t="str">
        <f>IF((COUNTIF(F272, "*治療用機器概論*"))=1,"〇","X")</f>
        <v>X</v>
      </c>
    </row>
    <row r="273" spans="2:17" x14ac:dyDescent="0.15">
      <c r="B273" s="262"/>
      <c r="C273" s="263" t="s">
        <v>412</v>
      </c>
      <c r="D273" s="279"/>
      <c r="E273" s="265"/>
      <c r="F273" s="265"/>
      <c r="G273" s="266"/>
      <c r="J273" s="234" t="str">
        <f t="shared" si="6"/>
        <v/>
      </c>
    </row>
    <row r="274" spans="2:17" x14ac:dyDescent="0.15">
      <c r="B274" s="262"/>
      <c r="C274" s="263" t="s">
        <v>413</v>
      </c>
      <c r="D274" s="279"/>
      <c r="E274" s="265"/>
      <c r="F274" s="265"/>
      <c r="G274" s="266"/>
      <c r="J274" s="234" t="str">
        <f t="shared" si="6"/>
        <v/>
      </c>
    </row>
    <row r="275" spans="2:17" x14ac:dyDescent="0.15">
      <c r="B275" s="262"/>
      <c r="C275" s="263" t="s">
        <v>414</v>
      </c>
      <c r="D275" s="279"/>
      <c r="E275" s="265"/>
      <c r="F275" s="265"/>
      <c r="G275" s="266"/>
      <c r="J275" s="234" t="str">
        <f t="shared" si="6"/>
        <v/>
      </c>
    </row>
    <row r="276" spans="2:17" x14ac:dyDescent="0.15">
      <c r="B276" s="262"/>
      <c r="C276" s="263" t="s">
        <v>415</v>
      </c>
      <c r="D276" s="279"/>
      <c r="E276" s="265"/>
      <c r="F276" s="265"/>
      <c r="G276" s="266"/>
      <c r="J276" s="234" t="str">
        <f t="shared" si="6"/>
        <v/>
      </c>
    </row>
    <row r="277" spans="2:17" x14ac:dyDescent="0.15">
      <c r="B277" s="262"/>
      <c r="C277" s="263" t="s">
        <v>416</v>
      </c>
      <c r="D277" s="279"/>
      <c r="E277" s="265"/>
      <c r="F277" s="265"/>
      <c r="G277" s="266"/>
      <c r="J277" s="234" t="str">
        <f t="shared" si="6"/>
        <v/>
      </c>
    </row>
    <row r="278" spans="2:17" ht="27" x14ac:dyDescent="0.15">
      <c r="B278" s="262"/>
      <c r="C278" s="263" t="s">
        <v>791</v>
      </c>
      <c r="D278" s="279" t="s">
        <v>187</v>
      </c>
      <c r="E278" s="265"/>
      <c r="F278" s="265"/>
      <c r="G278" s="266"/>
      <c r="J278" s="234" t="str">
        <f t="shared" si="6"/>
        <v>×</v>
      </c>
      <c r="K278" s="267" t="str">
        <f>C278</f>
        <v>５　生体機能代行補助機器の構成
　　と原理</v>
      </c>
      <c r="L278" s="268"/>
      <c r="M278" s="268"/>
      <c r="N278" s="269"/>
      <c r="P278" s="261" t="str">
        <f>IF((COUNTIF(E278, "*生体機能代行補助機器の構成と原理*"))=1,"〇","X")</f>
        <v>X</v>
      </c>
      <c r="Q278" s="261" t="str">
        <f>IF((COUNTIF(F278, "*生体機能代行補助機器の構成と原理*"))=1,"〇","X")</f>
        <v>X</v>
      </c>
    </row>
    <row r="279" spans="2:17" x14ac:dyDescent="0.15">
      <c r="B279" s="262"/>
      <c r="C279" s="263" t="s">
        <v>409</v>
      </c>
      <c r="D279" s="279"/>
      <c r="E279" s="265"/>
      <c r="F279" s="265"/>
      <c r="G279" s="266"/>
      <c r="J279" s="234" t="str">
        <f t="shared" si="6"/>
        <v/>
      </c>
    </row>
    <row r="280" spans="2:17" x14ac:dyDescent="0.15">
      <c r="B280" s="262"/>
      <c r="C280" s="263" t="s">
        <v>410</v>
      </c>
      <c r="D280" s="279"/>
      <c r="E280" s="265"/>
      <c r="F280" s="265"/>
      <c r="G280" s="266"/>
      <c r="J280" s="234" t="str">
        <f t="shared" si="6"/>
        <v/>
      </c>
    </row>
    <row r="281" spans="2:17" ht="14.25" thickBot="1" x14ac:dyDescent="0.2">
      <c r="B281" s="283"/>
      <c r="C281" s="273" t="s">
        <v>417</v>
      </c>
      <c r="D281" s="285"/>
      <c r="E281" s="275"/>
      <c r="F281" s="275"/>
      <c r="G281" s="276"/>
      <c r="J281" s="234" t="str">
        <f t="shared" si="6"/>
        <v/>
      </c>
    </row>
    <row r="282" spans="2:17" x14ac:dyDescent="0.15">
      <c r="B282" s="262" t="s">
        <v>51</v>
      </c>
      <c r="C282" s="286" t="s">
        <v>418</v>
      </c>
      <c r="D282" s="282" t="s">
        <v>187</v>
      </c>
      <c r="E282" s="277"/>
      <c r="F282" s="277"/>
      <c r="G282" s="278"/>
      <c r="J282" s="234" t="str">
        <f t="shared" si="6"/>
        <v>×</v>
      </c>
      <c r="K282" s="267" t="str">
        <f>C282</f>
        <v>１　治療機器概論</v>
      </c>
      <c r="L282" s="268"/>
      <c r="M282" s="268"/>
      <c r="N282" s="269"/>
      <c r="P282" s="261" t="str">
        <f>IF((COUNTIF(E282, "*治療機器概論*"))=1,"〇","X")</f>
        <v>X</v>
      </c>
      <c r="Q282" s="261" t="str">
        <f>IF((COUNTIF(F282, "*治療機器概論*"))=1,"〇","X")</f>
        <v>X</v>
      </c>
    </row>
    <row r="283" spans="2:17" x14ac:dyDescent="0.15">
      <c r="B283" s="262"/>
      <c r="C283" s="263" t="s">
        <v>419</v>
      </c>
      <c r="D283" s="279"/>
      <c r="E283" s="265"/>
      <c r="F283" s="265"/>
      <c r="G283" s="266"/>
      <c r="J283" s="234" t="str">
        <f t="shared" si="6"/>
        <v/>
      </c>
    </row>
    <row r="284" spans="2:17" x14ac:dyDescent="0.15">
      <c r="B284" s="262"/>
      <c r="C284" s="263" t="s">
        <v>420</v>
      </c>
      <c r="D284" s="279"/>
      <c r="E284" s="265"/>
      <c r="F284" s="265"/>
      <c r="G284" s="266"/>
      <c r="J284" s="234" t="str">
        <f t="shared" si="6"/>
        <v/>
      </c>
    </row>
    <row r="285" spans="2:17" x14ac:dyDescent="0.15">
      <c r="B285" s="262"/>
      <c r="C285" s="263" t="s">
        <v>407</v>
      </c>
      <c r="D285" s="279"/>
      <c r="E285" s="265"/>
      <c r="F285" s="265"/>
      <c r="G285" s="266"/>
      <c r="J285" s="234" t="str">
        <f t="shared" si="6"/>
        <v/>
      </c>
    </row>
    <row r="286" spans="2:17" x14ac:dyDescent="0.15">
      <c r="B286" s="262"/>
      <c r="C286" s="263" t="s">
        <v>421</v>
      </c>
      <c r="D286" s="279"/>
      <c r="E286" s="265"/>
      <c r="F286" s="265"/>
      <c r="G286" s="266"/>
      <c r="J286" s="234" t="str">
        <f t="shared" si="6"/>
        <v/>
      </c>
    </row>
    <row r="287" spans="2:17" x14ac:dyDescent="0.15">
      <c r="B287" s="262"/>
      <c r="C287" s="263" t="s">
        <v>422</v>
      </c>
      <c r="D287" s="279"/>
      <c r="E287" s="265"/>
      <c r="F287" s="265"/>
      <c r="G287" s="266"/>
      <c r="J287" s="234" t="str">
        <f t="shared" si="6"/>
        <v/>
      </c>
    </row>
    <row r="288" spans="2:17" ht="27" x14ac:dyDescent="0.15">
      <c r="B288" s="262"/>
      <c r="C288" s="263" t="s">
        <v>792</v>
      </c>
      <c r="D288" s="279" t="s">
        <v>187</v>
      </c>
      <c r="E288" s="265"/>
      <c r="F288" s="265"/>
      <c r="G288" s="266"/>
      <c r="J288" s="234" t="str">
        <f t="shared" si="6"/>
        <v>×</v>
      </c>
      <c r="K288" s="267" t="str">
        <f>C288</f>
        <v>２　電気的治療機器の原理・構造・
　　操作・保守</v>
      </c>
      <c r="L288" s="268"/>
      <c r="M288" s="268"/>
      <c r="N288" s="268"/>
      <c r="P288" s="261" t="str">
        <f>IF((COUNTIF(E288, "*電気的治療機器の原理・構造・操作・保守*"))=1,"〇","X")</f>
        <v>X</v>
      </c>
      <c r="Q288" s="261" t="str">
        <f>IF((COUNTIF(F288, "*電気的治療機器の原理・構造・操作・保守*"))=1,"〇","X")</f>
        <v>X</v>
      </c>
    </row>
    <row r="289" spans="2:17" x14ac:dyDescent="0.15">
      <c r="B289" s="262"/>
      <c r="C289" s="263" t="s">
        <v>423</v>
      </c>
      <c r="D289" s="279"/>
      <c r="E289" s="265"/>
      <c r="F289" s="265"/>
      <c r="G289" s="266"/>
      <c r="J289" s="234" t="str">
        <f t="shared" si="6"/>
        <v/>
      </c>
    </row>
    <row r="290" spans="2:17" x14ac:dyDescent="0.15">
      <c r="B290" s="262"/>
      <c r="C290" s="263" t="s">
        <v>424</v>
      </c>
      <c r="D290" s="279"/>
      <c r="E290" s="265"/>
      <c r="F290" s="265"/>
      <c r="G290" s="266"/>
      <c r="J290" s="234" t="str">
        <f t="shared" si="6"/>
        <v/>
      </c>
    </row>
    <row r="291" spans="2:17" x14ac:dyDescent="0.15">
      <c r="B291" s="262"/>
      <c r="C291" s="263" t="s">
        <v>425</v>
      </c>
      <c r="D291" s="279"/>
      <c r="E291" s="265"/>
      <c r="F291" s="265"/>
      <c r="G291" s="266"/>
      <c r="J291" s="234" t="str">
        <f t="shared" si="6"/>
        <v/>
      </c>
    </row>
    <row r="292" spans="2:17" x14ac:dyDescent="0.15">
      <c r="B292" s="262"/>
      <c r="C292" s="263" t="s">
        <v>426</v>
      </c>
      <c r="D292" s="279"/>
      <c r="E292" s="265"/>
      <c r="F292" s="265"/>
      <c r="G292" s="266"/>
      <c r="J292" s="234" t="str">
        <f t="shared" si="6"/>
        <v/>
      </c>
    </row>
    <row r="293" spans="2:17" x14ac:dyDescent="0.15">
      <c r="B293" s="262"/>
      <c r="C293" s="263" t="s">
        <v>427</v>
      </c>
      <c r="D293" s="279"/>
      <c r="E293" s="265"/>
      <c r="F293" s="265"/>
      <c r="G293" s="266"/>
      <c r="J293" s="234" t="str">
        <f t="shared" si="6"/>
        <v/>
      </c>
    </row>
    <row r="294" spans="2:17" ht="27" x14ac:dyDescent="0.15">
      <c r="B294" s="262"/>
      <c r="C294" s="263" t="s">
        <v>793</v>
      </c>
      <c r="D294" s="279" t="s">
        <v>187</v>
      </c>
      <c r="E294" s="265"/>
      <c r="F294" s="265"/>
      <c r="G294" s="266"/>
      <c r="J294" s="234" t="str">
        <f t="shared" si="6"/>
        <v>×</v>
      </c>
      <c r="K294" s="267" t="str">
        <f>C294</f>
        <v>３　機械的治療機器の原理・構造・
　　操作・保守</v>
      </c>
      <c r="L294" s="268"/>
      <c r="M294" s="268"/>
      <c r="N294" s="268"/>
      <c r="P294" s="261" t="str">
        <f>IF((COUNTIF(E294, "*機械的治療機器の原理・構造・操作・保守*"))=1,"〇","X")</f>
        <v>X</v>
      </c>
      <c r="Q294" s="261" t="str">
        <f>IF((COUNTIF(F294, "*機械的治療機器の原理・構造・操作・保守*"))=1,"〇","X")</f>
        <v>X</v>
      </c>
    </row>
    <row r="295" spans="2:17" x14ac:dyDescent="0.15">
      <c r="B295" s="262"/>
      <c r="C295" s="263" t="s">
        <v>428</v>
      </c>
      <c r="D295" s="279"/>
      <c r="E295" s="265"/>
      <c r="F295" s="265"/>
      <c r="G295" s="266"/>
      <c r="J295" s="234" t="str">
        <f t="shared" si="6"/>
        <v/>
      </c>
    </row>
    <row r="296" spans="2:17" ht="27" x14ac:dyDescent="0.15">
      <c r="B296" s="262"/>
      <c r="C296" s="263" t="s">
        <v>794</v>
      </c>
      <c r="D296" s="279"/>
      <c r="E296" s="265"/>
      <c r="F296" s="265"/>
      <c r="G296" s="266"/>
      <c r="J296" s="234" t="str">
        <f t="shared" si="6"/>
        <v/>
      </c>
    </row>
    <row r="297" spans="2:17" x14ac:dyDescent="0.15">
      <c r="B297" s="262"/>
      <c r="C297" s="263" t="s">
        <v>429</v>
      </c>
      <c r="D297" s="279"/>
      <c r="E297" s="265"/>
      <c r="F297" s="265"/>
      <c r="G297" s="266"/>
      <c r="J297" s="234" t="str">
        <f t="shared" si="6"/>
        <v/>
      </c>
    </row>
    <row r="298" spans="2:17" ht="27" x14ac:dyDescent="0.15">
      <c r="B298" s="262"/>
      <c r="C298" s="263" t="s">
        <v>795</v>
      </c>
      <c r="D298" s="279" t="s">
        <v>187</v>
      </c>
      <c r="E298" s="265"/>
      <c r="F298" s="265"/>
      <c r="G298" s="266"/>
      <c r="J298" s="234" t="str">
        <f t="shared" si="6"/>
        <v>×</v>
      </c>
      <c r="K298" s="267" t="str">
        <f>C298</f>
        <v>４　手術用機器の原理・構造・
　　操作・保守</v>
      </c>
      <c r="L298" s="268"/>
      <c r="M298" s="268"/>
      <c r="N298" s="269"/>
      <c r="P298" s="261" t="str">
        <f>IF((COUNTIF(E298, "*手術用機器の原理・構造・操作・保守*"))=1,"〇","X")</f>
        <v>X</v>
      </c>
      <c r="Q298" s="261" t="str">
        <f>IF((COUNTIF(F298, "*手術用機器の原理・構造・操作・保守*"))=1,"〇","X")</f>
        <v>X</v>
      </c>
    </row>
    <row r="299" spans="2:17" x14ac:dyDescent="0.15">
      <c r="B299" s="262"/>
      <c r="C299" s="263" t="s">
        <v>430</v>
      </c>
      <c r="D299" s="279"/>
      <c r="E299" s="265"/>
      <c r="F299" s="265"/>
      <c r="G299" s="266"/>
      <c r="J299" s="234" t="str">
        <f t="shared" si="6"/>
        <v/>
      </c>
    </row>
    <row r="300" spans="2:17" x14ac:dyDescent="0.15">
      <c r="B300" s="262"/>
      <c r="C300" s="263" t="s">
        <v>431</v>
      </c>
      <c r="D300" s="279"/>
      <c r="E300" s="265"/>
      <c r="F300" s="265"/>
      <c r="G300" s="266"/>
      <c r="J300" s="234" t="str">
        <f t="shared" si="6"/>
        <v/>
      </c>
    </row>
    <row r="301" spans="2:17" ht="27" x14ac:dyDescent="0.15">
      <c r="B301" s="262"/>
      <c r="C301" s="263" t="s">
        <v>796</v>
      </c>
      <c r="D301" s="279"/>
      <c r="E301" s="265"/>
      <c r="F301" s="265"/>
      <c r="G301" s="266"/>
      <c r="J301" s="234" t="str">
        <f t="shared" si="6"/>
        <v/>
      </c>
    </row>
    <row r="302" spans="2:17" x14ac:dyDescent="0.15">
      <c r="B302" s="262"/>
      <c r="C302" s="263" t="s">
        <v>432</v>
      </c>
      <c r="D302" s="279"/>
      <c r="E302" s="265"/>
      <c r="F302" s="265"/>
      <c r="G302" s="266"/>
      <c r="J302" s="234" t="str">
        <f t="shared" si="6"/>
        <v/>
      </c>
    </row>
    <row r="303" spans="2:17" x14ac:dyDescent="0.15">
      <c r="B303" s="262"/>
      <c r="C303" s="263" t="s">
        <v>433</v>
      </c>
      <c r="D303" s="279"/>
      <c r="E303" s="265"/>
      <c r="F303" s="265"/>
      <c r="G303" s="266"/>
      <c r="J303" s="234" t="str">
        <f t="shared" si="6"/>
        <v/>
      </c>
    </row>
    <row r="304" spans="2:17" x14ac:dyDescent="0.15">
      <c r="B304" s="262"/>
      <c r="C304" s="291" t="s">
        <v>434</v>
      </c>
      <c r="D304" s="279"/>
      <c r="E304" s="265"/>
      <c r="F304" s="265"/>
      <c r="G304" s="266"/>
      <c r="J304" s="234" t="str">
        <f t="shared" si="6"/>
        <v/>
      </c>
    </row>
    <row r="305" spans="2:17" x14ac:dyDescent="0.15">
      <c r="B305" s="262"/>
      <c r="C305" s="263" t="s">
        <v>435</v>
      </c>
      <c r="D305" s="279"/>
      <c r="E305" s="265"/>
      <c r="F305" s="265"/>
      <c r="G305" s="266"/>
      <c r="J305" s="234" t="str">
        <f t="shared" si="6"/>
        <v/>
      </c>
    </row>
    <row r="306" spans="2:17" x14ac:dyDescent="0.15">
      <c r="B306" s="262"/>
      <c r="C306" s="286" t="s">
        <v>436</v>
      </c>
      <c r="D306" s="279"/>
      <c r="E306" s="265"/>
      <c r="F306" s="265"/>
      <c r="G306" s="266"/>
      <c r="J306" s="234" t="str">
        <f t="shared" si="6"/>
        <v/>
      </c>
    </row>
    <row r="307" spans="2:17" x14ac:dyDescent="0.15">
      <c r="B307" s="262"/>
      <c r="C307" s="263" t="s">
        <v>437</v>
      </c>
      <c r="D307" s="279" t="s">
        <v>187</v>
      </c>
      <c r="E307" s="265"/>
      <c r="F307" s="265"/>
      <c r="G307" s="266"/>
      <c r="J307" s="234" t="str">
        <f t="shared" si="6"/>
        <v>×</v>
      </c>
      <c r="K307" s="267" t="str">
        <f>C307</f>
        <v>５　保守管理技術</v>
      </c>
      <c r="L307" s="268"/>
      <c r="M307" s="268"/>
      <c r="N307" s="269"/>
      <c r="P307" s="261" t="str">
        <f>IF((COUNTIF(E307, "*保守管理技術*"))=1,"〇","X")</f>
        <v>X</v>
      </c>
      <c r="Q307" s="261" t="str">
        <f>IF((COUNTIF(F307, "*保守管理技術*"))=1,"〇","X")</f>
        <v>X</v>
      </c>
    </row>
    <row r="308" spans="2:17" x14ac:dyDescent="0.15">
      <c r="B308" s="262"/>
      <c r="C308" s="263" t="s">
        <v>438</v>
      </c>
      <c r="D308" s="295"/>
      <c r="E308" s="265"/>
      <c r="F308" s="265"/>
      <c r="G308" s="266"/>
      <c r="J308" s="234" t="str">
        <f t="shared" si="6"/>
        <v/>
      </c>
    </row>
    <row r="309" spans="2:17" x14ac:dyDescent="0.15">
      <c r="B309" s="262"/>
      <c r="C309" s="263" t="s">
        <v>439</v>
      </c>
      <c r="D309" s="295"/>
      <c r="E309" s="265"/>
      <c r="F309" s="265"/>
      <c r="G309" s="266"/>
      <c r="J309" s="234" t="str">
        <f t="shared" si="6"/>
        <v/>
      </c>
    </row>
    <row r="310" spans="2:17" x14ac:dyDescent="0.15">
      <c r="B310" s="262"/>
      <c r="C310" s="263" t="s">
        <v>440</v>
      </c>
      <c r="D310" s="279"/>
      <c r="E310" s="265"/>
      <c r="F310" s="265"/>
      <c r="G310" s="266"/>
      <c r="J310" s="234" t="str">
        <f t="shared" si="6"/>
        <v/>
      </c>
    </row>
    <row r="311" spans="2:17" x14ac:dyDescent="0.15">
      <c r="B311" s="262"/>
      <c r="C311" s="263" t="s">
        <v>441</v>
      </c>
      <c r="D311" s="279"/>
      <c r="E311" s="265"/>
      <c r="F311" s="265"/>
      <c r="G311" s="266"/>
      <c r="J311" s="234" t="str">
        <f t="shared" si="6"/>
        <v/>
      </c>
    </row>
    <row r="312" spans="2:17" x14ac:dyDescent="0.15">
      <c r="B312" s="262"/>
      <c r="C312" s="263" t="s">
        <v>442</v>
      </c>
      <c r="D312" s="279"/>
      <c r="E312" s="265"/>
      <c r="F312" s="265"/>
      <c r="G312" s="266"/>
      <c r="J312" s="234" t="str">
        <f t="shared" si="6"/>
        <v/>
      </c>
    </row>
    <row r="313" spans="2:17" ht="27" x14ac:dyDescent="0.15">
      <c r="B313" s="262"/>
      <c r="C313" s="263" t="s">
        <v>797</v>
      </c>
      <c r="D313" s="264" t="s">
        <v>187</v>
      </c>
      <c r="E313" s="265"/>
      <c r="F313" s="265"/>
      <c r="G313" s="266"/>
      <c r="J313" s="234" t="str">
        <f t="shared" si="6"/>
        <v>×</v>
      </c>
      <c r="K313" s="267" t="str">
        <f>C313</f>
        <v>６　在宅医療等で用いられる治療
　　機器</v>
      </c>
      <c r="L313" s="268"/>
      <c r="M313" s="268"/>
      <c r="N313" s="269"/>
      <c r="P313" s="261" t="str">
        <f>IF((COUNTIF(E313, "*在宅医療等で用いられる治療機器*"))=1,"〇","X")</f>
        <v>X</v>
      </c>
      <c r="Q313" s="261" t="str">
        <f>IF((COUNTIF(F313, "*在宅医療等で用いられる治療機器*"))=1,"〇","X")</f>
        <v>X</v>
      </c>
    </row>
    <row r="314" spans="2:17" ht="27" x14ac:dyDescent="0.15">
      <c r="B314" s="262"/>
      <c r="C314" s="263" t="s">
        <v>798</v>
      </c>
      <c r="D314" s="279" t="s">
        <v>187</v>
      </c>
      <c r="E314" s="265"/>
      <c r="F314" s="265"/>
      <c r="G314" s="266"/>
      <c r="J314" s="234" t="str">
        <f t="shared" si="6"/>
        <v>×</v>
      </c>
      <c r="K314" s="267" t="str">
        <f>C314</f>
        <v>７　治療機器を用いた臨床支援
　　技術の実際</v>
      </c>
      <c r="L314" s="268"/>
      <c r="M314" s="268"/>
      <c r="N314" s="269"/>
      <c r="P314" s="261" t="str">
        <f>IF((COUNTIF(E314, "*治療機器を用いた臨床支援技術の実際*"))=1,"〇","X")</f>
        <v>X</v>
      </c>
      <c r="Q314" s="261" t="str">
        <f>IF((COUNTIF(F314, "*治療機器を用いた臨床支援技術の実際*"))=1,"〇","X")</f>
        <v>X</v>
      </c>
    </row>
    <row r="315" spans="2:17" ht="14.25" thickBot="1" x14ac:dyDescent="0.2">
      <c r="B315" s="283"/>
      <c r="C315" s="273" t="s">
        <v>443</v>
      </c>
      <c r="D315" s="274" t="s">
        <v>187</v>
      </c>
      <c r="E315" s="275"/>
      <c r="F315" s="275"/>
      <c r="G315" s="276"/>
      <c r="J315" s="234" t="str">
        <f t="shared" si="6"/>
        <v>×</v>
      </c>
      <c r="K315" s="299" t="str">
        <f>C315</f>
        <v>８　実習</v>
      </c>
      <c r="L315" s="300"/>
      <c r="M315" s="300"/>
      <c r="N315" s="301"/>
      <c r="P315" s="261" t="str">
        <f>IF((COUNTIF(E315, "*実習*"))=1,"〇","X")</f>
        <v>X</v>
      </c>
      <c r="Q315" s="261" t="str">
        <f>IF((COUNTIF(F315, "*実習*"))=1,"〇","X")</f>
        <v>X</v>
      </c>
    </row>
    <row r="316" spans="2:17" x14ac:dyDescent="0.15">
      <c r="B316" s="270" t="s">
        <v>52</v>
      </c>
      <c r="C316" s="286" t="s">
        <v>444</v>
      </c>
      <c r="D316" s="284" t="s">
        <v>187</v>
      </c>
      <c r="E316" s="277"/>
      <c r="F316" s="277"/>
      <c r="G316" s="278"/>
      <c r="J316" s="234" t="str">
        <f t="shared" si="6"/>
        <v>×</v>
      </c>
      <c r="K316" s="267" t="str">
        <f>C316</f>
        <v>１　生体計測の基礎</v>
      </c>
      <c r="L316" s="268"/>
      <c r="M316" s="268"/>
      <c r="N316" s="269"/>
      <c r="P316" s="261" t="str">
        <f>IF((COUNTIF(E316, "*生体計測の基礎*"))=1,"〇","X")</f>
        <v>X</v>
      </c>
      <c r="Q316" s="261" t="str">
        <f>IF((COUNTIF(F316, "*生体計測の基礎*"))=1,"〇","X")</f>
        <v>X</v>
      </c>
    </row>
    <row r="317" spans="2:17" x14ac:dyDescent="0.15">
      <c r="B317" s="297"/>
      <c r="C317" s="263" t="s">
        <v>445</v>
      </c>
      <c r="D317" s="264"/>
      <c r="E317" s="265"/>
      <c r="F317" s="265"/>
      <c r="G317" s="266"/>
      <c r="J317" s="234" t="str">
        <f t="shared" si="6"/>
        <v/>
      </c>
    </row>
    <row r="318" spans="2:17" x14ac:dyDescent="0.15">
      <c r="B318" s="297"/>
      <c r="C318" s="263" t="s">
        <v>446</v>
      </c>
      <c r="D318" s="264"/>
      <c r="E318" s="265"/>
      <c r="F318" s="265"/>
      <c r="G318" s="266"/>
      <c r="J318" s="234" t="str">
        <f t="shared" si="6"/>
        <v/>
      </c>
    </row>
    <row r="319" spans="2:17" x14ac:dyDescent="0.15">
      <c r="B319" s="297"/>
      <c r="C319" s="263" t="s">
        <v>447</v>
      </c>
      <c r="D319" s="264"/>
      <c r="E319" s="265"/>
      <c r="F319" s="265"/>
      <c r="G319" s="266"/>
      <c r="J319" s="234" t="str">
        <f t="shared" si="6"/>
        <v/>
      </c>
    </row>
    <row r="320" spans="2:17" x14ac:dyDescent="0.15">
      <c r="B320" s="297"/>
      <c r="C320" s="263" t="s">
        <v>448</v>
      </c>
      <c r="D320" s="264"/>
      <c r="E320" s="265"/>
      <c r="F320" s="265"/>
      <c r="G320" s="266"/>
      <c r="J320" s="234" t="str">
        <f t="shared" si="6"/>
        <v/>
      </c>
    </row>
    <row r="321" spans="2:17" x14ac:dyDescent="0.15">
      <c r="B321" s="297"/>
      <c r="C321" s="263" t="s">
        <v>449</v>
      </c>
      <c r="D321" s="264" t="s">
        <v>187</v>
      </c>
      <c r="E321" s="265"/>
      <c r="F321" s="265"/>
      <c r="G321" s="266"/>
      <c r="J321" s="234" t="str">
        <f t="shared" si="6"/>
        <v>×</v>
      </c>
      <c r="K321" s="267" t="str">
        <f>C321</f>
        <v>２　生体電気計測</v>
      </c>
      <c r="L321" s="268"/>
      <c r="M321" s="268"/>
      <c r="N321" s="269"/>
      <c r="P321" s="261" t="str">
        <f>IF((COUNTIF(E321, "*生体電気計測*"))=1,"〇","X")</f>
        <v>X</v>
      </c>
      <c r="Q321" s="261" t="str">
        <f>IF((COUNTIF(F321, "*生体電気計測*"))=1,"〇","X")</f>
        <v>X</v>
      </c>
    </row>
    <row r="322" spans="2:17" ht="27" x14ac:dyDescent="0.15">
      <c r="B322" s="297"/>
      <c r="C322" s="263" t="s">
        <v>799</v>
      </c>
      <c r="D322" s="264"/>
      <c r="E322" s="265"/>
      <c r="F322" s="265"/>
      <c r="G322" s="266"/>
      <c r="J322" s="234" t="str">
        <f t="shared" si="6"/>
        <v/>
      </c>
    </row>
    <row r="323" spans="2:17" x14ac:dyDescent="0.15">
      <c r="B323" s="297"/>
      <c r="C323" s="263" t="s">
        <v>450</v>
      </c>
      <c r="D323" s="264"/>
      <c r="E323" s="265"/>
      <c r="F323" s="265"/>
      <c r="G323" s="266"/>
      <c r="J323" s="234" t="str">
        <f t="shared" si="6"/>
        <v/>
      </c>
    </row>
    <row r="324" spans="2:17" x14ac:dyDescent="0.15">
      <c r="B324" s="297"/>
      <c r="C324" s="263" t="s">
        <v>451</v>
      </c>
      <c r="D324" s="264"/>
      <c r="E324" s="265"/>
      <c r="F324" s="265"/>
      <c r="G324" s="266"/>
      <c r="J324" s="234" t="str">
        <f t="shared" si="6"/>
        <v/>
      </c>
    </row>
    <row r="325" spans="2:17" x14ac:dyDescent="0.15">
      <c r="B325" s="297"/>
      <c r="C325" s="263" t="s">
        <v>452</v>
      </c>
      <c r="D325" s="264" t="s">
        <v>187</v>
      </c>
      <c r="E325" s="265"/>
      <c r="F325" s="265"/>
      <c r="G325" s="266"/>
      <c r="J325" s="234" t="str">
        <f t="shared" ref="J325:J388" si="7">IF(AND(OR(D325="◎",D325="◎※１"),OR(E325="",F325="",G325="")),"×","")</f>
        <v>×</v>
      </c>
      <c r="K325" s="267" t="str">
        <f>C325</f>
        <v>３　生体の物理・化学現象計測</v>
      </c>
      <c r="L325" s="268"/>
      <c r="M325" s="268"/>
      <c r="N325" s="269"/>
      <c r="P325" s="261" t="str">
        <f>IF((COUNTIF(E325, "*生体の物理・化学現象計測*"))=1,"〇","X")</f>
        <v>X</v>
      </c>
      <c r="Q325" s="261" t="str">
        <f>IF((COUNTIF(F325, "*生体の物理・化学現象計測*"))=1,"〇","X")</f>
        <v>X</v>
      </c>
    </row>
    <row r="326" spans="2:17" ht="27" x14ac:dyDescent="0.15">
      <c r="B326" s="297"/>
      <c r="C326" s="263" t="s">
        <v>800</v>
      </c>
      <c r="D326" s="264"/>
      <c r="E326" s="265"/>
      <c r="F326" s="265"/>
      <c r="G326" s="266"/>
      <c r="J326" s="234" t="str">
        <f t="shared" si="7"/>
        <v/>
      </c>
    </row>
    <row r="327" spans="2:17" x14ac:dyDescent="0.15">
      <c r="B327" s="297"/>
      <c r="C327" s="263" t="s">
        <v>453</v>
      </c>
      <c r="D327" s="264"/>
      <c r="E327" s="265"/>
      <c r="F327" s="265"/>
      <c r="G327" s="266"/>
      <c r="J327" s="234" t="str">
        <f t="shared" si="7"/>
        <v/>
      </c>
    </row>
    <row r="328" spans="2:17" x14ac:dyDescent="0.15">
      <c r="B328" s="297"/>
      <c r="C328" s="263" t="s">
        <v>454</v>
      </c>
      <c r="D328" s="264"/>
      <c r="E328" s="265"/>
      <c r="F328" s="265"/>
      <c r="G328" s="266"/>
      <c r="J328" s="234" t="str">
        <f t="shared" si="7"/>
        <v/>
      </c>
    </row>
    <row r="329" spans="2:17" x14ac:dyDescent="0.15">
      <c r="B329" s="297"/>
      <c r="C329" s="263" t="s">
        <v>455</v>
      </c>
      <c r="D329" s="264"/>
      <c r="E329" s="265"/>
      <c r="F329" s="265"/>
      <c r="G329" s="266"/>
      <c r="J329" s="234" t="str">
        <f t="shared" si="7"/>
        <v/>
      </c>
    </row>
    <row r="330" spans="2:17" ht="27" x14ac:dyDescent="0.15">
      <c r="B330" s="297"/>
      <c r="C330" s="263" t="s">
        <v>801</v>
      </c>
      <c r="D330" s="264"/>
      <c r="E330" s="265"/>
      <c r="F330" s="265"/>
      <c r="G330" s="266"/>
      <c r="J330" s="234" t="str">
        <f t="shared" si="7"/>
        <v/>
      </c>
    </row>
    <row r="331" spans="2:17" x14ac:dyDescent="0.15">
      <c r="B331" s="297"/>
      <c r="C331" s="263" t="s">
        <v>456</v>
      </c>
      <c r="D331" s="264"/>
      <c r="E331" s="265"/>
      <c r="F331" s="265"/>
      <c r="G331" s="266"/>
      <c r="J331" s="234" t="str">
        <f t="shared" si="7"/>
        <v/>
      </c>
    </row>
    <row r="332" spans="2:17" x14ac:dyDescent="0.15">
      <c r="B332" s="262"/>
      <c r="C332" s="263" t="s">
        <v>457</v>
      </c>
      <c r="D332" s="279"/>
      <c r="E332" s="265"/>
      <c r="F332" s="265"/>
      <c r="G332" s="266"/>
      <c r="J332" s="234" t="str">
        <f t="shared" si="7"/>
        <v/>
      </c>
    </row>
    <row r="333" spans="2:17" x14ac:dyDescent="0.15">
      <c r="B333" s="262"/>
      <c r="C333" s="263" t="s">
        <v>458</v>
      </c>
      <c r="D333" s="264" t="s">
        <v>187</v>
      </c>
      <c r="E333" s="265"/>
      <c r="F333" s="265"/>
      <c r="G333" s="266"/>
      <c r="J333" s="234" t="str">
        <f t="shared" si="7"/>
        <v>×</v>
      </c>
      <c r="K333" s="267" t="str">
        <f>C333</f>
        <v>４　画像診断法</v>
      </c>
      <c r="L333" s="268"/>
      <c r="M333" s="268"/>
      <c r="N333" s="269"/>
      <c r="P333" s="261" t="str">
        <f>IF((COUNTIF(E333, "*画像診断法*"))=1,"〇","X")</f>
        <v>X</v>
      </c>
      <c r="Q333" s="261" t="str">
        <f>IF((COUNTIF(F333, "*画像診断法*"))=1,"〇","X")</f>
        <v>X</v>
      </c>
    </row>
    <row r="334" spans="2:17" x14ac:dyDescent="0.15">
      <c r="B334" s="262"/>
      <c r="C334" s="263" t="s">
        <v>459</v>
      </c>
      <c r="D334" s="279"/>
      <c r="E334" s="265"/>
      <c r="F334" s="265"/>
      <c r="G334" s="266"/>
      <c r="J334" s="234" t="str">
        <f t="shared" si="7"/>
        <v/>
      </c>
    </row>
    <row r="335" spans="2:17" x14ac:dyDescent="0.15">
      <c r="B335" s="262"/>
      <c r="C335" s="263" t="s">
        <v>460</v>
      </c>
      <c r="D335" s="279"/>
      <c r="E335" s="265"/>
      <c r="F335" s="265"/>
      <c r="G335" s="266"/>
      <c r="J335" s="234" t="str">
        <f t="shared" si="7"/>
        <v/>
      </c>
    </row>
    <row r="336" spans="2:17" ht="27" x14ac:dyDescent="0.15">
      <c r="B336" s="262"/>
      <c r="C336" s="263" t="s">
        <v>802</v>
      </c>
      <c r="D336" s="279"/>
      <c r="E336" s="265"/>
      <c r="F336" s="265"/>
      <c r="G336" s="266"/>
      <c r="J336" s="234" t="str">
        <f t="shared" si="7"/>
        <v/>
      </c>
    </row>
    <row r="337" spans="2:17" x14ac:dyDescent="0.15">
      <c r="B337" s="262"/>
      <c r="C337" s="263" t="s">
        <v>461</v>
      </c>
      <c r="D337" s="279"/>
      <c r="E337" s="265"/>
      <c r="F337" s="265"/>
      <c r="G337" s="266"/>
      <c r="J337" s="234" t="str">
        <f t="shared" si="7"/>
        <v/>
      </c>
    </row>
    <row r="338" spans="2:17" x14ac:dyDescent="0.15">
      <c r="B338" s="262"/>
      <c r="C338" s="263" t="s">
        <v>462</v>
      </c>
      <c r="D338" s="264" t="s">
        <v>187</v>
      </c>
      <c r="E338" s="265"/>
      <c r="F338" s="265"/>
      <c r="G338" s="266"/>
      <c r="J338" s="234" t="str">
        <f t="shared" si="7"/>
        <v>×</v>
      </c>
      <c r="K338" s="267" t="str">
        <f>C338</f>
        <v>（５）内視鏡</v>
      </c>
      <c r="L338" s="268"/>
      <c r="M338" s="268"/>
      <c r="N338" s="269"/>
      <c r="P338" s="261" t="str">
        <f>IF((COUNTIF(E338, "*内視鏡*"))=1,"〇","X")</f>
        <v>X</v>
      </c>
      <c r="Q338" s="261" t="str">
        <f>IF((COUNTIF(F338, "*内視鏡*"))=1,"〇","X")</f>
        <v>X</v>
      </c>
    </row>
    <row r="339" spans="2:17" ht="27" x14ac:dyDescent="0.15">
      <c r="B339" s="262"/>
      <c r="C339" s="263" t="s">
        <v>803</v>
      </c>
      <c r="D339" s="264" t="s">
        <v>187</v>
      </c>
      <c r="E339" s="265"/>
      <c r="F339" s="265"/>
      <c r="G339" s="266"/>
      <c r="J339" s="234" t="str">
        <f t="shared" si="7"/>
        <v>×</v>
      </c>
      <c r="K339" s="267" t="str">
        <f>C339</f>
        <v>５　在宅医療等で用いられる生体
　　計測機器</v>
      </c>
      <c r="L339" s="268"/>
      <c r="M339" s="268"/>
      <c r="N339" s="269"/>
      <c r="P339" s="261" t="str">
        <f>IF((COUNTIF(E339, "*在宅医療等で用いられる生体計測機器*"))=1,"〇","X")</f>
        <v>X</v>
      </c>
      <c r="Q339" s="261" t="str">
        <f>IF((COUNTIF(F339, "*在宅医療等で用いられる生体計測機器*"))=1,"〇","X")</f>
        <v>X</v>
      </c>
    </row>
    <row r="340" spans="2:17" ht="27" x14ac:dyDescent="0.15">
      <c r="B340" s="262"/>
      <c r="C340" s="263" t="s">
        <v>804</v>
      </c>
      <c r="D340" s="279" t="s">
        <v>187</v>
      </c>
      <c r="E340" s="265"/>
      <c r="F340" s="265"/>
      <c r="G340" s="266"/>
      <c r="J340" s="234" t="str">
        <f t="shared" si="7"/>
        <v>×</v>
      </c>
      <c r="K340" s="267" t="str">
        <f>C340</f>
        <v>６　計測機器を用いた臨床支援技術
　　の実際</v>
      </c>
      <c r="L340" s="268"/>
      <c r="M340" s="268"/>
      <c r="N340" s="269"/>
      <c r="P340" s="261" t="str">
        <f>IF((COUNTIF(E340, "*計測機器を用いた臨床支援技術の実際*"))=1,"〇","X")</f>
        <v>X</v>
      </c>
      <c r="Q340" s="261" t="str">
        <f>IF((COUNTIF(F340, "*計測機器を用いた臨床支援技術の実際*"))=1,"〇","X")</f>
        <v>X</v>
      </c>
    </row>
    <row r="341" spans="2:17" ht="14.25" thickBot="1" x14ac:dyDescent="0.2">
      <c r="B341" s="283"/>
      <c r="C341" s="273" t="s">
        <v>463</v>
      </c>
      <c r="D341" s="274" t="s">
        <v>187</v>
      </c>
      <c r="E341" s="275"/>
      <c r="F341" s="275"/>
      <c r="G341" s="276"/>
      <c r="J341" s="234" t="str">
        <f t="shared" si="7"/>
        <v>×</v>
      </c>
      <c r="K341" s="267" t="str">
        <f>C341</f>
        <v>７　実習</v>
      </c>
      <c r="L341" s="268"/>
      <c r="M341" s="268"/>
      <c r="N341" s="269"/>
      <c r="P341" s="261" t="str">
        <f>IF((COUNTIF(E341, "*実習*"))=1,"〇","X")</f>
        <v>X</v>
      </c>
      <c r="Q341" s="261" t="str">
        <f>IF((COUNTIF(F341, "*実習*"))=1,"〇","X")</f>
        <v>X</v>
      </c>
    </row>
    <row r="342" spans="2:17" ht="27" x14ac:dyDescent="0.15">
      <c r="B342" s="262" t="s">
        <v>53</v>
      </c>
      <c r="C342" s="286" t="s">
        <v>805</v>
      </c>
      <c r="D342" s="284" t="s">
        <v>187</v>
      </c>
      <c r="E342" s="277"/>
      <c r="F342" s="277"/>
      <c r="G342" s="278"/>
      <c r="J342" s="234" t="str">
        <f t="shared" si="7"/>
        <v>×</v>
      </c>
      <c r="K342" s="267" t="str">
        <f>C342</f>
        <v>１　臨床支援技術に必要な実践的
　　知識の基礎</v>
      </c>
      <c r="L342" s="268"/>
      <c r="M342" s="268"/>
      <c r="N342" s="268"/>
      <c r="P342" s="261" t="str">
        <f>IF((COUNTIF(E342, "*臨床支援技術に必要な実践的知識の基礎*"))=1,"〇","X")</f>
        <v>X</v>
      </c>
      <c r="Q342" s="261" t="str">
        <f>IF((COUNTIF(F342, "*臨床支援技術に必要な実践的知識の基礎*"))=1,"〇","X")</f>
        <v>X</v>
      </c>
    </row>
    <row r="343" spans="2:17" x14ac:dyDescent="0.15">
      <c r="B343" s="262"/>
      <c r="C343" s="263" t="s">
        <v>464</v>
      </c>
      <c r="D343" s="279"/>
      <c r="E343" s="265"/>
      <c r="F343" s="265"/>
      <c r="G343" s="266"/>
      <c r="J343" s="234"/>
    </row>
    <row r="344" spans="2:17" x14ac:dyDescent="0.15">
      <c r="B344" s="262"/>
      <c r="C344" s="263" t="s">
        <v>465</v>
      </c>
      <c r="D344" s="279"/>
      <c r="E344" s="265"/>
      <c r="F344" s="265"/>
      <c r="G344" s="266"/>
      <c r="J344" s="234" t="str">
        <f t="shared" si="7"/>
        <v/>
      </c>
    </row>
    <row r="345" spans="2:17" ht="27" x14ac:dyDescent="0.15">
      <c r="B345" s="262"/>
      <c r="C345" s="263" t="s">
        <v>806</v>
      </c>
      <c r="D345" s="264" t="s">
        <v>187</v>
      </c>
      <c r="E345" s="265"/>
      <c r="F345" s="265"/>
      <c r="G345" s="266"/>
      <c r="J345" s="234" t="str">
        <f t="shared" si="7"/>
        <v>×</v>
      </c>
      <c r="K345" s="267" t="str">
        <f t="shared" ref="K345:K352" si="8">C345</f>
        <v>２　臨床支援技術に必要な医工学
　　の基礎</v>
      </c>
      <c r="L345" s="268"/>
      <c r="M345" s="268"/>
      <c r="N345" s="269"/>
      <c r="P345" s="261" t="str">
        <f>IF((COUNTIF(E345, "*臨床支援技術に必要な医工学の基礎*"))=1,"〇","X")</f>
        <v>X</v>
      </c>
      <c r="Q345" s="261" t="str">
        <f>IF((COUNTIF(F345, "*臨床支援技術に必要な医工学の基礎*"))=1,"〇","X")</f>
        <v>X</v>
      </c>
    </row>
    <row r="346" spans="2:17" x14ac:dyDescent="0.15">
      <c r="B346" s="262"/>
      <c r="C346" s="263" t="s">
        <v>466</v>
      </c>
      <c r="D346" s="264" t="s">
        <v>187</v>
      </c>
      <c r="E346" s="265"/>
      <c r="F346" s="265"/>
      <c r="G346" s="266"/>
      <c r="J346" s="234" t="str">
        <f t="shared" si="7"/>
        <v>×</v>
      </c>
      <c r="K346" s="267" t="str">
        <f t="shared" si="8"/>
        <v>（１）内視鏡治療・検査関連機器</v>
      </c>
      <c r="L346" s="268"/>
      <c r="M346" s="268"/>
      <c r="N346" s="269"/>
      <c r="P346" s="261" t="str">
        <f>IF((COUNTIF(E346, "*内視鏡治療・検査関連機器*"))=1,"〇","X")</f>
        <v>X</v>
      </c>
      <c r="Q346" s="261" t="str">
        <f>IF((COUNTIF(F346, "*内視鏡治療・検査関連機器*"))=1,"〇","X")</f>
        <v>X</v>
      </c>
    </row>
    <row r="347" spans="2:17" ht="27" x14ac:dyDescent="0.15">
      <c r="B347" s="262"/>
      <c r="C347" s="263" t="s">
        <v>807</v>
      </c>
      <c r="D347" s="264" t="s">
        <v>187</v>
      </c>
      <c r="E347" s="265"/>
      <c r="F347" s="265"/>
      <c r="G347" s="266"/>
      <c r="J347" s="234" t="str">
        <f t="shared" si="7"/>
        <v>×</v>
      </c>
      <c r="K347" s="267" t="str">
        <f t="shared" si="8"/>
        <v>（２）内視鏡による外科的治療関連
　　機器</v>
      </c>
      <c r="L347" s="268"/>
      <c r="M347" s="268"/>
      <c r="N347" s="269"/>
      <c r="P347" s="261" t="str">
        <f>IF((COUNTIF(E347, "*内視鏡による外科的治療関連機器*"))=1,"〇","X")</f>
        <v>X</v>
      </c>
      <c r="Q347" s="261" t="str">
        <f>IF((COUNTIF(F347, "*内視鏡による外科的治療関連機器*"))=1,"〇","X")</f>
        <v>X</v>
      </c>
    </row>
    <row r="348" spans="2:17" x14ac:dyDescent="0.15">
      <c r="B348" s="262"/>
      <c r="C348" s="263" t="s">
        <v>467</v>
      </c>
      <c r="D348" s="279" t="s">
        <v>187</v>
      </c>
      <c r="E348" s="265"/>
      <c r="F348" s="265"/>
      <c r="G348" s="266"/>
      <c r="J348" s="234" t="str">
        <f t="shared" si="7"/>
        <v>×</v>
      </c>
      <c r="K348" s="267" t="str">
        <f t="shared" si="8"/>
        <v>（３）心・血管カテーテル関連機器</v>
      </c>
      <c r="L348" s="268"/>
      <c r="M348" s="268"/>
      <c r="N348" s="269"/>
      <c r="P348" s="261" t="str">
        <f>IF((COUNTIF(E348, "*心・血管カテーテル関連機器*"))=1,"〇","X")</f>
        <v>X</v>
      </c>
      <c r="Q348" s="261" t="str">
        <f>IF((COUNTIF(F348, "*心・血管カテーテル関連機器*"))=1,"〇","X")</f>
        <v>X</v>
      </c>
    </row>
    <row r="349" spans="2:17" x14ac:dyDescent="0.15">
      <c r="B349" s="262"/>
      <c r="C349" s="263" t="s">
        <v>468</v>
      </c>
      <c r="D349" s="264" t="s">
        <v>187</v>
      </c>
      <c r="E349" s="265"/>
      <c r="F349" s="265"/>
      <c r="G349" s="266"/>
      <c r="J349" s="234" t="str">
        <f t="shared" si="7"/>
        <v>×</v>
      </c>
      <c r="K349" s="267" t="str">
        <f t="shared" si="8"/>
        <v>３　各種治療・検査法の実際</v>
      </c>
      <c r="L349" s="268"/>
      <c r="M349" s="268"/>
      <c r="N349" s="269"/>
      <c r="P349" s="261" t="str">
        <f>IF((COUNTIF(E349, "*各種治療・検査法の実際*"))=1,"〇","X")</f>
        <v>X</v>
      </c>
      <c r="Q349" s="261" t="str">
        <f>IF((COUNTIF(F349, "*各種治療・検査法の実際*"))=1,"〇","X")</f>
        <v>X</v>
      </c>
    </row>
    <row r="350" spans="2:17" x14ac:dyDescent="0.15">
      <c r="B350" s="262"/>
      <c r="C350" s="263" t="s">
        <v>469</v>
      </c>
      <c r="D350" s="264" t="s">
        <v>187</v>
      </c>
      <c r="E350" s="265"/>
      <c r="F350" s="265"/>
      <c r="G350" s="266"/>
      <c r="J350" s="234" t="str">
        <f t="shared" si="7"/>
        <v>×</v>
      </c>
      <c r="K350" s="267" t="str">
        <f t="shared" si="8"/>
        <v>（１）内視鏡治療・検査法の手技</v>
      </c>
      <c r="L350" s="268"/>
      <c r="M350" s="268"/>
      <c r="N350" s="269"/>
      <c r="P350" s="261" t="str">
        <f>IF((COUNTIF(E350, "*内視鏡治療・検査法の手技*"))=1,"〇","X")</f>
        <v>X</v>
      </c>
      <c r="Q350" s="261" t="str">
        <f>IF((COUNTIF(F350, "*内視鏡治療・検査法の手技*"))=1,"〇","X")</f>
        <v>X</v>
      </c>
    </row>
    <row r="351" spans="2:17" ht="27" x14ac:dyDescent="0.15">
      <c r="B351" s="262"/>
      <c r="C351" s="263" t="s">
        <v>808</v>
      </c>
      <c r="D351" s="264" t="s">
        <v>187</v>
      </c>
      <c r="E351" s="265"/>
      <c r="F351" s="265"/>
      <c r="G351" s="266"/>
      <c r="J351" s="234" t="str">
        <f t="shared" si="7"/>
        <v>×</v>
      </c>
      <c r="K351" s="267" t="str">
        <f t="shared" si="8"/>
        <v>（２）心・血管カテーテル治療・
　　検査の手技</v>
      </c>
      <c r="L351" s="268"/>
      <c r="M351" s="268"/>
      <c r="N351" s="268"/>
      <c r="P351" s="261" t="str">
        <f>IF((COUNTIF(E351, "*心・血管カテーテル治療・検査の手技*"))=1,"〇","X")</f>
        <v>X</v>
      </c>
      <c r="Q351" s="261" t="str">
        <f>IF((COUNTIF(F351, "*心・血管カテーテル治療・検査の手技*"))=1,"〇","X")</f>
        <v>X</v>
      </c>
    </row>
    <row r="352" spans="2:17" ht="14.25" thickBot="1" x14ac:dyDescent="0.2">
      <c r="B352" s="283"/>
      <c r="C352" s="273" t="s">
        <v>470</v>
      </c>
      <c r="D352" s="274" t="s">
        <v>187</v>
      </c>
      <c r="E352" s="275"/>
      <c r="F352" s="275"/>
      <c r="G352" s="276"/>
      <c r="J352" s="234" t="str">
        <f t="shared" si="7"/>
        <v>×</v>
      </c>
      <c r="K352" s="267" t="str">
        <f t="shared" si="8"/>
        <v>４　演習・実習</v>
      </c>
      <c r="L352" s="268"/>
      <c r="M352" s="268"/>
      <c r="N352" s="269"/>
      <c r="P352" s="261" t="str">
        <f>IF((COUNTIF(E352, "*演習・実習*"))=1,"〇","X")</f>
        <v>X</v>
      </c>
      <c r="Q352" s="261" t="str">
        <f>IF((COUNTIF(F352, "*演習・実習*"))=1,"〇","X")</f>
        <v>X</v>
      </c>
    </row>
    <row r="353" spans="2:17" x14ac:dyDescent="0.15">
      <c r="B353" s="262" t="s">
        <v>54</v>
      </c>
      <c r="C353" s="286" t="s">
        <v>471</v>
      </c>
      <c r="D353" s="279" t="s">
        <v>187</v>
      </c>
      <c r="E353" s="277"/>
      <c r="F353" s="277"/>
      <c r="G353" s="278"/>
      <c r="J353" s="234" t="str">
        <f t="shared" si="7"/>
        <v>×</v>
      </c>
      <c r="K353" s="267" t="str">
        <f>C353</f>
        <v>１　呼吸療法装置</v>
      </c>
      <c r="L353" s="268"/>
      <c r="M353" s="268"/>
      <c r="N353" s="269"/>
      <c r="P353" s="261" t="str">
        <f>IF((COUNTIF(E353, "*呼吸療法装置*"))=1,"〇","X")</f>
        <v>X</v>
      </c>
      <c r="Q353" s="261" t="str">
        <f>IF((COUNTIF(F353, "*呼吸療法装置*"))=1,"〇","X")</f>
        <v>X</v>
      </c>
    </row>
    <row r="354" spans="2:17" x14ac:dyDescent="0.15">
      <c r="B354" s="262"/>
      <c r="C354" s="263" t="s">
        <v>472</v>
      </c>
      <c r="D354" s="279"/>
      <c r="E354" s="265"/>
      <c r="F354" s="265"/>
      <c r="G354" s="266"/>
      <c r="J354" s="234" t="str">
        <f t="shared" si="7"/>
        <v/>
      </c>
    </row>
    <row r="355" spans="2:17" x14ac:dyDescent="0.15">
      <c r="B355" s="262"/>
      <c r="C355" s="263" t="s">
        <v>473</v>
      </c>
      <c r="D355" s="279"/>
      <c r="E355" s="265"/>
      <c r="F355" s="265"/>
      <c r="G355" s="266"/>
      <c r="J355" s="234" t="str">
        <f t="shared" si="7"/>
        <v/>
      </c>
    </row>
    <row r="356" spans="2:17" x14ac:dyDescent="0.15">
      <c r="B356" s="262"/>
      <c r="C356" s="263" t="s">
        <v>474</v>
      </c>
      <c r="D356" s="279"/>
      <c r="E356" s="265"/>
      <c r="F356" s="265"/>
      <c r="G356" s="266"/>
      <c r="J356" s="234" t="str">
        <f t="shared" si="7"/>
        <v/>
      </c>
    </row>
    <row r="357" spans="2:17" x14ac:dyDescent="0.15">
      <c r="B357" s="262"/>
      <c r="C357" s="263" t="s">
        <v>475</v>
      </c>
      <c r="D357" s="279"/>
      <c r="E357" s="265"/>
      <c r="F357" s="265"/>
      <c r="G357" s="266"/>
      <c r="J357" s="234" t="str">
        <f t="shared" si="7"/>
        <v/>
      </c>
    </row>
    <row r="358" spans="2:17" ht="27" x14ac:dyDescent="0.15">
      <c r="B358" s="262"/>
      <c r="C358" s="263" t="s">
        <v>809</v>
      </c>
      <c r="D358" s="279" t="s">
        <v>187</v>
      </c>
      <c r="E358" s="265"/>
      <c r="F358" s="265"/>
      <c r="G358" s="266"/>
      <c r="J358" s="234" t="str">
        <f t="shared" si="7"/>
        <v>×</v>
      </c>
      <c r="K358" s="267" t="str">
        <f>C358</f>
        <v>（５）呼吸療法技術（酸素療法
　　含む）</v>
      </c>
      <c r="L358" s="268"/>
      <c r="M358" s="268"/>
      <c r="N358" s="269"/>
      <c r="P358" s="261" t="str">
        <f>IF((COUNTIF(E358, "*呼吸療法技術（酸素療法含む）*"))=1,"〇","X")</f>
        <v>X</v>
      </c>
      <c r="Q358" s="261" t="str">
        <f>IF((COUNTIF(F358, "*呼吸療法技術（酸素療法含む）*"))=1,"〇","X")</f>
        <v>X</v>
      </c>
    </row>
    <row r="359" spans="2:17" ht="27" x14ac:dyDescent="0.15">
      <c r="B359" s="262"/>
      <c r="C359" s="263" t="s">
        <v>810</v>
      </c>
      <c r="D359" s="279"/>
      <c r="E359" s="265"/>
      <c r="F359" s="265"/>
      <c r="G359" s="266"/>
      <c r="J359" s="234" t="str">
        <f t="shared" si="7"/>
        <v/>
      </c>
    </row>
    <row r="360" spans="2:17" x14ac:dyDescent="0.15">
      <c r="B360" s="262"/>
      <c r="C360" s="263" t="s">
        <v>476</v>
      </c>
      <c r="D360" s="279"/>
      <c r="E360" s="265"/>
      <c r="F360" s="265"/>
      <c r="G360" s="266"/>
      <c r="J360" s="234" t="str">
        <f t="shared" si="7"/>
        <v/>
      </c>
    </row>
    <row r="361" spans="2:17" x14ac:dyDescent="0.15">
      <c r="B361" s="262"/>
      <c r="C361" s="263" t="s">
        <v>477</v>
      </c>
      <c r="D361" s="279"/>
      <c r="E361" s="265"/>
      <c r="F361" s="265"/>
      <c r="G361" s="266"/>
      <c r="J361" s="234" t="str">
        <f t="shared" si="7"/>
        <v/>
      </c>
    </row>
    <row r="362" spans="2:17" x14ac:dyDescent="0.15">
      <c r="B362" s="262"/>
      <c r="C362" s="263" t="s">
        <v>478</v>
      </c>
      <c r="D362" s="279"/>
      <c r="E362" s="265"/>
      <c r="F362" s="265"/>
      <c r="G362" s="266"/>
      <c r="J362" s="234" t="str">
        <f t="shared" si="7"/>
        <v/>
      </c>
    </row>
    <row r="363" spans="2:17" x14ac:dyDescent="0.15">
      <c r="B363" s="262"/>
      <c r="C363" s="263" t="s">
        <v>479</v>
      </c>
      <c r="D363" s="279" t="s">
        <v>187</v>
      </c>
      <c r="E363" s="265"/>
      <c r="F363" s="265"/>
      <c r="G363" s="266"/>
      <c r="J363" s="234" t="str">
        <f t="shared" si="7"/>
        <v>×</v>
      </c>
      <c r="K363" s="267" t="str">
        <f>C363</f>
        <v>（10）保守点検技術</v>
      </c>
      <c r="L363" s="268"/>
      <c r="M363" s="268"/>
      <c r="N363" s="269"/>
      <c r="P363" s="261" t="str">
        <f>IF((COUNTIF(E363, "*保守点検技術*"))=1,"〇","X")</f>
        <v>X</v>
      </c>
      <c r="Q363" s="261" t="str">
        <f>IF((COUNTIF(F363, "*保守点検技術*"))=1,"〇","X")</f>
        <v>X</v>
      </c>
    </row>
    <row r="364" spans="2:17" x14ac:dyDescent="0.15">
      <c r="B364" s="262"/>
      <c r="C364" s="263" t="s">
        <v>480</v>
      </c>
      <c r="D364" s="279"/>
      <c r="E364" s="265"/>
      <c r="F364" s="265"/>
      <c r="G364" s="266"/>
      <c r="J364" s="234" t="str">
        <f t="shared" si="7"/>
        <v/>
      </c>
    </row>
    <row r="365" spans="2:17" x14ac:dyDescent="0.15">
      <c r="B365" s="262"/>
      <c r="C365" s="263" t="s">
        <v>481</v>
      </c>
      <c r="D365" s="279" t="s">
        <v>187</v>
      </c>
      <c r="E365" s="265"/>
      <c r="F365" s="265"/>
      <c r="G365" s="266"/>
      <c r="J365" s="234" t="str">
        <f t="shared" si="7"/>
        <v>×</v>
      </c>
      <c r="K365" s="267" t="str">
        <f>C365</f>
        <v>（12）在宅酸素療法</v>
      </c>
      <c r="L365" s="268"/>
      <c r="M365" s="268"/>
      <c r="N365" s="269"/>
      <c r="P365" s="261" t="str">
        <f>IF((COUNTIF(E365, "*在宅酸素療法*"))=1,"〇","X")</f>
        <v>X</v>
      </c>
      <c r="Q365" s="261" t="str">
        <f>IF((COUNTIF(F365, "*在宅酸素療法*"))=1,"〇","X")</f>
        <v>X</v>
      </c>
    </row>
    <row r="366" spans="2:17" x14ac:dyDescent="0.15">
      <c r="B366" s="262"/>
      <c r="C366" s="263" t="s">
        <v>482</v>
      </c>
      <c r="D366" s="279" t="s">
        <v>187</v>
      </c>
      <c r="E366" s="265"/>
      <c r="F366" s="265"/>
      <c r="G366" s="266"/>
      <c r="J366" s="234" t="str">
        <f t="shared" si="7"/>
        <v>×</v>
      </c>
      <c r="K366" s="267" t="str">
        <f>C366</f>
        <v>（13）ECMO</v>
      </c>
      <c r="L366" s="268"/>
      <c r="M366" s="268"/>
      <c r="N366" s="269"/>
      <c r="P366" s="261" t="str">
        <f>IF((COUNTIF(E366, "*ECMO*"))=1,"〇","X")</f>
        <v>X</v>
      </c>
      <c r="Q366" s="261" t="str">
        <f>IF((COUNTIF(F366, "*ECMO*"))=1,"〇","X")</f>
        <v>X</v>
      </c>
    </row>
    <row r="367" spans="2:17" x14ac:dyDescent="0.15">
      <c r="B367" s="262"/>
      <c r="C367" s="263" t="s">
        <v>483</v>
      </c>
      <c r="D367" s="279" t="s">
        <v>187</v>
      </c>
      <c r="E367" s="265"/>
      <c r="F367" s="265"/>
      <c r="G367" s="266"/>
      <c r="J367" s="234" t="str">
        <f t="shared" si="7"/>
        <v>×</v>
      </c>
      <c r="K367" s="267" t="str">
        <f>C367</f>
        <v>（14）実習</v>
      </c>
      <c r="L367" s="268"/>
      <c r="M367" s="268"/>
      <c r="N367" s="269"/>
      <c r="P367" s="261" t="str">
        <f>IF((COUNTIF(E367, "*実習*"))=1,"〇","X")</f>
        <v>X</v>
      </c>
      <c r="Q367" s="261" t="str">
        <f>IF((COUNTIF(F367, "*実習*"))=1,"〇","X")</f>
        <v>X</v>
      </c>
    </row>
    <row r="368" spans="2:17" x14ac:dyDescent="0.15">
      <c r="B368" s="262"/>
      <c r="C368" s="263" t="s">
        <v>484</v>
      </c>
      <c r="D368" s="279" t="s">
        <v>187</v>
      </c>
      <c r="E368" s="265"/>
      <c r="F368" s="265"/>
      <c r="G368" s="266"/>
      <c r="J368" s="234" t="str">
        <f t="shared" si="7"/>
        <v>×</v>
      </c>
      <c r="K368" s="267" t="str">
        <f>C368</f>
        <v>２　体外循環装置</v>
      </c>
      <c r="L368" s="268"/>
      <c r="M368" s="268"/>
      <c r="N368" s="269"/>
      <c r="P368" s="261" t="str">
        <f>IF((COUNTIF(E368, "*体外循環装置*"))=1,"〇","X")</f>
        <v>X</v>
      </c>
      <c r="Q368" s="261" t="str">
        <f>IF((COUNTIF(F368, "*体外循環装置*"))=1,"〇","X")</f>
        <v>X</v>
      </c>
    </row>
    <row r="369" spans="2:17" x14ac:dyDescent="0.15">
      <c r="B369" s="262"/>
      <c r="C369" s="263" t="s">
        <v>472</v>
      </c>
      <c r="D369" s="279"/>
      <c r="E369" s="265"/>
      <c r="F369" s="265"/>
      <c r="G369" s="266"/>
      <c r="J369" s="234" t="str">
        <f t="shared" si="7"/>
        <v/>
      </c>
    </row>
    <row r="370" spans="2:17" x14ac:dyDescent="0.15">
      <c r="B370" s="262"/>
      <c r="C370" s="263" t="s">
        <v>485</v>
      </c>
      <c r="D370" s="279"/>
      <c r="E370" s="265"/>
      <c r="F370" s="265"/>
      <c r="G370" s="266"/>
      <c r="J370" s="234" t="str">
        <f t="shared" si="7"/>
        <v/>
      </c>
    </row>
    <row r="371" spans="2:17" x14ac:dyDescent="0.15">
      <c r="B371" s="262"/>
      <c r="C371" s="263" t="s">
        <v>474</v>
      </c>
      <c r="D371" s="295"/>
      <c r="E371" s="265"/>
      <c r="F371" s="265"/>
      <c r="G371" s="266"/>
      <c r="J371" s="234" t="str">
        <f t="shared" si="7"/>
        <v/>
      </c>
    </row>
    <row r="372" spans="2:17" x14ac:dyDescent="0.15">
      <c r="B372" s="262"/>
      <c r="C372" s="263" t="s">
        <v>486</v>
      </c>
      <c r="D372" s="295"/>
      <c r="E372" s="265"/>
      <c r="F372" s="265"/>
      <c r="G372" s="266"/>
      <c r="J372" s="234" t="str">
        <f t="shared" si="7"/>
        <v/>
      </c>
    </row>
    <row r="373" spans="2:17" x14ac:dyDescent="0.15">
      <c r="B373" s="262"/>
      <c r="C373" s="263" t="s">
        <v>487</v>
      </c>
      <c r="D373" s="295"/>
      <c r="E373" s="265"/>
      <c r="F373" s="265"/>
      <c r="G373" s="266"/>
      <c r="J373" s="234" t="str">
        <f t="shared" si="7"/>
        <v/>
      </c>
    </row>
    <row r="374" spans="2:17" x14ac:dyDescent="0.15">
      <c r="B374" s="262"/>
      <c r="C374" s="286" t="s">
        <v>488</v>
      </c>
      <c r="D374" s="284" t="s">
        <v>187</v>
      </c>
      <c r="E374" s="277"/>
      <c r="F374" s="277"/>
      <c r="G374" s="278"/>
      <c r="J374" s="234" t="str">
        <f t="shared" si="7"/>
        <v>×</v>
      </c>
      <c r="K374" s="267" t="str">
        <f>C374</f>
        <v>（６）体外循環技術</v>
      </c>
      <c r="L374" s="268"/>
      <c r="M374" s="268"/>
      <c r="N374" s="269"/>
      <c r="P374" s="261" t="str">
        <f>IF((COUNTIF(E374, "*体外循環技術*"))=1,"〇","X")</f>
        <v>X</v>
      </c>
      <c r="Q374" s="261" t="str">
        <f>IF((COUNTIF(F374, "*体外循環技術*"))=1,"〇","X")</f>
        <v>X</v>
      </c>
    </row>
    <row r="375" spans="2:17" x14ac:dyDescent="0.15">
      <c r="B375" s="262"/>
      <c r="C375" s="286" t="s">
        <v>489</v>
      </c>
      <c r="D375" s="284"/>
      <c r="E375" s="277"/>
      <c r="F375" s="277"/>
      <c r="G375" s="278"/>
      <c r="J375" s="234" t="str">
        <f t="shared" si="7"/>
        <v/>
      </c>
    </row>
    <row r="376" spans="2:17" ht="27" x14ac:dyDescent="0.15">
      <c r="B376" s="262"/>
      <c r="C376" s="263" t="s">
        <v>811</v>
      </c>
      <c r="D376" s="264"/>
      <c r="E376" s="265"/>
      <c r="F376" s="265"/>
      <c r="G376" s="266"/>
      <c r="J376" s="234" t="str">
        <f t="shared" si="7"/>
        <v/>
      </c>
    </row>
    <row r="377" spans="2:17" x14ac:dyDescent="0.15">
      <c r="B377" s="262"/>
      <c r="C377" s="263" t="s">
        <v>490</v>
      </c>
      <c r="D377" s="284" t="s">
        <v>187</v>
      </c>
      <c r="E377" s="265"/>
      <c r="F377" s="265"/>
      <c r="G377" s="266"/>
      <c r="J377" s="234" t="str">
        <f t="shared" si="7"/>
        <v>×</v>
      </c>
      <c r="K377" s="267" t="str">
        <f>C377</f>
        <v>（９）患者管理</v>
      </c>
      <c r="L377" s="268"/>
      <c r="M377" s="268"/>
      <c r="N377" s="269"/>
      <c r="P377" s="261" t="str">
        <f>IF((COUNTIF(E377, "*患者管理*"))=1,"〇","X")</f>
        <v>X</v>
      </c>
      <c r="Q377" s="261" t="str">
        <f>IF((COUNTIF(F377, "*患者管理*"))=1,"〇","X")</f>
        <v>X</v>
      </c>
    </row>
    <row r="378" spans="2:17" x14ac:dyDescent="0.15">
      <c r="B378" s="262"/>
      <c r="C378" s="263" t="s">
        <v>491</v>
      </c>
      <c r="D378" s="284"/>
      <c r="E378" s="265"/>
      <c r="F378" s="265"/>
      <c r="G378" s="266"/>
      <c r="J378" s="234" t="str">
        <f t="shared" si="7"/>
        <v/>
      </c>
    </row>
    <row r="379" spans="2:17" x14ac:dyDescent="0.15">
      <c r="B379" s="297"/>
      <c r="C379" s="263" t="s">
        <v>492</v>
      </c>
      <c r="D379" s="264"/>
      <c r="E379" s="265"/>
      <c r="F379" s="265"/>
      <c r="G379" s="266"/>
      <c r="J379" s="234" t="str">
        <f t="shared" si="7"/>
        <v/>
      </c>
    </row>
    <row r="380" spans="2:17" x14ac:dyDescent="0.15">
      <c r="B380" s="297"/>
      <c r="C380" s="263" t="s">
        <v>493</v>
      </c>
      <c r="D380" s="264" t="s">
        <v>187</v>
      </c>
      <c r="E380" s="265"/>
      <c r="F380" s="265"/>
      <c r="G380" s="266"/>
      <c r="J380" s="234" t="str">
        <f t="shared" si="7"/>
        <v>×</v>
      </c>
      <c r="K380" s="267" t="str">
        <f>C380</f>
        <v>（12）保守点検技術</v>
      </c>
      <c r="L380" s="268"/>
      <c r="M380" s="268"/>
      <c r="N380" s="269"/>
      <c r="P380" s="261" t="str">
        <f>IF((COUNTIF(E380, "*保守点検技術*"))=1,"〇","X")</f>
        <v>X</v>
      </c>
      <c r="Q380" s="261" t="str">
        <f>IF((COUNTIF(F380, "*保守点検技術*"))=1,"〇","X")</f>
        <v>X</v>
      </c>
    </row>
    <row r="381" spans="2:17" x14ac:dyDescent="0.15">
      <c r="B381" s="297"/>
      <c r="C381" s="263" t="s">
        <v>494</v>
      </c>
      <c r="D381" s="284" t="s">
        <v>187</v>
      </c>
      <c r="E381" s="265"/>
      <c r="F381" s="265"/>
      <c r="G381" s="266"/>
      <c r="J381" s="234" t="str">
        <f t="shared" si="7"/>
        <v>×</v>
      </c>
      <c r="K381" s="267" t="str">
        <f>C381</f>
        <v>（13）実習</v>
      </c>
      <c r="L381" s="268"/>
      <c r="M381" s="268"/>
      <c r="N381" s="269"/>
      <c r="P381" s="261" t="str">
        <f>IF((COUNTIF(E381, "*実習*"))=1,"〇","X")</f>
        <v>X</v>
      </c>
      <c r="Q381" s="261" t="str">
        <f>IF((COUNTIF(F381, "*実習*"))=1,"〇","X")</f>
        <v>X</v>
      </c>
    </row>
    <row r="382" spans="2:17" ht="27" x14ac:dyDescent="0.15">
      <c r="B382" s="297"/>
      <c r="C382" s="263" t="s">
        <v>812</v>
      </c>
      <c r="D382" s="279" t="s">
        <v>187</v>
      </c>
      <c r="E382" s="265"/>
      <c r="F382" s="265"/>
      <c r="G382" s="266"/>
      <c r="J382" s="234" t="str">
        <f t="shared" si="7"/>
        <v>×</v>
      </c>
      <c r="K382" s="267" t="str">
        <f>C382</f>
        <v>３　血液浄化装置（人工透析装置
　　を含む）</v>
      </c>
      <c r="L382" s="268"/>
      <c r="M382" s="268"/>
      <c r="N382" s="269"/>
      <c r="P382" s="261" t="str">
        <f>IF((COUNTIF(E382, "*血液浄化装置（人工透析装置を含む）*"))=1,"〇","X")</f>
        <v>X</v>
      </c>
      <c r="Q382" s="261" t="str">
        <f>IF((COUNTIF(F382, "*血液浄化装置（人工透析装置を含む）*"))=1,"〇","X")</f>
        <v>X</v>
      </c>
    </row>
    <row r="383" spans="2:17" x14ac:dyDescent="0.15">
      <c r="B383" s="297"/>
      <c r="C383" s="263" t="s">
        <v>472</v>
      </c>
      <c r="D383" s="264"/>
      <c r="E383" s="265"/>
      <c r="F383" s="265"/>
      <c r="G383" s="266"/>
      <c r="J383" s="234" t="str">
        <f t="shared" si="7"/>
        <v/>
      </c>
    </row>
    <row r="384" spans="2:17" x14ac:dyDescent="0.15">
      <c r="B384" s="297"/>
      <c r="C384" s="263" t="s">
        <v>495</v>
      </c>
      <c r="D384" s="264"/>
      <c r="E384" s="265"/>
      <c r="F384" s="265"/>
      <c r="G384" s="266"/>
      <c r="J384" s="234" t="str">
        <f t="shared" si="7"/>
        <v/>
      </c>
    </row>
    <row r="385" spans="2:17" x14ac:dyDescent="0.15">
      <c r="B385" s="297"/>
      <c r="C385" s="263" t="s">
        <v>474</v>
      </c>
      <c r="D385" s="264"/>
      <c r="E385" s="265"/>
      <c r="F385" s="265"/>
      <c r="G385" s="266"/>
      <c r="J385" s="234" t="str">
        <f t="shared" si="7"/>
        <v/>
      </c>
    </row>
    <row r="386" spans="2:17" x14ac:dyDescent="0.15">
      <c r="B386" s="297"/>
      <c r="C386" s="263" t="s">
        <v>496</v>
      </c>
      <c r="D386" s="264"/>
      <c r="E386" s="265"/>
      <c r="F386" s="265"/>
      <c r="G386" s="266"/>
      <c r="J386" s="234" t="str">
        <f t="shared" si="7"/>
        <v/>
      </c>
    </row>
    <row r="387" spans="2:17" x14ac:dyDescent="0.15">
      <c r="B387" s="297"/>
      <c r="C387" s="263" t="s">
        <v>497</v>
      </c>
      <c r="D387" s="264"/>
      <c r="E387" s="265"/>
      <c r="F387" s="265"/>
      <c r="G387" s="266"/>
      <c r="J387" s="234" t="str">
        <f t="shared" si="7"/>
        <v/>
      </c>
    </row>
    <row r="388" spans="2:17" ht="40.5" x14ac:dyDescent="0.15">
      <c r="B388" s="297"/>
      <c r="C388" s="263" t="s">
        <v>813</v>
      </c>
      <c r="D388" s="264" t="s">
        <v>187</v>
      </c>
      <c r="E388" s="265"/>
      <c r="F388" s="265"/>
      <c r="G388" s="266"/>
      <c r="J388" s="234" t="str">
        <f t="shared" si="7"/>
        <v>×</v>
      </c>
      <c r="K388" s="267" t="str">
        <f>C388</f>
        <v>（６）血液浄化技術（アフェレー
　　シス、腹膜透析、腹水濾過濃縮
　　含む）</v>
      </c>
      <c r="L388" s="268"/>
      <c r="M388" s="268"/>
      <c r="N388" s="268"/>
      <c r="P388" s="261" t="str">
        <f>IF((COUNTIF(E388, "*血液浄化技術（アフェレーシス、腹膜透析、腹水濾過濃縮含む）*"))=1,"〇","X")</f>
        <v>X</v>
      </c>
      <c r="Q388" s="261" t="str">
        <f>IF((COUNTIF(F388, "*血液浄化技術（アフェレーシス、腹膜透析、腹水濾過濃縮含む）*"))=1,"〇","X")</f>
        <v>X</v>
      </c>
    </row>
    <row r="389" spans="2:17" ht="27" x14ac:dyDescent="0.15">
      <c r="B389" s="297"/>
      <c r="C389" s="263" t="s">
        <v>814</v>
      </c>
      <c r="D389" s="264"/>
      <c r="E389" s="265"/>
      <c r="F389" s="265"/>
      <c r="G389" s="266"/>
      <c r="J389" s="234" t="str">
        <f t="shared" ref="J389:J445" si="9">IF(AND(OR(D389="◎",D389="◎※１"),OR(E389="",F389="",G389="")),"×","")</f>
        <v/>
      </c>
    </row>
    <row r="390" spans="2:17" x14ac:dyDescent="0.15">
      <c r="B390" s="297"/>
      <c r="C390" s="263" t="s">
        <v>498</v>
      </c>
      <c r="D390" s="264"/>
      <c r="E390" s="265"/>
      <c r="F390" s="265"/>
      <c r="G390" s="266"/>
      <c r="J390" s="234" t="str">
        <f t="shared" si="9"/>
        <v/>
      </c>
    </row>
    <row r="391" spans="2:17" x14ac:dyDescent="0.15">
      <c r="B391" s="297"/>
      <c r="C391" s="263" t="s">
        <v>490</v>
      </c>
      <c r="D391" s="264" t="s">
        <v>187</v>
      </c>
      <c r="E391" s="265"/>
      <c r="F391" s="265"/>
      <c r="G391" s="266"/>
      <c r="J391" s="234" t="str">
        <f t="shared" si="9"/>
        <v>×</v>
      </c>
      <c r="K391" s="267" t="str">
        <f>C391</f>
        <v>（９）患者管理</v>
      </c>
      <c r="L391" s="268"/>
      <c r="M391" s="268"/>
      <c r="N391" s="269"/>
      <c r="P391" s="261" t="str">
        <f>IF((COUNTIF(E391, "*患者管理*"))=1,"〇","X")</f>
        <v>X</v>
      </c>
      <c r="Q391" s="261" t="str">
        <f>IF((COUNTIF(F391, "*患者管理*"))=1,"〇","X")</f>
        <v>X</v>
      </c>
    </row>
    <row r="392" spans="2:17" x14ac:dyDescent="0.15">
      <c r="B392" s="297"/>
      <c r="C392" s="263" t="s">
        <v>499</v>
      </c>
      <c r="D392" s="264" t="s">
        <v>187</v>
      </c>
      <c r="E392" s="265"/>
      <c r="F392" s="265"/>
      <c r="G392" s="266"/>
      <c r="J392" s="234" t="str">
        <f t="shared" si="9"/>
        <v>×</v>
      </c>
      <c r="K392" s="267" t="str">
        <f>C392</f>
        <v>（10）バスキュラ-アクセスの管理</v>
      </c>
      <c r="L392" s="268"/>
      <c r="M392" s="268"/>
      <c r="N392" s="269"/>
      <c r="P392" s="261" t="str">
        <f>IF((COUNTIF(E392, "*バスキュラ-アクセスの管理*"))=1,"〇","X")</f>
        <v>X</v>
      </c>
      <c r="Q392" s="261" t="str">
        <f>IF((COUNTIF(F392, "*バスキュラ-アクセスの管理*"))=1,"〇","X")</f>
        <v>X</v>
      </c>
    </row>
    <row r="393" spans="2:17" x14ac:dyDescent="0.15">
      <c r="B393" s="297"/>
      <c r="C393" s="263" t="s">
        <v>500</v>
      </c>
      <c r="D393" s="264"/>
      <c r="E393" s="265"/>
      <c r="F393" s="265"/>
      <c r="G393" s="266"/>
      <c r="J393" s="234" t="str">
        <f t="shared" si="9"/>
        <v/>
      </c>
    </row>
    <row r="394" spans="2:17" x14ac:dyDescent="0.15">
      <c r="B394" s="297"/>
      <c r="C394" s="263" t="s">
        <v>501</v>
      </c>
      <c r="D394" s="264"/>
      <c r="E394" s="265"/>
      <c r="F394" s="265"/>
      <c r="G394" s="266"/>
      <c r="J394" s="234" t="str">
        <f t="shared" si="9"/>
        <v/>
      </c>
    </row>
    <row r="395" spans="2:17" x14ac:dyDescent="0.15">
      <c r="B395" s="262"/>
      <c r="C395" s="263" t="s">
        <v>502</v>
      </c>
      <c r="D395" s="264" t="s">
        <v>187</v>
      </c>
      <c r="E395" s="265"/>
      <c r="F395" s="265"/>
      <c r="G395" s="266"/>
      <c r="J395" s="234" t="str">
        <f t="shared" si="9"/>
        <v>×</v>
      </c>
      <c r="K395" s="267" t="str">
        <f>C395</f>
        <v>（13）保守点検技術</v>
      </c>
      <c r="L395" s="268"/>
      <c r="M395" s="268"/>
      <c r="N395" s="269"/>
      <c r="P395" s="261" t="str">
        <f>IF((COUNTIF(E395, "*保守点検技術*"))=1,"〇","X")</f>
        <v>X</v>
      </c>
      <c r="Q395" s="261" t="str">
        <f>IF((COUNTIF(F395, "*保守点検技術*"))=1,"〇","X")</f>
        <v>X</v>
      </c>
    </row>
    <row r="396" spans="2:17" ht="14.25" thickBot="1" x14ac:dyDescent="0.2">
      <c r="B396" s="283"/>
      <c r="C396" s="273" t="s">
        <v>483</v>
      </c>
      <c r="D396" s="274" t="s">
        <v>187</v>
      </c>
      <c r="E396" s="275"/>
      <c r="F396" s="275"/>
      <c r="G396" s="276"/>
      <c r="J396" s="234" t="str">
        <f t="shared" si="9"/>
        <v>×</v>
      </c>
      <c r="K396" s="267" t="str">
        <f>C396</f>
        <v>（14）実習</v>
      </c>
      <c r="L396" s="268"/>
      <c r="M396" s="268"/>
      <c r="N396" s="269"/>
      <c r="P396" s="261" t="str">
        <f>IF((COUNTIF(E396, "*実習*"))=1,"〇","X")</f>
        <v>X</v>
      </c>
      <c r="Q396" s="261" t="str">
        <f>IF((COUNTIF(F396, "*実習*"))=1,"〇","X")</f>
        <v>X</v>
      </c>
    </row>
    <row r="397" spans="2:17" x14ac:dyDescent="0.15">
      <c r="B397" s="262" t="s">
        <v>55</v>
      </c>
      <c r="C397" s="254" t="s">
        <v>503</v>
      </c>
      <c r="D397" s="282" t="s">
        <v>358</v>
      </c>
      <c r="E397" s="277"/>
      <c r="F397" s="277"/>
      <c r="G397" s="278"/>
      <c r="J397" s="234" t="str">
        <f t="shared" si="9"/>
        <v>×</v>
      </c>
      <c r="K397" s="267" t="str">
        <f>C397</f>
        <v xml:space="preserve">１　臨床工学の概念 </v>
      </c>
      <c r="L397" s="268"/>
      <c r="M397" s="268"/>
      <c r="N397" s="269"/>
      <c r="P397" s="261" t="str">
        <f>IF((COUNTIF(E397, "*臨床工学の概念 *"))=1,"〇","X")</f>
        <v>X</v>
      </c>
      <c r="Q397" s="261" t="str">
        <f>IF((COUNTIF(F397, "*臨床工学の概念 *"))=1,"〇","X")</f>
        <v>X</v>
      </c>
    </row>
    <row r="398" spans="2:17" ht="27" x14ac:dyDescent="0.15">
      <c r="B398" s="262"/>
      <c r="C398" s="263" t="s">
        <v>815</v>
      </c>
      <c r="D398" s="279" t="s">
        <v>187</v>
      </c>
      <c r="E398" s="265"/>
      <c r="F398" s="265"/>
      <c r="G398" s="266"/>
      <c r="J398" s="234" t="str">
        <f t="shared" si="9"/>
        <v>×</v>
      </c>
      <c r="K398" s="267" t="str">
        <f>C398</f>
        <v>２　各種エネルギーの人体への危険
　　性</v>
      </c>
      <c r="L398" s="268"/>
      <c r="M398" s="268"/>
      <c r="N398" s="269"/>
      <c r="P398" s="261" t="str">
        <f>IF((COUNTIF(E398, "*各種エネルギーの人体への危険性*"))=1,"〇","X")</f>
        <v>X</v>
      </c>
      <c r="Q398" s="261" t="str">
        <f>IF((COUNTIF(F398, "*各種エネルギーの人体への危険性*"))=1,"〇","X")</f>
        <v>X</v>
      </c>
    </row>
    <row r="399" spans="2:17" x14ac:dyDescent="0.15">
      <c r="B399" s="262"/>
      <c r="C399" s="263" t="s">
        <v>504</v>
      </c>
      <c r="D399" s="279"/>
      <c r="E399" s="265"/>
      <c r="F399" s="265"/>
      <c r="G399" s="266"/>
      <c r="J399" s="234" t="str">
        <f t="shared" si="9"/>
        <v/>
      </c>
    </row>
    <row r="400" spans="2:17" x14ac:dyDescent="0.15">
      <c r="B400" s="262"/>
      <c r="C400" s="263" t="s">
        <v>505</v>
      </c>
      <c r="D400" s="279"/>
      <c r="E400" s="265"/>
      <c r="F400" s="265"/>
      <c r="G400" s="266"/>
      <c r="J400" s="234" t="str">
        <f t="shared" si="9"/>
        <v/>
      </c>
    </row>
    <row r="401" spans="2:17" x14ac:dyDescent="0.15">
      <c r="B401" s="262"/>
      <c r="C401" s="263" t="s">
        <v>506</v>
      </c>
      <c r="D401" s="279"/>
      <c r="E401" s="265"/>
      <c r="F401" s="265"/>
      <c r="G401" s="266"/>
      <c r="J401" s="234" t="str">
        <f t="shared" si="9"/>
        <v/>
      </c>
    </row>
    <row r="402" spans="2:17" x14ac:dyDescent="0.15">
      <c r="B402" s="262"/>
      <c r="C402" s="263" t="s">
        <v>507</v>
      </c>
      <c r="D402" s="279" t="s">
        <v>187</v>
      </c>
      <c r="E402" s="265"/>
      <c r="F402" s="265"/>
      <c r="G402" s="266"/>
      <c r="J402" s="234" t="str">
        <f t="shared" si="9"/>
        <v>×</v>
      </c>
      <c r="K402" s="267" t="str">
        <f>C402</f>
        <v>３　安全基準</v>
      </c>
      <c r="L402" s="268"/>
      <c r="M402" s="268"/>
      <c r="N402" s="269"/>
      <c r="P402" s="261" t="str">
        <f>IF((COUNTIF(E402, "*安全基準*"))=1,"〇","X")</f>
        <v>X</v>
      </c>
      <c r="Q402" s="261" t="str">
        <f>IF((COUNTIF(F402, "*安全基準*"))=1,"〇","X")</f>
        <v>X</v>
      </c>
    </row>
    <row r="403" spans="2:17" x14ac:dyDescent="0.15">
      <c r="B403" s="262"/>
      <c r="C403" s="263" t="s">
        <v>508</v>
      </c>
      <c r="D403" s="279"/>
      <c r="E403" s="265"/>
      <c r="F403" s="265"/>
      <c r="G403" s="266"/>
      <c r="J403" s="234" t="str">
        <f t="shared" si="9"/>
        <v/>
      </c>
    </row>
    <row r="404" spans="2:17" x14ac:dyDescent="0.15">
      <c r="B404" s="262"/>
      <c r="C404" s="263" t="s">
        <v>509</v>
      </c>
      <c r="D404" s="279"/>
      <c r="E404" s="265"/>
      <c r="F404" s="265"/>
      <c r="G404" s="266"/>
      <c r="J404" s="234" t="str">
        <f t="shared" si="9"/>
        <v/>
      </c>
      <c r="K404" s="288"/>
      <c r="L404" s="288"/>
      <c r="M404" s="288"/>
      <c r="N404" s="288"/>
    </row>
    <row r="405" spans="2:17" x14ac:dyDescent="0.15">
      <c r="B405" s="262"/>
      <c r="C405" s="263" t="s">
        <v>510</v>
      </c>
      <c r="D405" s="302" t="s">
        <v>187</v>
      </c>
      <c r="E405" s="303"/>
      <c r="F405" s="303"/>
      <c r="G405" s="304"/>
      <c r="J405" s="234" t="str">
        <f t="shared" si="9"/>
        <v>×</v>
      </c>
      <c r="K405" s="289" t="str">
        <f>C405</f>
        <v>４　電気的安全性の測定</v>
      </c>
      <c r="L405" s="288"/>
      <c r="M405" s="288"/>
      <c r="N405" s="290"/>
      <c r="P405" s="261" t="str">
        <f>IF((COUNTIF(E405, "*電気的安全性の測定*"))=1,"〇","X")</f>
        <v>X</v>
      </c>
      <c r="Q405" s="261" t="str">
        <f>IF((COUNTIF(F405, "*電気的安全性の測定*"))=1,"〇","X")</f>
        <v>X</v>
      </c>
    </row>
    <row r="406" spans="2:17" x14ac:dyDescent="0.15">
      <c r="B406" s="262"/>
      <c r="C406" s="305" t="s">
        <v>511</v>
      </c>
      <c r="D406" s="306"/>
      <c r="E406" s="265"/>
      <c r="F406" s="265"/>
      <c r="G406" s="266"/>
      <c r="J406" s="234" t="str">
        <f t="shared" si="9"/>
        <v/>
      </c>
    </row>
    <row r="407" spans="2:17" x14ac:dyDescent="0.15">
      <c r="B407" s="262"/>
      <c r="C407" s="263" t="s">
        <v>512</v>
      </c>
      <c r="D407" s="284"/>
      <c r="E407" s="277"/>
      <c r="F407" s="277"/>
      <c r="G407" s="278"/>
      <c r="J407" s="234" t="str">
        <f t="shared" si="9"/>
        <v/>
      </c>
    </row>
    <row r="408" spans="2:17" x14ac:dyDescent="0.15">
      <c r="B408" s="262"/>
      <c r="C408" s="263" t="s">
        <v>513</v>
      </c>
      <c r="D408" s="264"/>
      <c r="E408" s="265"/>
      <c r="F408" s="265"/>
      <c r="G408" s="266"/>
      <c r="J408" s="234" t="str">
        <f t="shared" si="9"/>
        <v/>
      </c>
    </row>
    <row r="409" spans="2:17" x14ac:dyDescent="0.15">
      <c r="B409" s="262"/>
      <c r="C409" s="263" t="s">
        <v>514</v>
      </c>
      <c r="D409" s="279" t="s">
        <v>187</v>
      </c>
      <c r="E409" s="265"/>
      <c r="F409" s="265"/>
      <c r="G409" s="266"/>
      <c r="J409" s="234" t="str">
        <f t="shared" si="9"/>
        <v>×</v>
      </c>
      <c r="K409" s="267" t="str">
        <f>C409</f>
        <v>５　安全管理技術</v>
      </c>
      <c r="L409" s="268"/>
      <c r="M409" s="268"/>
      <c r="N409" s="269"/>
      <c r="P409" s="261" t="str">
        <f>IF((COUNTIF(E409, "*安全管理技術*"))=1,"〇","X")</f>
        <v>X</v>
      </c>
      <c r="Q409" s="261" t="str">
        <f>IF((COUNTIF(F409, "*安全管理技術*"))=1,"〇","X")</f>
        <v>X</v>
      </c>
    </row>
    <row r="410" spans="2:17" x14ac:dyDescent="0.15">
      <c r="B410" s="262"/>
      <c r="C410" s="263" t="s">
        <v>515</v>
      </c>
      <c r="D410" s="264"/>
      <c r="E410" s="265"/>
      <c r="F410" s="265"/>
      <c r="G410" s="266"/>
      <c r="J410" s="234" t="str">
        <f t="shared" si="9"/>
        <v/>
      </c>
    </row>
    <row r="411" spans="2:17" x14ac:dyDescent="0.15">
      <c r="B411" s="297"/>
      <c r="C411" s="263" t="s">
        <v>516</v>
      </c>
      <c r="D411" s="264"/>
      <c r="E411" s="265"/>
      <c r="F411" s="265"/>
      <c r="G411" s="266"/>
      <c r="J411" s="234" t="str">
        <f t="shared" si="9"/>
        <v/>
      </c>
    </row>
    <row r="412" spans="2:17" x14ac:dyDescent="0.15">
      <c r="B412" s="297"/>
      <c r="C412" s="263" t="s">
        <v>517</v>
      </c>
      <c r="D412" s="264"/>
      <c r="E412" s="265"/>
      <c r="F412" s="265"/>
      <c r="G412" s="266"/>
      <c r="J412" s="234" t="str">
        <f t="shared" si="9"/>
        <v/>
      </c>
    </row>
    <row r="413" spans="2:17" x14ac:dyDescent="0.15">
      <c r="B413" s="297"/>
      <c r="C413" s="263" t="s">
        <v>518</v>
      </c>
      <c r="D413" s="264"/>
      <c r="E413" s="265"/>
      <c r="F413" s="265"/>
      <c r="G413" s="266"/>
      <c r="J413" s="234" t="str">
        <f t="shared" si="9"/>
        <v/>
      </c>
    </row>
    <row r="414" spans="2:17" x14ac:dyDescent="0.15">
      <c r="B414" s="297"/>
      <c r="C414" s="263" t="s">
        <v>519</v>
      </c>
      <c r="D414" s="264"/>
      <c r="E414" s="265"/>
      <c r="F414" s="265"/>
      <c r="G414" s="266"/>
      <c r="J414" s="234" t="str">
        <f t="shared" si="9"/>
        <v/>
      </c>
    </row>
    <row r="415" spans="2:17" x14ac:dyDescent="0.15">
      <c r="B415" s="297"/>
      <c r="C415" s="263" t="s">
        <v>520</v>
      </c>
      <c r="D415" s="264"/>
      <c r="E415" s="265"/>
      <c r="F415" s="265"/>
      <c r="G415" s="266"/>
      <c r="J415" s="234" t="str">
        <f t="shared" si="9"/>
        <v/>
      </c>
    </row>
    <row r="416" spans="2:17" x14ac:dyDescent="0.15">
      <c r="B416" s="297"/>
      <c r="C416" s="263" t="s">
        <v>521</v>
      </c>
      <c r="D416" s="264"/>
      <c r="E416" s="265"/>
      <c r="F416" s="265"/>
      <c r="G416" s="266"/>
      <c r="J416" s="234" t="str">
        <f t="shared" si="9"/>
        <v/>
      </c>
    </row>
    <row r="417" spans="2:17" ht="27" x14ac:dyDescent="0.15">
      <c r="B417" s="297"/>
      <c r="C417" s="263" t="s">
        <v>816</v>
      </c>
      <c r="D417" s="264"/>
      <c r="E417" s="265"/>
      <c r="F417" s="265"/>
      <c r="G417" s="266"/>
      <c r="J417" s="234" t="str">
        <f t="shared" si="9"/>
        <v/>
      </c>
    </row>
    <row r="418" spans="2:17" x14ac:dyDescent="0.15">
      <c r="B418" s="297"/>
      <c r="C418" s="263" t="s">
        <v>522</v>
      </c>
      <c r="D418" s="264"/>
      <c r="E418" s="265"/>
      <c r="F418" s="265"/>
      <c r="G418" s="266"/>
      <c r="J418" s="234" t="str">
        <f t="shared" si="9"/>
        <v/>
      </c>
    </row>
    <row r="419" spans="2:17" ht="27" x14ac:dyDescent="0.15">
      <c r="B419" s="297"/>
      <c r="C419" s="263" t="s">
        <v>817</v>
      </c>
      <c r="D419" s="264"/>
      <c r="E419" s="265"/>
      <c r="F419" s="265"/>
      <c r="G419" s="266"/>
      <c r="J419" s="234" t="str">
        <f t="shared" si="9"/>
        <v/>
      </c>
    </row>
    <row r="420" spans="2:17" x14ac:dyDescent="0.15">
      <c r="B420" s="297"/>
      <c r="C420" s="263" t="s">
        <v>523</v>
      </c>
      <c r="D420" s="264"/>
      <c r="E420" s="265"/>
      <c r="F420" s="265"/>
      <c r="G420" s="266"/>
      <c r="J420" s="234" t="str">
        <f t="shared" si="9"/>
        <v/>
      </c>
    </row>
    <row r="421" spans="2:17" x14ac:dyDescent="0.15">
      <c r="B421" s="297"/>
      <c r="C421" s="263" t="s">
        <v>524</v>
      </c>
      <c r="D421" s="264" t="s">
        <v>187</v>
      </c>
      <c r="E421" s="265"/>
      <c r="F421" s="265"/>
      <c r="G421" s="266"/>
      <c r="J421" s="234" t="str">
        <f t="shared" si="9"/>
        <v>×</v>
      </c>
      <c r="K421" s="267" t="str">
        <f>C421</f>
        <v>６　システム安全</v>
      </c>
      <c r="L421" s="268"/>
      <c r="M421" s="268"/>
      <c r="N421" s="269"/>
      <c r="P421" s="261" t="str">
        <f>IF((COUNTIF(E421, "*システム安全*"))=1,"〇","X")</f>
        <v>X</v>
      </c>
      <c r="Q421" s="261" t="str">
        <f>IF((COUNTIF(F421, "*システム安全*"))=1,"〇","X")</f>
        <v>X</v>
      </c>
    </row>
    <row r="422" spans="2:17" x14ac:dyDescent="0.15">
      <c r="B422" s="297"/>
      <c r="C422" s="263" t="s">
        <v>525</v>
      </c>
      <c r="D422" s="264"/>
      <c r="E422" s="265"/>
      <c r="F422" s="265"/>
      <c r="G422" s="266"/>
      <c r="J422" s="234" t="str">
        <f t="shared" si="9"/>
        <v/>
      </c>
    </row>
    <row r="423" spans="2:17" x14ac:dyDescent="0.15">
      <c r="B423" s="297"/>
      <c r="C423" s="263" t="s">
        <v>526</v>
      </c>
      <c r="D423" s="264"/>
      <c r="E423" s="265"/>
      <c r="F423" s="265"/>
      <c r="G423" s="266"/>
      <c r="J423" s="234" t="str">
        <f t="shared" si="9"/>
        <v/>
      </c>
    </row>
    <row r="424" spans="2:17" x14ac:dyDescent="0.15">
      <c r="B424" s="297"/>
      <c r="C424" s="263" t="s">
        <v>527</v>
      </c>
      <c r="D424" s="264"/>
      <c r="E424" s="265"/>
      <c r="F424" s="265"/>
      <c r="G424" s="266"/>
      <c r="J424" s="234" t="str">
        <f t="shared" si="9"/>
        <v/>
      </c>
    </row>
    <row r="425" spans="2:17" x14ac:dyDescent="0.15">
      <c r="B425" s="297"/>
      <c r="C425" s="263" t="s">
        <v>528</v>
      </c>
      <c r="D425" s="264"/>
      <c r="E425" s="265"/>
      <c r="F425" s="265"/>
      <c r="G425" s="266"/>
      <c r="J425" s="234" t="str">
        <f t="shared" si="9"/>
        <v/>
      </c>
    </row>
    <row r="426" spans="2:17" x14ac:dyDescent="0.15">
      <c r="B426" s="297"/>
      <c r="C426" s="263" t="s">
        <v>529</v>
      </c>
      <c r="D426" s="264"/>
      <c r="E426" s="265"/>
      <c r="F426" s="265"/>
      <c r="G426" s="266"/>
      <c r="J426" s="234" t="str">
        <f t="shared" si="9"/>
        <v/>
      </c>
    </row>
    <row r="427" spans="2:17" ht="27" x14ac:dyDescent="0.15">
      <c r="B427" s="262"/>
      <c r="C427" s="263" t="s">
        <v>818</v>
      </c>
      <c r="D427" s="264" t="s">
        <v>187</v>
      </c>
      <c r="E427" s="265"/>
      <c r="F427" s="265"/>
      <c r="G427" s="266"/>
      <c r="J427" s="234" t="str">
        <f t="shared" si="9"/>
        <v>×</v>
      </c>
      <c r="K427" s="267" t="str">
        <f>C427</f>
        <v>７　高圧医用ガス、可燃性医用ガス
　　の安全</v>
      </c>
      <c r="L427" s="268"/>
      <c r="M427" s="268"/>
      <c r="N427" s="269"/>
      <c r="P427" s="261" t="str">
        <f>IF((COUNTIF(E427, "*高圧医用ガス、可燃性医用ガスの安全*"))=1,"〇","X")</f>
        <v>X</v>
      </c>
      <c r="Q427" s="261" t="str">
        <f>IF((COUNTIF(F427, "*高圧医用ガス、可燃性医用ガスの安全*"))=1,"〇","X")</f>
        <v>X</v>
      </c>
    </row>
    <row r="428" spans="2:17" ht="27" x14ac:dyDescent="0.15">
      <c r="B428" s="262"/>
      <c r="C428" s="263" t="s">
        <v>819</v>
      </c>
      <c r="D428" s="279"/>
      <c r="E428" s="265"/>
      <c r="F428" s="265"/>
      <c r="G428" s="266"/>
      <c r="J428" s="234" t="str">
        <f t="shared" si="9"/>
        <v/>
      </c>
    </row>
    <row r="429" spans="2:17" x14ac:dyDescent="0.15">
      <c r="B429" s="262"/>
      <c r="C429" s="263" t="s">
        <v>530</v>
      </c>
      <c r="D429" s="279"/>
      <c r="E429" s="265"/>
      <c r="F429" s="265"/>
      <c r="G429" s="266"/>
      <c r="J429" s="234" t="str">
        <f t="shared" si="9"/>
        <v/>
      </c>
    </row>
    <row r="430" spans="2:17" x14ac:dyDescent="0.15">
      <c r="B430" s="262"/>
      <c r="C430" s="263" t="s">
        <v>531</v>
      </c>
      <c r="D430" s="264" t="s">
        <v>187</v>
      </c>
      <c r="E430" s="265"/>
      <c r="F430" s="265"/>
      <c r="G430" s="266"/>
      <c r="J430" s="234" t="str">
        <f t="shared" si="9"/>
        <v>×</v>
      </c>
      <c r="K430" s="267" t="str">
        <f t="shared" ref="K430:K441" si="10">C430</f>
        <v>８　医療安全と患者急変時対応</v>
      </c>
      <c r="L430" s="268"/>
      <c r="M430" s="268"/>
      <c r="N430" s="269"/>
      <c r="P430" s="261" t="str">
        <f>IF((COUNTIF(E430, "*医療安全と患者急変時対応*"))=1,"〇","X")</f>
        <v>X</v>
      </c>
      <c r="Q430" s="261" t="str">
        <f>IF((COUNTIF(F430, "*医療安全と患者急変時対応*"))=1,"〇","X")</f>
        <v>X</v>
      </c>
    </row>
    <row r="431" spans="2:17" ht="27" x14ac:dyDescent="0.15">
      <c r="B431" s="262"/>
      <c r="C431" s="263" t="s">
        <v>820</v>
      </c>
      <c r="D431" s="264" t="s">
        <v>187</v>
      </c>
      <c r="E431" s="265"/>
      <c r="F431" s="265"/>
      <c r="G431" s="266"/>
      <c r="J431" s="234" t="str">
        <f t="shared" si="9"/>
        <v>×</v>
      </c>
      <c r="K431" s="267" t="str">
        <f t="shared" si="10"/>
        <v xml:space="preserve">９　各種医療機器の操作に伴う危険
　　因子の認識と対処 </v>
      </c>
      <c r="L431" s="268"/>
      <c r="M431" s="268"/>
      <c r="N431" s="268"/>
      <c r="P431" s="261" t="str">
        <f>IF((COUNTIF(E431, "*各種医療機器の操作に伴う危険因子の認識と対処 *"))=1,"〇","X")</f>
        <v>X</v>
      </c>
      <c r="Q431" s="261" t="str">
        <f>IF((COUNTIF(F431, "*各種医療機器の操作に伴う危険因子の認識と対処 *"))=1,"〇","X")</f>
        <v>X</v>
      </c>
    </row>
    <row r="432" spans="2:17" ht="27" x14ac:dyDescent="0.15">
      <c r="B432" s="262"/>
      <c r="C432" s="263" t="s">
        <v>821</v>
      </c>
      <c r="D432" s="264" t="s">
        <v>187</v>
      </c>
      <c r="E432" s="265"/>
      <c r="F432" s="265"/>
      <c r="G432" s="266"/>
      <c r="J432" s="234" t="str">
        <f t="shared" si="9"/>
        <v>×</v>
      </c>
      <c r="K432" s="267" t="str">
        <f t="shared" si="10"/>
        <v>（１）体外循環装置を用いた治療中
　　の操作</v>
      </c>
      <c r="L432" s="268"/>
      <c r="M432" s="268"/>
      <c r="N432" s="269"/>
      <c r="P432" s="261" t="str">
        <f>IF((COUNTIF(E432, "*体外循環装置を用いた治療中の操作*"))=1,"〇","X")</f>
        <v>X</v>
      </c>
      <c r="Q432" s="261" t="str">
        <f>IF((COUNTIF(F432, "*体外循環装置を用いた治療中の操作*"))=1,"〇","X")</f>
        <v>X</v>
      </c>
    </row>
    <row r="433" spans="2:17" ht="27" x14ac:dyDescent="0.15">
      <c r="B433" s="262"/>
      <c r="C433" s="263" t="s">
        <v>822</v>
      </c>
      <c r="D433" s="264" t="s">
        <v>187</v>
      </c>
      <c r="E433" s="265"/>
      <c r="F433" s="265"/>
      <c r="G433" s="266"/>
      <c r="J433" s="234" t="str">
        <f t="shared" si="9"/>
        <v>×</v>
      </c>
      <c r="K433" s="267" t="str">
        <f t="shared" si="10"/>
        <v>（２）人工呼吸器を用いた治療中
　　の操作</v>
      </c>
      <c r="L433" s="268"/>
      <c r="M433" s="268"/>
      <c r="N433" s="269"/>
      <c r="P433" s="261" t="str">
        <f>IF((COUNTIF(E433, "*人工呼吸器を用いた治療中の操作*"))=1,"〇","X")</f>
        <v>X</v>
      </c>
      <c r="Q433" s="261" t="str">
        <f>IF((COUNTIF(F433, "*人工呼吸器を用いた治療中の操作*"))=1,"〇","X")</f>
        <v>X</v>
      </c>
    </row>
    <row r="434" spans="2:17" ht="27" x14ac:dyDescent="0.15">
      <c r="B434" s="262"/>
      <c r="C434" s="263" t="s">
        <v>823</v>
      </c>
      <c r="D434" s="264" t="s">
        <v>187</v>
      </c>
      <c r="E434" s="265"/>
      <c r="F434" s="265"/>
      <c r="G434" s="266"/>
      <c r="J434" s="234" t="str">
        <f t="shared" si="9"/>
        <v>×</v>
      </c>
      <c r="K434" s="299" t="str">
        <f t="shared" si="10"/>
        <v>（３）血液浄化療法装置を用いた
　　治療中の操作</v>
      </c>
      <c r="L434" s="299"/>
      <c r="M434" s="300"/>
      <c r="N434" s="300"/>
      <c r="P434" s="261" t="str">
        <f>IF((COUNTIF(E434, "*血液浄化療法装置を用いた治療中の操作*"))=1,"〇","X")</f>
        <v>X</v>
      </c>
      <c r="Q434" s="261" t="str">
        <f>IF((COUNTIF(F434, "*血液浄化療法装置を用いた治療中の操作*"))=1,"〇","X")</f>
        <v>X</v>
      </c>
    </row>
    <row r="435" spans="2:17" ht="27" x14ac:dyDescent="0.15">
      <c r="B435" s="262"/>
      <c r="C435" s="263" t="s">
        <v>824</v>
      </c>
      <c r="D435" s="264" t="s">
        <v>187</v>
      </c>
      <c r="E435" s="265"/>
      <c r="F435" s="265"/>
      <c r="G435" s="266"/>
      <c r="J435" s="234" t="str">
        <f t="shared" si="9"/>
        <v>×</v>
      </c>
      <c r="K435" s="267" t="str">
        <f t="shared" si="10"/>
        <v>（４）血液浄化療法における表在化
　　動脈への穿刺針の接続・抜去</v>
      </c>
      <c r="L435" s="268"/>
      <c r="M435" s="268"/>
      <c r="N435" s="268"/>
      <c r="P435" s="261" t="str">
        <f>IF((COUNTIF(E435, "*血液浄化療法における表在化動脈への穿刺針の接続・抜去*"))=1,"〇","X")</f>
        <v>X</v>
      </c>
      <c r="Q435" s="261" t="str">
        <f>IF((COUNTIF(F435, "*血液浄化療法における表在化動脈への穿刺針の接続・抜去*"))=1,"〇","X")</f>
        <v>X</v>
      </c>
    </row>
    <row r="436" spans="2:17" ht="27" x14ac:dyDescent="0.15">
      <c r="B436" s="262"/>
      <c r="C436" s="263" t="s">
        <v>825</v>
      </c>
      <c r="D436" s="264" t="s">
        <v>187</v>
      </c>
      <c r="E436" s="265"/>
      <c r="F436" s="265"/>
      <c r="G436" s="266"/>
      <c r="J436" s="234" t="str">
        <f t="shared" si="9"/>
        <v>×</v>
      </c>
      <c r="K436" s="307" t="str">
        <f t="shared" si="10"/>
        <v>（５）高気圧酸素治療装置を用いた
　　治療中の操作</v>
      </c>
      <c r="L436" s="299"/>
      <c r="M436" s="300"/>
      <c r="N436" s="300"/>
      <c r="P436" s="261" t="str">
        <f>IF((COUNTIF(E436, "*高気圧酸素治療装置を用いた治療中の操作*"))=1,"〇","X")</f>
        <v>X</v>
      </c>
      <c r="Q436" s="261" t="str">
        <f>IF((COUNTIF(F436, "*高気圧酸素治療装置を用いた治療中の操作*"))=1,"〇","X")</f>
        <v>X</v>
      </c>
    </row>
    <row r="437" spans="2:17" x14ac:dyDescent="0.15">
      <c r="B437" s="262"/>
      <c r="C437" s="291" t="s">
        <v>532</v>
      </c>
      <c r="D437" s="302" t="s">
        <v>187</v>
      </c>
      <c r="E437" s="303"/>
      <c r="F437" s="303"/>
      <c r="G437" s="304"/>
      <c r="J437" s="234" t="str">
        <f t="shared" si="9"/>
        <v>×</v>
      </c>
      <c r="K437" s="299" t="str">
        <f t="shared" si="10"/>
        <v>（６）鏡視下手術時の操作</v>
      </c>
      <c r="L437" s="300"/>
      <c r="M437" s="300"/>
      <c r="N437" s="269"/>
      <c r="P437" s="261" t="str">
        <f>IF((COUNTIF(E437, "*鏡視下手術時の操作*"))=1,"〇","X")</f>
        <v>X</v>
      </c>
      <c r="Q437" s="261" t="str">
        <f>IF((COUNTIF(F437, "*鏡視下手術時の操作*"))=1,"〇","X")</f>
        <v>X</v>
      </c>
    </row>
    <row r="438" spans="2:17" ht="27" x14ac:dyDescent="0.15">
      <c r="B438" s="262"/>
      <c r="C438" s="263" t="s">
        <v>826</v>
      </c>
      <c r="D438" s="264" t="s">
        <v>187</v>
      </c>
      <c r="E438" s="265"/>
      <c r="F438" s="265"/>
      <c r="G438" s="266"/>
      <c r="J438" s="234" t="str">
        <f t="shared" si="9"/>
        <v>×</v>
      </c>
      <c r="K438" s="299" t="str">
        <f t="shared" si="10"/>
        <v>（７）心・血管カテーテル治療に
　　おける電気的負荷装置の操作</v>
      </c>
      <c r="L438" s="300"/>
      <c r="M438" s="300"/>
      <c r="N438" s="300"/>
      <c r="P438" s="261" t="str">
        <f>IF((COUNTIF(E438, "*心・血管カテーテル治療における電気的負荷装置の操作*"))=1,"〇","X")</f>
        <v>X</v>
      </c>
      <c r="Q438" s="261" t="str">
        <f>IF((COUNTIF(F438, "*心・血管カテーテル治療における電気的負荷装置の操作*"))=1,"〇","X")</f>
        <v>X</v>
      </c>
    </row>
    <row r="439" spans="2:17" ht="40.5" x14ac:dyDescent="0.15">
      <c r="B439" s="270"/>
      <c r="C439" s="286" t="s">
        <v>827</v>
      </c>
      <c r="D439" s="284" t="s">
        <v>187</v>
      </c>
      <c r="E439" s="277"/>
      <c r="F439" s="277"/>
      <c r="G439" s="278"/>
      <c r="J439" s="234" t="str">
        <f t="shared" si="9"/>
        <v>×</v>
      </c>
      <c r="K439" s="299" t="str">
        <f t="shared" si="10"/>
        <v>（８）輸液ポンプやシリンジポンプ
　　を用いた薬剤投与、静脈路の
　　確保・抜針</v>
      </c>
      <c r="L439" s="300"/>
      <c r="M439" s="300"/>
      <c r="N439" s="300"/>
      <c r="P439" s="261" t="str">
        <f>IF((COUNTIF(E439, "*輸液ポンプやシリンジポンプを用いた薬剤投与、静脈路の確保・抜針*"))=1,"〇","X")</f>
        <v>X</v>
      </c>
      <c r="Q439" s="261" t="str">
        <f>IF((COUNTIF(F439, "*輸液ポンプやシリンジポンプを用いた薬剤投与、静脈路の確保・抜針*"))=1,"〇","X")</f>
        <v>X</v>
      </c>
    </row>
    <row r="440" spans="2:17" x14ac:dyDescent="0.15">
      <c r="B440" s="262"/>
      <c r="C440" s="263" t="s">
        <v>533</v>
      </c>
      <c r="D440" s="264" t="s">
        <v>187</v>
      </c>
      <c r="E440" s="265"/>
      <c r="F440" s="265"/>
      <c r="G440" s="266"/>
      <c r="J440" s="234" t="str">
        <f t="shared" si="9"/>
        <v>×</v>
      </c>
      <c r="K440" s="267" t="str">
        <f t="shared" si="10"/>
        <v>（９）上記以外の医療機器の操作</v>
      </c>
      <c r="L440" s="268"/>
      <c r="M440" s="268"/>
      <c r="N440" s="269"/>
      <c r="P440" s="261" t="str">
        <f>IF((COUNTIF(E440, "*上記以外の医療機器の操作*"))=1,"〇","X")</f>
        <v>X</v>
      </c>
      <c r="Q440" s="261" t="str">
        <f>IF((COUNTIF(F440, "*上記以外の医療機器の操作*"))=1,"〇","X")</f>
        <v>X</v>
      </c>
    </row>
    <row r="441" spans="2:17" x14ac:dyDescent="0.15">
      <c r="B441" s="262"/>
      <c r="C441" s="263" t="s">
        <v>534</v>
      </c>
      <c r="D441" s="264" t="s">
        <v>187</v>
      </c>
      <c r="E441" s="265"/>
      <c r="F441" s="265"/>
      <c r="G441" s="266"/>
      <c r="J441" s="234" t="str">
        <f t="shared" si="9"/>
        <v>×</v>
      </c>
      <c r="K441" s="267" t="str">
        <f t="shared" si="10"/>
        <v>10　感染対策</v>
      </c>
      <c r="L441" s="268"/>
      <c r="M441" s="268"/>
      <c r="N441" s="269"/>
      <c r="P441" s="261" t="str">
        <f>IF((COUNTIF(E441, "*感染対策*"))=1,"〇","X")</f>
        <v>X</v>
      </c>
      <c r="Q441" s="261" t="str">
        <f>IF((COUNTIF(F441, "*感染対策*"))=1,"〇","X")</f>
        <v>X</v>
      </c>
    </row>
    <row r="442" spans="2:17" x14ac:dyDescent="0.15">
      <c r="B442" s="262"/>
      <c r="C442" s="263" t="s">
        <v>535</v>
      </c>
      <c r="D442" s="264"/>
      <c r="E442" s="265"/>
      <c r="F442" s="265"/>
      <c r="G442" s="266"/>
      <c r="J442" s="234" t="str">
        <f t="shared" si="9"/>
        <v/>
      </c>
    </row>
    <row r="443" spans="2:17" x14ac:dyDescent="0.15">
      <c r="B443" s="297"/>
      <c r="C443" s="263" t="s">
        <v>536</v>
      </c>
      <c r="D443" s="264"/>
      <c r="E443" s="265"/>
      <c r="F443" s="265"/>
      <c r="G443" s="266"/>
      <c r="J443" s="234" t="str">
        <f t="shared" si="9"/>
        <v/>
      </c>
    </row>
    <row r="444" spans="2:17" x14ac:dyDescent="0.15">
      <c r="B444" s="297"/>
      <c r="C444" s="263" t="s">
        <v>537</v>
      </c>
      <c r="D444" s="264"/>
      <c r="E444" s="265"/>
      <c r="F444" s="265"/>
      <c r="G444" s="266"/>
      <c r="J444" s="234" t="str">
        <f t="shared" si="9"/>
        <v/>
      </c>
    </row>
    <row r="445" spans="2:17" x14ac:dyDescent="0.15">
      <c r="B445" s="297"/>
      <c r="C445" s="263" t="s">
        <v>538</v>
      </c>
      <c r="D445" s="264" t="s">
        <v>187</v>
      </c>
      <c r="E445" s="265"/>
      <c r="F445" s="265"/>
      <c r="G445" s="266"/>
      <c r="J445" s="234" t="str">
        <f t="shared" si="9"/>
        <v>×</v>
      </c>
      <c r="K445" s="267" t="str">
        <f>C445</f>
        <v>11　医療電磁環境と電波管理</v>
      </c>
      <c r="L445" s="268"/>
      <c r="M445" s="268"/>
      <c r="N445" s="269"/>
      <c r="P445" s="261" t="str">
        <f>IF((COUNTIF(E445, "*医療電磁環境と電波管理*"))=1,"〇","X")</f>
        <v>X</v>
      </c>
      <c r="Q445" s="261" t="str">
        <f>IF((COUNTIF(F445, "*医療電磁環境と電波管理*"))=1,"〇","X")</f>
        <v>X</v>
      </c>
    </row>
    <row r="446" spans="2:17" x14ac:dyDescent="0.15">
      <c r="B446" s="297"/>
      <c r="C446" s="263" t="s">
        <v>539</v>
      </c>
      <c r="D446" s="264" t="s">
        <v>187</v>
      </c>
      <c r="E446" s="265"/>
      <c r="F446" s="265"/>
      <c r="G446" s="266"/>
      <c r="J446" s="234" t="str">
        <f t="shared" ref="J446:J515" si="11">IF(AND(OR(D446="◎",D446="◎※１"),OR(E446="",F446="",G446="")),"×","")</f>
        <v>×</v>
      </c>
      <c r="K446" s="299" t="str">
        <f>C446</f>
        <v>12　災害対策と事業継続</v>
      </c>
      <c r="L446" s="300"/>
      <c r="M446" s="300"/>
      <c r="N446" s="301"/>
      <c r="P446" s="261" t="str">
        <f>IF((COUNTIF(E446, "*災害対策と事業継続*"))=1,"〇","X")</f>
        <v>X</v>
      </c>
      <c r="Q446" s="261" t="str">
        <f>IF((COUNTIF(F446, "*災害対策と事業継続*"))=1,"〇","X")</f>
        <v>X</v>
      </c>
    </row>
    <row r="447" spans="2:17" ht="14.25" thickBot="1" x14ac:dyDescent="0.2">
      <c r="B447" s="298"/>
      <c r="C447" s="273" t="s">
        <v>540</v>
      </c>
      <c r="D447" s="274" t="s">
        <v>187</v>
      </c>
      <c r="E447" s="275"/>
      <c r="F447" s="275"/>
      <c r="G447" s="276"/>
      <c r="J447" s="234" t="str">
        <f t="shared" si="11"/>
        <v>×</v>
      </c>
      <c r="K447" s="267" t="str">
        <f>C447</f>
        <v>13　医療安全に関する関係法規</v>
      </c>
      <c r="L447" s="268"/>
      <c r="M447" s="268"/>
      <c r="N447" s="269"/>
      <c r="P447" s="261" t="str">
        <f>IF((COUNTIF(E447, "*医療安全に関する関係法規*"))=1,"〇","X")</f>
        <v>X</v>
      </c>
      <c r="Q447" s="261" t="str">
        <f>IF((COUNTIF(F447, "*医療安全に関する関係法規*"))=1,"〇","X")</f>
        <v>X</v>
      </c>
    </row>
    <row r="448" spans="2:17" x14ac:dyDescent="0.15">
      <c r="B448" s="270" t="s">
        <v>56</v>
      </c>
      <c r="C448" s="286" t="s">
        <v>541</v>
      </c>
      <c r="D448" s="284" t="s">
        <v>358</v>
      </c>
      <c r="E448" s="277"/>
      <c r="F448" s="277"/>
      <c r="G448" s="278"/>
      <c r="J448" s="234" t="str">
        <f t="shared" si="11"/>
        <v>×</v>
      </c>
      <c r="K448" s="267" t="str">
        <f>C448</f>
        <v>１　内科学概論</v>
      </c>
      <c r="L448" s="268"/>
      <c r="M448" s="268"/>
      <c r="N448" s="269"/>
      <c r="P448" s="261" t="str">
        <f>IF((COUNTIF(E448, "*内科学概論*"))=1,"〇","X")</f>
        <v>X</v>
      </c>
      <c r="Q448" s="261" t="str">
        <f>IF((COUNTIF(F448, "*内科学概論*"))=1,"〇","X")</f>
        <v>X</v>
      </c>
    </row>
    <row r="449" spans="2:17" x14ac:dyDescent="0.15">
      <c r="B449" s="297"/>
      <c r="C449" s="263" t="s">
        <v>542</v>
      </c>
      <c r="D449" s="264"/>
      <c r="E449" s="265"/>
      <c r="F449" s="265"/>
      <c r="G449" s="266"/>
      <c r="J449" s="234" t="str">
        <f t="shared" si="11"/>
        <v/>
      </c>
    </row>
    <row r="450" spans="2:17" x14ac:dyDescent="0.15">
      <c r="B450" s="297"/>
      <c r="C450" s="263" t="s">
        <v>543</v>
      </c>
      <c r="D450" s="264"/>
      <c r="E450" s="265"/>
      <c r="F450" s="265"/>
      <c r="G450" s="266"/>
      <c r="J450" s="234" t="str">
        <f t="shared" si="11"/>
        <v/>
      </c>
    </row>
    <row r="451" spans="2:17" x14ac:dyDescent="0.15">
      <c r="B451" s="297"/>
      <c r="C451" s="263" t="s">
        <v>544</v>
      </c>
      <c r="D451" s="264"/>
      <c r="E451" s="265"/>
      <c r="F451" s="265"/>
      <c r="G451" s="266"/>
      <c r="J451" s="234" t="str">
        <f t="shared" si="11"/>
        <v/>
      </c>
    </row>
    <row r="452" spans="2:17" x14ac:dyDescent="0.15">
      <c r="B452" s="297"/>
      <c r="C452" s="263" t="s">
        <v>545</v>
      </c>
      <c r="D452" s="264" t="s">
        <v>187</v>
      </c>
      <c r="E452" s="265"/>
      <c r="F452" s="265"/>
      <c r="G452" s="266"/>
      <c r="J452" s="234" t="str">
        <f t="shared" si="11"/>
        <v>×</v>
      </c>
      <c r="K452" s="267" t="str">
        <f>C452</f>
        <v>２　外科学概論</v>
      </c>
      <c r="L452" s="268"/>
      <c r="M452" s="268"/>
      <c r="N452" s="269"/>
      <c r="P452" s="261" t="str">
        <f>IF((COUNTIF(E452, "*外科学概論*"))=1,"〇","X")</f>
        <v>X</v>
      </c>
      <c r="Q452" s="261" t="str">
        <f>IF((COUNTIF(F452, "*外科学概論*"))=1,"〇","X")</f>
        <v>X</v>
      </c>
    </row>
    <row r="453" spans="2:17" x14ac:dyDescent="0.15">
      <c r="B453" s="297"/>
      <c r="C453" s="263" t="s">
        <v>546</v>
      </c>
      <c r="D453" s="264"/>
      <c r="E453" s="265"/>
      <c r="F453" s="265"/>
      <c r="G453" s="266"/>
      <c r="J453" s="234" t="str">
        <f t="shared" si="11"/>
        <v/>
      </c>
    </row>
    <row r="454" spans="2:17" x14ac:dyDescent="0.15">
      <c r="B454" s="297"/>
      <c r="C454" s="263" t="s">
        <v>547</v>
      </c>
      <c r="D454" s="264"/>
      <c r="E454" s="265"/>
      <c r="F454" s="265"/>
      <c r="G454" s="266"/>
      <c r="J454" s="234" t="str">
        <f t="shared" si="11"/>
        <v/>
      </c>
    </row>
    <row r="455" spans="2:17" x14ac:dyDescent="0.15">
      <c r="B455" s="297"/>
      <c r="C455" s="263" t="s">
        <v>548</v>
      </c>
      <c r="D455" s="264"/>
      <c r="E455" s="265"/>
      <c r="F455" s="265"/>
      <c r="G455" s="266"/>
      <c r="J455" s="234" t="str">
        <f t="shared" si="11"/>
        <v/>
      </c>
    </row>
    <row r="456" spans="2:17" x14ac:dyDescent="0.15">
      <c r="B456" s="297"/>
      <c r="C456" s="263" t="s">
        <v>549</v>
      </c>
      <c r="D456" s="264"/>
      <c r="E456" s="265"/>
      <c r="F456" s="265"/>
      <c r="G456" s="266"/>
      <c r="J456" s="234" t="str">
        <f t="shared" si="11"/>
        <v/>
      </c>
    </row>
    <row r="457" spans="2:17" x14ac:dyDescent="0.15">
      <c r="B457" s="297"/>
      <c r="C457" s="263" t="s">
        <v>550</v>
      </c>
      <c r="D457" s="264"/>
      <c r="E457" s="265"/>
      <c r="F457" s="265"/>
      <c r="G457" s="266"/>
      <c r="J457" s="234" t="str">
        <f t="shared" ref="J457:J462" si="12">IF(AND(OR(D457="◎",D457="◎※１"),OR(E457="",F457="",G457="")),"×","")</f>
        <v/>
      </c>
    </row>
    <row r="458" spans="2:17" x14ac:dyDescent="0.15">
      <c r="B458" s="297"/>
      <c r="C458" s="263" t="s">
        <v>551</v>
      </c>
      <c r="D458" s="264" t="s">
        <v>187</v>
      </c>
      <c r="E458" s="265"/>
      <c r="F458" s="265"/>
      <c r="G458" s="266"/>
      <c r="J458" s="234" t="str">
        <f t="shared" si="12"/>
        <v>×</v>
      </c>
      <c r="K458" s="267" t="str">
        <f>C458</f>
        <v>３　呼吸器系</v>
      </c>
      <c r="L458" s="268"/>
      <c r="M458" s="268"/>
      <c r="N458" s="268"/>
      <c r="O458" s="307"/>
      <c r="P458" s="261" t="str">
        <f>IF((COUNTIF(E458, "*呼吸器系*"))=1,"〇","X")</f>
        <v>X</v>
      </c>
      <c r="Q458" s="261" t="str">
        <f>IF((COUNTIF(F458, "*呼吸器系*"))=1,"〇","X")</f>
        <v>X</v>
      </c>
    </row>
    <row r="459" spans="2:17" x14ac:dyDescent="0.15">
      <c r="B459" s="297"/>
      <c r="C459" s="263" t="s">
        <v>552</v>
      </c>
      <c r="D459" s="264"/>
      <c r="E459" s="265"/>
      <c r="F459" s="265"/>
      <c r="G459" s="266"/>
      <c r="J459" s="234" t="str">
        <f t="shared" si="12"/>
        <v/>
      </c>
    </row>
    <row r="460" spans="2:17" x14ac:dyDescent="0.15">
      <c r="B460" s="297"/>
      <c r="C460" s="263" t="s">
        <v>553</v>
      </c>
      <c r="D460" s="264"/>
      <c r="E460" s="265"/>
      <c r="F460" s="265"/>
      <c r="G460" s="266"/>
      <c r="J460" s="234" t="str">
        <f t="shared" si="12"/>
        <v/>
      </c>
    </row>
    <row r="461" spans="2:17" x14ac:dyDescent="0.15">
      <c r="B461" s="297"/>
      <c r="C461" s="263" t="s">
        <v>554</v>
      </c>
      <c r="D461" s="264"/>
      <c r="E461" s="265"/>
      <c r="F461" s="265"/>
      <c r="G461" s="266"/>
      <c r="J461" s="234" t="str">
        <f t="shared" si="12"/>
        <v/>
      </c>
    </row>
    <row r="462" spans="2:17" x14ac:dyDescent="0.15">
      <c r="B462" s="297"/>
      <c r="C462" s="263" t="s">
        <v>555</v>
      </c>
      <c r="D462" s="264"/>
      <c r="E462" s="265"/>
      <c r="F462" s="265"/>
      <c r="G462" s="266"/>
      <c r="J462" s="234" t="str">
        <f t="shared" si="12"/>
        <v/>
      </c>
    </row>
    <row r="463" spans="2:17" x14ac:dyDescent="0.15">
      <c r="B463" s="297"/>
      <c r="C463" s="263" t="s">
        <v>556</v>
      </c>
      <c r="D463" s="264"/>
      <c r="E463" s="265"/>
      <c r="F463" s="265"/>
      <c r="G463" s="266"/>
      <c r="J463" s="234" t="str">
        <f t="shared" si="11"/>
        <v/>
      </c>
    </row>
    <row r="464" spans="2:17" x14ac:dyDescent="0.15">
      <c r="B464" s="297"/>
      <c r="C464" s="263" t="s">
        <v>557</v>
      </c>
      <c r="D464" s="264"/>
      <c r="E464" s="265"/>
      <c r="F464" s="265"/>
      <c r="G464" s="266"/>
      <c r="J464" s="234" t="str">
        <f t="shared" si="11"/>
        <v/>
      </c>
    </row>
    <row r="465" spans="2:17" x14ac:dyDescent="0.15">
      <c r="B465" s="262"/>
      <c r="C465" s="263" t="s">
        <v>558</v>
      </c>
      <c r="D465" s="279"/>
      <c r="E465" s="265"/>
      <c r="F465" s="265"/>
      <c r="G465" s="266"/>
      <c r="J465" s="234" t="str">
        <f t="shared" si="11"/>
        <v/>
      </c>
    </row>
    <row r="466" spans="2:17" x14ac:dyDescent="0.15">
      <c r="B466" s="262"/>
      <c r="C466" s="263" t="s">
        <v>559</v>
      </c>
      <c r="D466" s="279"/>
      <c r="E466" s="265"/>
      <c r="F466" s="265"/>
      <c r="G466" s="266"/>
      <c r="J466" s="234" t="str">
        <f t="shared" si="11"/>
        <v/>
      </c>
    </row>
    <row r="467" spans="2:17" x14ac:dyDescent="0.15">
      <c r="B467" s="262"/>
      <c r="C467" s="263" t="s">
        <v>560</v>
      </c>
      <c r="D467" s="279" t="s">
        <v>187</v>
      </c>
      <c r="E467" s="265"/>
      <c r="F467" s="265"/>
      <c r="G467" s="266"/>
      <c r="J467" s="234" t="str">
        <f t="shared" si="11"/>
        <v>×</v>
      </c>
      <c r="K467" s="267" t="str">
        <f>C467</f>
        <v>４　循環器系</v>
      </c>
      <c r="L467" s="268"/>
      <c r="M467" s="268"/>
      <c r="N467" s="269"/>
      <c r="P467" s="261" t="str">
        <f>IF((COUNTIF(E467, "*循環器系*"))=1,"〇","X")</f>
        <v>X</v>
      </c>
      <c r="Q467" s="261" t="str">
        <f>IF((COUNTIF(F467, "*循環器系*"))=1,"〇","X")</f>
        <v>X</v>
      </c>
    </row>
    <row r="468" spans="2:17" x14ac:dyDescent="0.15">
      <c r="B468" s="262"/>
      <c r="C468" s="263" t="s">
        <v>561</v>
      </c>
      <c r="D468" s="279"/>
      <c r="E468" s="265"/>
      <c r="F468" s="265"/>
      <c r="G468" s="266"/>
      <c r="J468" s="234" t="str">
        <f t="shared" si="11"/>
        <v/>
      </c>
    </row>
    <row r="469" spans="2:17" x14ac:dyDescent="0.15">
      <c r="B469" s="262"/>
      <c r="C469" s="263" t="s">
        <v>562</v>
      </c>
      <c r="D469" s="279"/>
      <c r="E469" s="265"/>
      <c r="F469" s="265"/>
      <c r="G469" s="266"/>
      <c r="J469" s="234" t="str">
        <f t="shared" si="11"/>
        <v/>
      </c>
    </row>
    <row r="470" spans="2:17" x14ac:dyDescent="0.15">
      <c r="B470" s="262"/>
      <c r="C470" s="263" t="s">
        <v>563</v>
      </c>
      <c r="D470" s="279"/>
      <c r="E470" s="265"/>
      <c r="F470" s="265"/>
      <c r="G470" s="266"/>
      <c r="J470" s="234" t="str">
        <f t="shared" si="11"/>
        <v/>
      </c>
    </row>
    <row r="471" spans="2:17" x14ac:dyDescent="0.15">
      <c r="B471" s="262"/>
      <c r="C471" s="263" t="s">
        <v>564</v>
      </c>
      <c r="D471" s="279"/>
      <c r="E471" s="265"/>
      <c r="F471" s="265"/>
      <c r="G471" s="266"/>
      <c r="J471" s="234" t="str">
        <f t="shared" si="11"/>
        <v/>
      </c>
    </row>
    <row r="472" spans="2:17" x14ac:dyDescent="0.15">
      <c r="B472" s="262"/>
      <c r="C472" s="263" t="s">
        <v>565</v>
      </c>
      <c r="D472" s="279"/>
      <c r="E472" s="265"/>
      <c r="F472" s="265"/>
      <c r="G472" s="266"/>
      <c r="J472" s="234" t="str">
        <f t="shared" si="11"/>
        <v/>
      </c>
    </row>
    <row r="473" spans="2:17" x14ac:dyDescent="0.15">
      <c r="B473" s="262"/>
      <c r="C473" s="263" t="s">
        <v>566</v>
      </c>
      <c r="D473" s="279"/>
      <c r="E473" s="265"/>
      <c r="F473" s="265"/>
      <c r="G473" s="266"/>
      <c r="J473" s="234" t="str">
        <f t="shared" si="11"/>
        <v/>
      </c>
    </row>
    <row r="474" spans="2:17" x14ac:dyDescent="0.15">
      <c r="B474" s="262"/>
      <c r="C474" s="263" t="s">
        <v>567</v>
      </c>
      <c r="D474" s="279"/>
      <c r="E474" s="265"/>
      <c r="F474" s="265"/>
      <c r="G474" s="266"/>
      <c r="J474" s="234" t="str">
        <f t="shared" si="11"/>
        <v/>
      </c>
    </row>
    <row r="475" spans="2:17" x14ac:dyDescent="0.15">
      <c r="B475" s="262"/>
      <c r="C475" s="263" t="s">
        <v>568</v>
      </c>
      <c r="D475" s="279"/>
      <c r="E475" s="265"/>
      <c r="F475" s="265"/>
      <c r="G475" s="266"/>
      <c r="J475" s="234" t="str">
        <f t="shared" si="11"/>
        <v/>
      </c>
    </row>
    <row r="476" spans="2:17" x14ac:dyDescent="0.15">
      <c r="B476" s="262"/>
      <c r="C476" s="263" t="s">
        <v>569</v>
      </c>
      <c r="D476" s="279"/>
      <c r="E476" s="265"/>
      <c r="F476" s="265"/>
      <c r="G476" s="266"/>
      <c r="J476" s="234" t="str">
        <f t="shared" si="11"/>
        <v/>
      </c>
    </row>
    <row r="477" spans="2:17" x14ac:dyDescent="0.15">
      <c r="B477" s="262"/>
      <c r="C477" s="263" t="s">
        <v>570</v>
      </c>
      <c r="D477" s="279"/>
      <c r="E477" s="265"/>
      <c r="F477" s="265"/>
      <c r="G477" s="266"/>
      <c r="J477" s="234" t="str">
        <f t="shared" si="11"/>
        <v/>
      </c>
    </row>
    <row r="478" spans="2:17" x14ac:dyDescent="0.15">
      <c r="B478" s="262"/>
      <c r="C478" s="263" t="s">
        <v>571</v>
      </c>
      <c r="D478" s="279"/>
      <c r="E478" s="265"/>
      <c r="F478" s="265"/>
      <c r="G478" s="266"/>
      <c r="J478" s="234" t="str">
        <f t="shared" si="11"/>
        <v/>
      </c>
    </row>
    <row r="479" spans="2:17" x14ac:dyDescent="0.15">
      <c r="B479" s="262"/>
      <c r="C479" s="263" t="s">
        <v>572</v>
      </c>
      <c r="D479" s="279" t="s">
        <v>358</v>
      </c>
      <c r="E479" s="265"/>
      <c r="F479" s="265"/>
      <c r="G479" s="266"/>
      <c r="J479" s="234" t="str">
        <f t="shared" si="11"/>
        <v>×</v>
      </c>
      <c r="K479" s="267" t="str">
        <f>C479</f>
        <v>５　内分泌系</v>
      </c>
      <c r="L479" s="268"/>
      <c r="M479" s="268"/>
      <c r="N479" s="269"/>
      <c r="P479" s="261" t="str">
        <f>IF((COUNTIF(E479, "*内分泌系*"))=1,"〇","X")</f>
        <v>X</v>
      </c>
      <c r="Q479" s="261" t="str">
        <f>IF((COUNTIF(F479, "*内分泌系*"))=1,"〇","X")</f>
        <v>X</v>
      </c>
    </row>
    <row r="480" spans="2:17" x14ac:dyDescent="0.15">
      <c r="B480" s="262"/>
      <c r="C480" s="263" t="s">
        <v>573</v>
      </c>
      <c r="D480" s="279"/>
      <c r="E480" s="265"/>
      <c r="F480" s="265"/>
      <c r="G480" s="266"/>
      <c r="J480" s="234" t="str">
        <f t="shared" si="11"/>
        <v/>
      </c>
    </row>
    <row r="481" spans="2:17" x14ac:dyDescent="0.15">
      <c r="B481" s="262"/>
      <c r="C481" s="263" t="s">
        <v>574</v>
      </c>
      <c r="D481" s="279"/>
      <c r="E481" s="265"/>
      <c r="F481" s="265"/>
      <c r="G481" s="266"/>
      <c r="J481" s="234" t="str">
        <f t="shared" si="11"/>
        <v/>
      </c>
    </row>
    <row r="482" spans="2:17" x14ac:dyDescent="0.15">
      <c r="B482" s="262"/>
      <c r="C482" s="263" t="s">
        <v>575</v>
      </c>
      <c r="D482" s="279"/>
      <c r="E482" s="265"/>
      <c r="F482" s="265"/>
      <c r="G482" s="266"/>
      <c r="J482" s="234" t="str">
        <f t="shared" si="11"/>
        <v/>
      </c>
    </row>
    <row r="483" spans="2:17" x14ac:dyDescent="0.15">
      <c r="B483" s="262"/>
      <c r="C483" s="263" t="s">
        <v>576</v>
      </c>
      <c r="D483" s="279"/>
      <c r="E483" s="265"/>
      <c r="F483" s="265"/>
      <c r="G483" s="266"/>
      <c r="J483" s="234" t="str">
        <f t="shared" si="11"/>
        <v/>
      </c>
    </row>
    <row r="484" spans="2:17" x14ac:dyDescent="0.15">
      <c r="B484" s="262"/>
      <c r="C484" s="263" t="s">
        <v>577</v>
      </c>
      <c r="D484" s="279" t="s">
        <v>358</v>
      </c>
      <c r="E484" s="265"/>
      <c r="F484" s="265"/>
      <c r="G484" s="266"/>
      <c r="J484" s="234" t="str">
        <f t="shared" si="11"/>
        <v>×</v>
      </c>
      <c r="K484" s="267" t="str">
        <f>C484</f>
        <v>６　代謝系</v>
      </c>
      <c r="L484" s="268"/>
      <c r="M484" s="268"/>
      <c r="N484" s="269"/>
      <c r="P484" s="261" t="str">
        <f>IF((COUNTIF(E484, "*代謝系*"))=1,"〇","X")</f>
        <v>X</v>
      </c>
      <c r="Q484" s="261" t="str">
        <f>IF((COUNTIF(F484, "*代謝系*"))=1,"〇","X")</f>
        <v>X</v>
      </c>
    </row>
    <row r="485" spans="2:17" x14ac:dyDescent="0.15">
      <c r="B485" s="262"/>
      <c r="C485" s="263" t="s">
        <v>578</v>
      </c>
      <c r="D485" s="279"/>
      <c r="E485" s="265"/>
      <c r="F485" s="265"/>
      <c r="G485" s="266"/>
      <c r="J485" s="234" t="str">
        <f t="shared" si="11"/>
        <v/>
      </c>
    </row>
    <row r="486" spans="2:17" x14ac:dyDescent="0.15">
      <c r="B486" s="262"/>
      <c r="C486" s="263" t="s">
        <v>579</v>
      </c>
      <c r="D486" s="279"/>
      <c r="E486" s="265"/>
      <c r="F486" s="265"/>
      <c r="G486" s="266"/>
      <c r="J486" s="234" t="str">
        <f t="shared" si="11"/>
        <v/>
      </c>
    </row>
    <row r="487" spans="2:17" x14ac:dyDescent="0.15">
      <c r="B487" s="262"/>
      <c r="C487" s="263" t="s">
        <v>580</v>
      </c>
      <c r="D487" s="279"/>
      <c r="E487" s="265"/>
      <c r="F487" s="265"/>
      <c r="G487" s="266"/>
      <c r="J487" s="234" t="str">
        <f t="shared" si="11"/>
        <v/>
      </c>
    </row>
    <row r="488" spans="2:17" x14ac:dyDescent="0.15">
      <c r="B488" s="262"/>
      <c r="C488" s="263" t="s">
        <v>581</v>
      </c>
      <c r="D488" s="279"/>
      <c r="E488" s="265"/>
      <c r="F488" s="265"/>
      <c r="G488" s="266"/>
      <c r="J488" s="234" t="str">
        <f t="shared" si="11"/>
        <v/>
      </c>
    </row>
    <row r="489" spans="2:17" x14ac:dyDescent="0.15">
      <c r="B489" s="262"/>
      <c r="C489" s="263" t="s">
        <v>582</v>
      </c>
      <c r="D489" s="279" t="s">
        <v>358</v>
      </c>
      <c r="E489" s="265"/>
      <c r="F489" s="265"/>
      <c r="G489" s="266"/>
      <c r="J489" s="234" t="str">
        <f t="shared" si="11"/>
        <v>×</v>
      </c>
      <c r="K489" s="267" t="str">
        <f>C489</f>
        <v>７　神経・筋肉系</v>
      </c>
      <c r="L489" s="268"/>
      <c r="M489" s="268"/>
      <c r="N489" s="269"/>
      <c r="P489" s="261" t="str">
        <f>IF((COUNTIF(E489, "**"))=1,"〇","X")</f>
        <v>X</v>
      </c>
      <c r="Q489" s="261" t="str">
        <f>IF((COUNTIF(F489, "**"))=1,"〇","X")</f>
        <v>X</v>
      </c>
    </row>
    <row r="490" spans="2:17" x14ac:dyDescent="0.15">
      <c r="B490" s="262"/>
      <c r="C490" s="263" t="s">
        <v>583</v>
      </c>
      <c r="D490" s="279"/>
      <c r="E490" s="265"/>
      <c r="F490" s="265"/>
      <c r="G490" s="266"/>
      <c r="J490" s="234" t="str">
        <f t="shared" si="11"/>
        <v/>
      </c>
    </row>
    <row r="491" spans="2:17" x14ac:dyDescent="0.15">
      <c r="B491" s="262"/>
      <c r="C491" s="263" t="s">
        <v>584</v>
      </c>
      <c r="D491" s="279"/>
      <c r="E491" s="265"/>
      <c r="F491" s="265"/>
      <c r="G491" s="266"/>
      <c r="J491" s="234" t="str">
        <f t="shared" si="11"/>
        <v/>
      </c>
    </row>
    <row r="492" spans="2:17" x14ac:dyDescent="0.15">
      <c r="B492" s="262"/>
      <c r="C492" s="263" t="s">
        <v>585</v>
      </c>
      <c r="D492" s="279"/>
      <c r="E492" s="265"/>
      <c r="F492" s="265"/>
      <c r="G492" s="266"/>
      <c r="J492" s="234" t="str">
        <f t="shared" si="11"/>
        <v/>
      </c>
    </row>
    <row r="493" spans="2:17" x14ac:dyDescent="0.15">
      <c r="B493" s="262"/>
      <c r="C493" s="263" t="s">
        <v>586</v>
      </c>
      <c r="D493" s="279"/>
      <c r="E493" s="265"/>
      <c r="F493" s="265"/>
      <c r="G493" s="266"/>
      <c r="J493" s="234" t="str">
        <f t="shared" si="11"/>
        <v/>
      </c>
    </row>
    <row r="494" spans="2:17" x14ac:dyDescent="0.15">
      <c r="B494" s="262"/>
      <c r="C494" s="263" t="s">
        <v>587</v>
      </c>
      <c r="D494" s="279" t="s">
        <v>358</v>
      </c>
      <c r="E494" s="265"/>
      <c r="F494" s="265"/>
      <c r="G494" s="266"/>
      <c r="J494" s="234" t="str">
        <f t="shared" si="11"/>
        <v>×</v>
      </c>
      <c r="K494" s="267" t="str">
        <f>C494</f>
        <v>８　感染症</v>
      </c>
      <c r="L494" s="268"/>
      <c r="M494" s="268"/>
      <c r="N494" s="269"/>
      <c r="P494" s="261" t="str">
        <f>IF((COUNTIF(E494, "*感染症*"))=1,"〇","X")</f>
        <v>X</v>
      </c>
      <c r="Q494" s="261" t="str">
        <f>IF((COUNTIF(F494, "*感染症*"))=1,"〇","X")</f>
        <v>X</v>
      </c>
    </row>
    <row r="495" spans="2:17" x14ac:dyDescent="0.15">
      <c r="B495" s="262"/>
      <c r="C495" s="263" t="s">
        <v>588</v>
      </c>
      <c r="D495" s="279"/>
      <c r="E495" s="265"/>
      <c r="F495" s="265"/>
      <c r="G495" s="266"/>
      <c r="J495" s="234" t="str">
        <f t="shared" si="11"/>
        <v/>
      </c>
    </row>
    <row r="496" spans="2:17" x14ac:dyDescent="0.15">
      <c r="B496" s="262"/>
      <c r="C496" s="263" t="s">
        <v>589</v>
      </c>
      <c r="D496" s="279"/>
      <c r="E496" s="265"/>
      <c r="F496" s="265"/>
      <c r="G496" s="266"/>
      <c r="J496" s="234" t="str">
        <f t="shared" si="11"/>
        <v/>
      </c>
    </row>
    <row r="497" spans="2:17" x14ac:dyDescent="0.15">
      <c r="B497" s="262"/>
      <c r="C497" s="263" t="s">
        <v>590</v>
      </c>
      <c r="D497" s="279"/>
      <c r="E497" s="265"/>
      <c r="F497" s="265"/>
      <c r="G497" s="266"/>
      <c r="J497" s="234" t="str">
        <f t="shared" si="11"/>
        <v/>
      </c>
    </row>
    <row r="498" spans="2:17" x14ac:dyDescent="0.15">
      <c r="B498" s="262"/>
      <c r="C498" s="263" t="s">
        <v>591</v>
      </c>
      <c r="D498" s="279"/>
      <c r="E498" s="265"/>
      <c r="F498" s="265"/>
      <c r="G498" s="266"/>
      <c r="J498" s="234" t="str">
        <f t="shared" si="11"/>
        <v/>
      </c>
    </row>
    <row r="499" spans="2:17" x14ac:dyDescent="0.15">
      <c r="B499" s="262"/>
      <c r="C499" s="263" t="s">
        <v>592</v>
      </c>
      <c r="D499" s="279"/>
      <c r="E499" s="265"/>
      <c r="F499" s="265"/>
      <c r="G499" s="266"/>
      <c r="J499" s="234" t="str">
        <f t="shared" si="11"/>
        <v/>
      </c>
    </row>
    <row r="500" spans="2:17" x14ac:dyDescent="0.15">
      <c r="B500" s="262"/>
      <c r="C500" s="291" t="s">
        <v>593</v>
      </c>
      <c r="D500" s="302"/>
      <c r="E500" s="303"/>
      <c r="F500" s="303"/>
      <c r="G500" s="304"/>
      <c r="J500" s="234" t="str">
        <f t="shared" si="11"/>
        <v/>
      </c>
    </row>
    <row r="501" spans="2:17" x14ac:dyDescent="0.15">
      <c r="B501" s="262"/>
      <c r="C501" s="263" t="s">
        <v>594</v>
      </c>
      <c r="D501" s="279"/>
      <c r="E501" s="265"/>
      <c r="F501" s="265"/>
      <c r="G501" s="266"/>
      <c r="J501" s="234" t="str">
        <f t="shared" si="11"/>
        <v/>
      </c>
    </row>
    <row r="502" spans="2:17" x14ac:dyDescent="0.15">
      <c r="B502" s="270"/>
      <c r="C502" s="286" t="s">
        <v>595</v>
      </c>
      <c r="D502" s="284"/>
      <c r="E502" s="277"/>
      <c r="F502" s="277"/>
      <c r="G502" s="278"/>
      <c r="J502" s="234" t="str">
        <f t="shared" si="11"/>
        <v/>
      </c>
    </row>
    <row r="503" spans="2:17" x14ac:dyDescent="0.15">
      <c r="B503" s="262"/>
      <c r="C503" s="263" t="s">
        <v>596</v>
      </c>
      <c r="D503" s="264"/>
      <c r="E503" s="265"/>
      <c r="F503" s="265"/>
      <c r="G503" s="266"/>
      <c r="J503" s="234" t="str">
        <f t="shared" si="11"/>
        <v/>
      </c>
    </row>
    <row r="504" spans="2:17" x14ac:dyDescent="0.15">
      <c r="B504" s="262"/>
      <c r="C504" s="263" t="s">
        <v>597</v>
      </c>
      <c r="D504" s="264"/>
      <c r="E504" s="265"/>
      <c r="F504" s="265"/>
      <c r="G504" s="266"/>
      <c r="J504" s="234" t="str">
        <f t="shared" si="11"/>
        <v/>
      </c>
    </row>
    <row r="505" spans="2:17" x14ac:dyDescent="0.15">
      <c r="B505" s="262"/>
      <c r="C505" s="263" t="s">
        <v>598</v>
      </c>
      <c r="D505" s="264"/>
      <c r="E505" s="265"/>
      <c r="F505" s="265"/>
      <c r="G505" s="266"/>
      <c r="J505" s="234" t="str">
        <f t="shared" si="11"/>
        <v/>
      </c>
    </row>
    <row r="506" spans="2:17" x14ac:dyDescent="0.15">
      <c r="B506" s="297"/>
      <c r="C506" s="263" t="s">
        <v>599</v>
      </c>
      <c r="D506" s="264"/>
      <c r="E506" s="265"/>
      <c r="F506" s="265"/>
      <c r="G506" s="266"/>
      <c r="J506" s="234" t="str">
        <f t="shared" si="11"/>
        <v/>
      </c>
    </row>
    <row r="507" spans="2:17" x14ac:dyDescent="0.15">
      <c r="B507" s="297"/>
      <c r="C507" s="263" t="s">
        <v>600</v>
      </c>
      <c r="D507" s="264"/>
      <c r="E507" s="265"/>
      <c r="F507" s="265"/>
      <c r="G507" s="266"/>
      <c r="J507" s="234" t="str">
        <f t="shared" si="11"/>
        <v/>
      </c>
    </row>
    <row r="508" spans="2:17" x14ac:dyDescent="0.15">
      <c r="B508" s="297"/>
      <c r="C508" s="263" t="s">
        <v>601</v>
      </c>
      <c r="D508" s="308" t="s">
        <v>358</v>
      </c>
      <c r="E508" s="265"/>
      <c r="F508" s="265"/>
      <c r="G508" s="266"/>
      <c r="J508" s="234" t="str">
        <f>IF(AND(OR(D508="◎",D508="◎※１"),OR(E508="",F508="",G508="")),"×","")</f>
        <v>×</v>
      </c>
      <c r="K508" s="267" t="str">
        <f>C508</f>
        <v>９　腎臓・泌尿器・生殖器系</v>
      </c>
      <c r="L508" s="268"/>
      <c r="M508" s="268"/>
      <c r="N508" s="269"/>
      <c r="P508" s="261" t="str">
        <f>IF((COUNTIF(E508, "*腎臓・泌尿器・生殖器系*"))=1,"〇","X")</f>
        <v>X</v>
      </c>
      <c r="Q508" s="261" t="str">
        <f>IF((COUNTIF(F508, "*腎臓・泌尿器・生殖器系*"))=1,"〇","X")</f>
        <v>X</v>
      </c>
    </row>
    <row r="509" spans="2:17" x14ac:dyDescent="0.15">
      <c r="B509" s="297"/>
      <c r="C509" s="263" t="s">
        <v>602</v>
      </c>
      <c r="D509" s="264"/>
      <c r="E509" s="265"/>
      <c r="F509" s="265"/>
      <c r="G509" s="266"/>
      <c r="J509" s="234" t="str">
        <f t="shared" si="11"/>
        <v/>
      </c>
    </row>
    <row r="510" spans="2:17" x14ac:dyDescent="0.15">
      <c r="B510" s="297"/>
      <c r="C510" s="263" t="s">
        <v>603</v>
      </c>
      <c r="D510" s="264"/>
      <c r="E510" s="265"/>
      <c r="F510" s="265"/>
      <c r="G510" s="266"/>
      <c r="J510" s="234" t="str">
        <f t="shared" si="11"/>
        <v/>
      </c>
    </row>
    <row r="511" spans="2:17" x14ac:dyDescent="0.15">
      <c r="B511" s="297"/>
      <c r="C511" s="263" t="s">
        <v>604</v>
      </c>
      <c r="D511" s="264"/>
      <c r="E511" s="265"/>
      <c r="F511" s="265"/>
      <c r="G511" s="266"/>
      <c r="J511" s="234" t="str">
        <f t="shared" si="11"/>
        <v/>
      </c>
    </row>
    <row r="512" spans="2:17" x14ac:dyDescent="0.15">
      <c r="B512" s="297"/>
      <c r="C512" s="263" t="s">
        <v>605</v>
      </c>
      <c r="D512" s="264"/>
      <c r="E512" s="265"/>
      <c r="F512" s="265"/>
      <c r="G512" s="266"/>
      <c r="J512" s="234" t="str">
        <f t="shared" si="11"/>
        <v/>
      </c>
    </row>
    <row r="513" spans="2:17" x14ac:dyDescent="0.15">
      <c r="B513" s="297"/>
      <c r="C513" s="263" t="s">
        <v>606</v>
      </c>
      <c r="D513" s="264"/>
      <c r="E513" s="265"/>
      <c r="F513" s="265"/>
      <c r="G513" s="266"/>
      <c r="J513" s="234" t="str">
        <f t="shared" si="11"/>
        <v/>
      </c>
    </row>
    <row r="514" spans="2:17" x14ac:dyDescent="0.15">
      <c r="B514" s="297"/>
      <c r="C514" s="263" t="s">
        <v>607</v>
      </c>
      <c r="D514" s="264"/>
      <c r="E514" s="265"/>
      <c r="F514" s="265"/>
      <c r="G514" s="266"/>
      <c r="J514" s="234" t="str">
        <f t="shared" si="11"/>
        <v/>
      </c>
    </row>
    <row r="515" spans="2:17" x14ac:dyDescent="0.15">
      <c r="B515" s="297"/>
      <c r="C515" s="263" t="s">
        <v>608</v>
      </c>
      <c r="D515" s="264"/>
      <c r="E515" s="265"/>
      <c r="F515" s="265"/>
      <c r="G515" s="266"/>
      <c r="J515" s="234" t="str">
        <f t="shared" si="11"/>
        <v/>
      </c>
    </row>
    <row r="516" spans="2:17" x14ac:dyDescent="0.15">
      <c r="B516" s="297"/>
      <c r="C516" s="263" t="s">
        <v>609</v>
      </c>
      <c r="D516" s="264"/>
      <c r="E516" s="265"/>
      <c r="F516" s="265"/>
      <c r="G516" s="266"/>
      <c r="J516" s="234" t="str">
        <f t="shared" ref="J516:J579" si="13">IF(AND(OR(D516="◎",D516="◎※１"),OR(E516="",F516="",G516="")),"×","")</f>
        <v/>
      </c>
    </row>
    <row r="517" spans="2:17" x14ac:dyDescent="0.15">
      <c r="B517" s="297"/>
      <c r="C517" s="263" t="s">
        <v>610</v>
      </c>
      <c r="D517" s="264"/>
      <c r="E517" s="265"/>
      <c r="F517" s="265"/>
      <c r="G517" s="266"/>
      <c r="J517" s="234" t="str">
        <f t="shared" si="13"/>
        <v/>
      </c>
    </row>
    <row r="518" spans="2:17" x14ac:dyDescent="0.15">
      <c r="B518" s="297"/>
      <c r="C518" s="263" t="s">
        <v>611</v>
      </c>
      <c r="D518" s="264"/>
      <c r="E518" s="265"/>
      <c r="F518" s="265"/>
      <c r="G518" s="266"/>
      <c r="J518" s="234" t="str">
        <f t="shared" si="13"/>
        <v/>
      </c>
    </row>
    <row r="519" spans="2:17" x14ac:dyDescent="0.15">
      <c r="B519" s="297"/>
      <c r="C519" s="263" t="s">
        <v>612</v>
      </c>
      <c r="D519" s="264"/>
      <c r="E519" s="265"/>
      <c r="F519" s="265"/>
      <c r="G519" s="266"/>
      <c r="J519" s="234" t="str">
        <f t="shared" si="13"/>
        <v/>
      </c>
    </row>
    <row r="520" spans="2:17" x14ac:dyDescent="0.15">
      <c r="B520" s="297"/>
      <c r="C520" s="263" t="s">
        <v>613</v>
      </c>
      <c r="D520" s="264"/>
      <c r="E520" s="265"/>
      <c r="F520" s="265"/>
      <c r="G520" s="266"/>
      <c r="J520" s="234" t="str">
        <f t="shared" si="13"/>
        <v/>
      </c>
    </row>
    <row r="521" spans="2:17" x14ac:dyDescent="0.15">
      <c r="B521" s="297"/>
      <c r="C521" s="263" t="s">
        <v>614</v>
      </c>
      <c r="D521" s="264"/>
      <c r="E521" s="265"/>
      <c r="F521" s="265"/>
      <c r="G521" s="266"/>
      <c r="J521" s="234" t="str">
        <f t="shared" si="13"/>
        <v/>
      </c>
    </row>
    <row r="522" spans="2:17" x14ac:dyDescent="0.15">
      <c r="B522" s="262"/>
      <c r="C522" s="263" t="s">
        <v>615</v>
      </c>
      <c r="D522" s="279"/>
      <c r="E522" s="265"/>
      <c r="F522" s="265"/>
      <c r="G522" s="266"/>
      <c r="J522" s="234" t="str">
        <f t="shared" si="13"/>
        <v/>
      </c>
    </row>
    <row r="523" spans="2:17" x14ac:dyDescent="0.15">
      <c r="B523" s="262"/>
      <c r="C523" s="263" t="s">
        <v>616</v>
      </c>
      <c r="D523" s="279"/>
      <c r="E523" s="265"/>
      <c r="F523" s="265"/>
      <c r="G523" s="266"/>
      <c r="J523" s="234" t="str">
        <f t="shared" si="13"/>
        <v/>
      </c>
    </row>
    <row r="524" spans="2:17" x14ac:dyDescent="0.15">
      <c r="B524" s="262"/>
      <c r="C524" s="263" t="s">
        <v>617</v>
      </c>
      <c r="D524" s="279" t="s">
        <v>358</v>
      </c>
      <c r="E524" s="265"/>
      <c r="F524" s="265"/>
      <c r="G524" s="266"/>
      <c r="J524" s="234" t="str">
        <f t="shared" si="13"/>
        <v>×</v>
      </c>
      <c r="K524" s="267" t="str">
        <f>C524</f>
        <v>10　消化器系の疾患</v>
      </c>
      <c r="L524" s="268"/>
      <c r="M524" s="268"/>
      <c r="N524" s="269"/>
      <c r="P524" s="261" t="str">
        <f>IF((COUNTIF(E524, "*消化器系の疾患*"))=1,"〇","X")</f>
        <v>X</v>
      </c>
      <c r="Q524" s="261" t="str">
        <f>IF((COUNTIF(F524, "*消化器系の疾患*"))=1,"〇","X")</f>
        <v>X</v>
      </c>
    </row>
    <row r="525" spans="2:17" x14ac:dyDescent="0.15">
      <c r="B525" s="262"/>
      <c r="C525" s="263" t="s">
        <v>618</v>
      </c>
      <c r="D525" s="279"/>
      <c r="E525" s="265"/>
      <c r="F525" s="265"/>
      <c r="G525" s="266"/>
      <c r="J525" s="234" t="str">
        <f t="shared" si="13"/>
        <v/>
      </c>
    </row>
    <row r="526" spans="2:17" x14ac:dyDescent="0.15">
      <c r="B526" s="262"/>
      <c r="C526" s="263" t="s">
        <v>619</v>
      </c>
      <c r="D526" s="309"/>
      <c r="E526" s="265"/>
      <c r="F526" s="265"/>
      <c r="G526" s="266"/>
      <c r="J526" s="234" t="str">
        <f t="shared" si="13"/>
        <v/>
      </c>
    </row>
    <row r="527" spans="2:17" x14ac:dyDescent="0.15">
      <c r="B527" s="262"/>
      <c r="C527" s="263" t="s">
        <v>620</v>
      </c>
      <c r="D527" s="279"/>
      <c r="E527" s="265"/>
      <c r="F527" s="265"/>
      <c r="G527" s="266"/>
      <c r="J527" s="234" t="str">
        <f t="shared" si="13"/>
        <v/>
      </c>
    </row>
    <row r="528" spans="2:17" x14ac:dyDescent="0.15">
      <c r="B528" s="262"/>
      <c r="C528" s="263" t="s">
        <v>621</v>
      </c>
      <c r="D528" s="279"/>
      <c r="E528" s="265"/>
      <c r="F528" s="265"/>
      <c r="G528" s="266"/>
      <c r="J528" s="234" t="str">
        <f t="shared" si="13"/>
        <v/>
      </c>
    </row>
    <row r="529" spans="2:17" x14ac:dyDescent="0.15">
      <c r="B529" s="262"/>
      <c r="C529" s="263" t="s">
        <v>622</v>
      </c>
      <c r="D529" s="279"/>
      <c r="E529" s="265"/>
      <c r="F529" s="265"/>
      <c r="G529" s="266"/>
      <c r="J529" s="234" t="str">
        <f t="shared" si="13"/>
        <v/>
      </c>
    </row>
    <row r="530" spans="2:17" x14ac:dyDescent="0.15">
      <c r="B530" s="262"/>
      <c r="C530" s="263" t="s">
        <v>623</v>
      </c>
      <c r="D530" s="279"/>
      <c r="E530" s="265"/>
      <c r="F530" s="265"/>
      <c r="G530" s="266"/>
      <c r="J530" s="234" t="str">
        <f t="shared" si="13"/>
        <v/>
      </c>
    </row>
    <row r="531" spans="2:17" x14ac:dyDescent="0.15">
      <c r="B531" s="262"/>
      <c r="C531" s="263" t="s">
        <v>624</v>
      </c>
      <c r="D531" s="279"/>
      <c r="E531" s="265"/>
      <c r="F531" s="265"/>
      <c r="G531" s="266"/>
      <c r="J531" s="234" t="str">
        <f t="shared" si="13"/>
        <v/>
      </c>
    </row>
    <row r="532" spans="2:17" x14ac:dyDescent="0.15">
      <c r="B532" s="262"/>
      <c r="C532" s="263" t="s">
        <v>625</v>
      </c>
      <c r="D532" s="279" t="s">
        <v>358</v>
      </c>
      <c r="E532" s="265"/>
      <c r="F532" s="265"/>
      <c r="G532" s="266"/>
      <c r="J532" s="234" t="str">
        <f t="shared" si="13"/>
        <v>×</v>
      </c>
      <c r="K532" s="267" t="str">
        <f>C532</f>
        <v>11　血液系</v>
      </c>
      <c r="L532" s="268"/>
      <c r="M532" s="268"/>
      <c r="N532" s="269"/>
      <c r="P532" s="261" t="str">
        <f>IF((COUNTIF(E532, "*血液系*"))=1,"〇","X")</f>
        <v>X</v>
      </c>
      <c r="Q532" s="261" t="str">
        <f>IF((COUNTIF(F532, "*血液系*"))=1,"〇","X")</f>
        <v>X</v>
      </c>
    </row>
    <row r="533" spans="2:17" x14ac:dyDescent="0.15">
      <c r="B533" s="262"/>
      <c r="C533" s="263" t="s">
        <v>626</v>
      </c>
      <c r="D533" s="279"/>
      <c r="E533" s="265"/>
      <c r="F533" s="265"/>
      <c r="G533" s="266"/>
      <c r="J533" s="234" t="str">
        <f t="shared" si="13"/>
        <v/>
      </c>
    </row>
    <row r="534" spans="2:17" x14ac:dyDescent="0.15">
      <c r="B534" s="262"/>
      <c r="C534" s="263" t="s">
        <v>627</v>
      </c>
      <c r="D534" s="279"/>
      <c r="E534" s="265"/>
      <c r="F534" s="265"/>
      <c r="G534" s="266"/>
      <c r="J534" s="234" t="str">
        <f t="shared" si="13"/>
        <v/>
      </c>
    </row>
    <row r="535" spans="2:17" x14ac:dyDescent="0.15">
      <c r="B535" s="262"/>
      <c r="C535" s="263" t="s">
        <v>628</v>
      </c>
      <c r="D535" s="279"/>
      <c r="E535" s="265"/>
      <c r="F535" s="265"/>
      <c r="G535" s="266"/>
      <c r="J535" s="234" t="str">
        <f t="shared" si="13"/>
        <v/>
      </c>
    </row>
    <row r="536" spans="2:17" x14ac:dyDescent="0.15">
      <c r="B536" s="262"/>
      <c r="C536" s="263" t="s">
        <v>629</v>
      </c>
      <c r="D536" s="279"/>
      <c r="E536" s="265"/>
      <c r="F536" s="265"/>
      <c r="G536" s="266"/>
      <c r="J536" s="234" t="str">
        <f t="shared" si="13"/>
        <v/>
      </c>
    </row>
    <row r="537" spans="2:17" x14ac:dyDescent="0.15">
      <c r="B537" s="262"/>
      <c r="C537" s="263" t="s">
        <v>630</v>
      </c>
      <c r="D537" s="279" t="s">
        <v>187</v>
      </c>
      <c r="E537" s="265"/>
      <c r="F537" s="265"/>
      <c r="G537" s="266"/>
      <c r="J537" s="234" t="str">
        <f t="shared" si="13"/>
        <v>×</v>
      </c>
      <c r="K537" s="267" t="str">
        <f>C537</f>
        <v>12　麻酔科学</v>
      </c>
      <c r="L537" s="268"/>
      <c r="M537" s="268"/>
      <c r="N537" s="269"/>
      <c r="P537" s="261" t="str">
        <f>IF((COUNTIF(E537, "*麻酔科学*"))=1,"〇","X")</f>
        <v>X</v>
      </c>
      <c r="Q537" s="261" t="str">
        <f>IF((COUNTIF(F537, "*麻酔科学*"))=1,"〇","X")</f>
        <v>X</v>
      </c>
    </row>
    <row r="538" spans="2:17" x14ac:dyDescent="0.15">
      <c r="B538" s="262"/>
      <c r="C538" s="263" t="s">
        <v>631</v>
      </c>
      <c r="D538" s="279"/>
      <c r="E538" s="265"/>
      <c r="F538" s="265"/>
      <c r="G538" s="266"/>
      <c r="J538" s="234" t="str">
        <f t="shared" si="13"/>
        <v/>
      </c>
    </row>
    <row r="539" spans="2:17" x14ac:dyDescent="0.15">
      <c r="B539" s="262"/>
      <c r="C539" s="263" t="s">
        <v>632</v>
      </c>
      <c r="D539" s="279"/>
      <c r="E539" s="265"/>
      <c r="F539" s="265"/>
      <c r="G539" s="266"/>
      <c r="J539" s="234" t="str">
        <f t="shared" si="13"/>
        <v/>
      </c>
    </row>
    <row r="540" spans="2:17" x14ac:dyDescent="0.15">
      <c r="B540" s="262"/>
      <c r="C540" s="263" t="s">
        <v>633</v>
      </c>
      <c r="D540" s="279"/>
      <c r="E540" s="265"/>
      <c r="F540" s="265"/>
      <c r="G540" s="266"/>
      <c r="J540" s="234" t="str">
        <f t="shared" si="13"/>
        <v/>
      </c>
    </row>
    <row r="541" spans="2:17" x14ac:dyDescent="0.15">
      <c r="B541" s="262"/>
      <c r="C541" s="263" t="s">
        <v>634</v>
      </c>
      <c r="D541" s="279"/>
      <c r="E541" s="265"/>
      <c r="F541" s="265"/>
      <c r="G541" s="266"/>
      <c r="J541" s="234" t="str">
        <f t="shared" si="13"/>
        <v/>
      </c>
    </row>
    <row r="542" spans="2:17" x14ac:dyDescent="0.15">
      <c r="B542" s="262"/>
      <c r="C542" s="263" t="s">
        <v>635</v>
      </c>
      <c r="D542" s="279"/>
      <c r="E542" s="265"/>
      <c r="F542" s="265"/>
      <c r="G542" s="266"/>
      <c r="J542" s="234" t="str">
        <f t="shared" si="13"/>
        <v/>
      </c>
    </row>
    <row r="543" spans="2:17" x14ac:dyDescent="0.15">
      <c r="B543" s="262"/>
      <c r="C543" s="263" t="s">
        <v>636</v>
      </c>
      <c r="D543" s="279"/>
      <c r="E543" s="265"/>
      <c r="F543" s="265"/>
      <c r="G543" s="266"/>
      <c r="J543" s="234" t="str">
        <f t="shared" si="13"/>
        <v/>
      </c>
    </row>
    <row r="544" spans="2:17" x14ac:dyDescent="0.15">
      <c r="B544" s="262"/>
      <c r="C544" s="291" t="s">
        <v>637</v>
      </c>
      <c r="D544" s="302"/>
      <c r="E544" s="303"/>
      <c r="F544" s="303"/>
      <c r="G544" s="304"/>
      <c r="J544" s="234" t="str">
        <f t="shared" si="13"/>
        <v/>
      </c>
    </row>
    <row r="545" spans="2:17" x14ac:dyDescent="0.15">
      <c r="B545" s="262"/>
      <c r="C545" s="263" t="s">
        <v>638</v>
      </c>
      <c r="D545" s="279"/>
      <c r="E545" s="265"/>
      <c r="F545" s="265"/>
      <c r="G545" s="266"/>
      <c r="J545" s="234" t="str">
        <f t="shared" si="13"/>
        <v/>
      </c>
    </row>
    <row r="546" spans="2:17" x14ac:dyDescent="0.15">
      <c r="B546" s="270"/>
      <c r="C546" s="286" t="s">
        <v>639</v>
      </c>
      <c r="D546" s="284"/>
      <c r="E546" s="277"/>
      <c r="F546" s="277"/>
      <c r="G546" s="278"/>
      <c r="J546" s="234" t="str">
        <f t="shared" si="13"/>
        <v/>
      </c>
    </row>
    <row r="547" spans="2:17" x14ac:dyDescent="0.15">
      <c r="B547" s="262"/>
      <c r="C547" s="263" t="s">
        <v>640</v>
      </c>
      <c r="D547" s="264"/>
      <c r="E547" s="265"/>
      <c r="F547" s="265"/>
      <c r="G547" s="266"/>
      <c r="J547" s="234" t="str">
        <f t="shared" si="13"/>
        <v/>
      </c>
    </row>
    <row r="548" spans="2:17" x14ac:dyDescent="0.15">
      <c r="B548" s="262"/>
      <c r="C548" s="263" t="s">
        <v>641</v>
      </c>
      <c r="D548" s="264"/>
      <c r="E548" s="265"/>
      <c r="F548" s="265"/>
      <c r="G548" s="266"/>
      <c r="J548" s="234" t="str">
        <f t="shared" si="13"/>
        <v/>
      </c>
    </row>
    <row r="549" spans="2:17" x14ac:dyDescent="0.15">
      <c r="B549" s="262"/>
      <c r="C549" s="263" t="s">
        <v>642</v>
      </c>
      <c r="D549" s="264"/>
      <c r="E549" s="265"/>
      <c r="F549" s="265"/>
      <c r="G549" s="266"/>
      <c r="J549" s="234" t="str">
        <f t="shared" si="13"/>
        <v/>
      </c>
    </row>
    <row r="550" spans="2:17" x14ac:dyDescent="0.15">
      <c r="B550" s="297"/>
      <c r="C550" s="263" t="s">
        <v>643</v>
      </c>
      <c r="D550" s="264"/>
      <c r="E550" s="265"/>
      <c r="F550" s="265"/>
      <c r="G550" s="266"/>
      <c r="J550" s="234" t="str">
        <f t="shared" si="13"/>
        <v/>
      </c>
    </row>
    <row r="551" spans="2:17" x14ac:dyDescent="0.15">
      <c r="B551" s="297"/>
      <c r="C551" s="263" t="s">
        <v>644</v>
      </c>
      <c r="D551" s="264"/>
      <c r="E551" s="265"/>
      <c r="F551" s="265"/>
      <c r="G551" s="266"/>
      <c r="J551" s="234" t="str">
        <f t="shared" si="13"/>
        <v/>
      </c>
    </row>
    <row r="552" spans="2:17" x14ac:dyDescent="0.15">
      <c r="B552" s="297"/>
      <c r="C552" s="263" t="s">
        <v>645</v>
      </c>
      <c r="D552" s="264"/>
      <c r="E552" s="265"/>
      <c r="F552" s="265"/>
      <c r="G552" s="266"/>
      <c r="J552" s="234" t="str">
        <f t="shared" si="13"/>
        <v/>
      </c>
    </row>
    <row r="553" spans="2:17" x14ac:dyDescent="0.15">
      <c r="B553" s="297"/>
      <c r="C553" s="263" t="s">
        <v>646</v>
      </c>
      <c r="D553" s="264"/>
      <c r="E553" s="265"/>
      <c r="F553" s="265"/>
      <c r="G553" s="266"/>
      <c r="J553" s="234" t="str">
        <f t="shared" si="13"/>
        <v/>
      </c>
    </row>
    <row r="554" spans="2:17" x14ac:dyDescent="0.15">
      <c r="B554" s="297"/>
      <c r="C554" s="263" t="s">
        <v>647</v>
      </c>
      <c r="D554" s="264" t="s">
        <v>358</v>
      </c>
      <c r="E554" s="265"/>
      <c r="F554" s="265"/>
      <c r="G554" s="266"/>
      <c r="J554" s="234" t="str">
        <f t="shared" si="13"/>
        <v>×</v>
      </c>
      <c r="K554" s="267" t="str">
        <f>C554</f>
        <v>13　集中治療・救急医学</v>
      </c>
      <c r="L554" s="268"/>
      <c r="M554" s="268"/>
      <c r="N554" s="269"/>
      <c r="P554" s="261" t="str">
        <f>IF((COUNTIF(E554, "*集中治療・救急医学*"))=1,"〇","X")</f>
        <v>X</v>
      </c>
      <c r="Q554" s="261" t="str">
        <f>IF((COUNTIF(F554, "*集中治療・救急医学*"))=1,"〇","X")</f>
        <v>X</v>
      </c>
    </row>
    <row r="555" spans="2:17" x14ac:dyDescent="0.15">
      <c r="B555" s="297"/>
      <c r="C555" s="263" t="s">
        <v>648</v>
      </c>
      <c r="D555" s="264"/>
      <c r="E555" s="265"/>
      <c r="F555" s="265"/>
      <c r="G555" s="266"/>
      <c r="J555" s="234" t="str">
        <f t="shared" si="13"/>
        <v/>
      </c>
    </row>
    <row r="556" spans="2:17" x14ac:dyDescent="0.15">
      <c r="B556" s="297"/>
      <c r="C556" s="263" t="s">
        <v>649</v>
      </c>
      <c r="D556" s="264"/>
      <c r="E556" s="265"/>
      <c r="F556" s="265"/>
      <c r="G556" s="266"/>
      <c r="J556" s="234" t="str">
        <f t="shared" si="13"/>
        <v/>
      </c>
    </row>
    <row r="557" spans="2:17" x14ac:dyDescent="0.15">
      <c r="B557" s="297"/>
      <c r="C557" s="263" t="s">
        <v>650</v>
      </c>
      <c r="D557" s="264"/>
      <c r="E557" s="265"/>
      <c r="F557" s="265"/>
      <c r="G557" s="266"/>
      <c r="J557" s="234" t="str">
        <f t="shared" si="13"/>
        <v/>
      </c>
    </row>
    <row r="558" spans="2:17" x14ac:dyDescent="0.15">
      <c r="B558" s="297"/>
      <c r="C558" s="263" t="s">
        <v>651</v>
      </c>
      <c r="D558" s="264"/>
      <c r="E558" s="265"/>
      <c r="F558" s="265"/>
      <c r="G558" s="266"/>
      <c r="J558" s="234" t="str">
        <f t="shared" si="13"/>
        <v/>
      </c>
    </row>
    <row r="559" spans="2:17" x14ac:dyDescent="0.15">
      <c r="B559" s="297"/>
      <c r="C559" s="263" t="s">
        <v>652</v>
      </c>
      <c r="D559" s="264"/>
      <c r="E559" s="265"/>
      <c r="F559" s="265"/>
      <c r="G559" s="266"/>
      <c r="J559" s="234" t="str">
        <f t="shared" si="13"/>
        <v/>
      </c>
    </row>
    <row r="560" spans="2:17" x14ac:dyDescent="0.15">
      <c r="B560" s="297"/>
      <c r="C560" s="263" t="s">
        <v>653</v>
      </c>
      <c r="D560" s="264"/>
      <c r="E560" s="265"/>
      <c r="F560" s="265"/>
      <c r="G560" s="266"/>
      <c r="J560" s="234" t="str">
        <f t="shared" si="13"/>
        <v/>
      </c>
    </row>
    <row r="561" spans="2:17" x14ac:dyDescent="0.15">
      <c r="B561" s="297"/>
      <c r="C561" s="263" t="s">
        <v>654</v>
      </c>
      <c r="D561" s="264"/>
      <c r="E561" s="265"/>
      <c r="F561" s="265"/>
      <c r="G561" s="266"/>
      <c r="J561" s="234" t="str">
        <f t="shared" si="13"/>
        <v/>
      </c>
    </row>
    <row r="562" spans="2:17" x14ac:dyDescent="0.15">
      <c r="B562" s="297"/>
      <c r="C562" s="263" t="s">
        <v>655</v>
      </c>
      <c r="D562" s="264" t="s">
        <v>358</v>
      </c>
      <c r="E562" s="265"/>
      <c r="F562" s="265"/>
      <c r="G562" s="266"/>
      <c r="J562" s="234" t="str">
        <f t="shared" si="13"/>
        <v>×</v>
      </c>
      <c r="K562" s="267" t="str">
        <f>C562</f>
        <v>14　手術医学</v>
      </c>
      <c r="L562" s="268"/>
      <c r="M562" s="268"/>
      <c r="N562" s="269"/>
      <c r="P562" s="261" t="str">
        <f>IF((COUNTIF(E562, "*手術医学*"))=1,"〇","X")</f>
        <v>X</v>
      </c>
      <c r="Q562" s="261" t="str">
        <f>IF((COUNTIF(F562, "*手術医学*"))=1,"〇","X")</f>
        <v>X</v>
      </c>
    </row>
    <row r="563" spans="2:17" x14ac:dyDescent="0.15">
      <c r="B563" s="297"/>
      <c r="C563" s="263" t="s">
        <v>656</v>
      </c>
      <c r="D563" s="264"/>
      <c r="E563" s="265"/>
      <c r="F563" s="265"/>
      <c r="G563" s="266"/>
      <c r="J563" s="234" t="str">
        <f t="shared" si="13"/>
        <v/>
      </c>
    </row>
    <row r="564" spans="2:17" x14ac:dyDescent="0.15">
      <c r="B564" s="297"/>
      <c r="C564" s="263" t="s">
        <v>657</v>
      </c>
      <c r="D564" s="264"/>
      <c r="E564" s="265"/>
      <c r="F564" s="265"/>
      <c r="G564" s="266"/>
      <c r="J564" s="234" t="str">
        <f t="shared" si="13"/>
        <v/>
      </c>
    </row>
    <row r="565" spans="2:17" x14ac:dyDescent="0.15">
      <c r="B565" s="297"/>
      <c r="C565" s="263" t="s">
        <v>658</v>
      </c>
      <c r="D565" s="264"/>
      <c r="E565" s="265"/>
      <c r="F565" s="265"/>
      <c r="G565" s="266"/>
      <c r="J565" s="234" t="str">
        <f t="shared" si="13"/>
        <v/>
      </c>
    </row>
    <row r="566" spans="2:17" x14ac:dyDescent="0.15">
      <c r="B566" s="262"/>
      <c r="C566" s="263" t="s">
        <v>659</v>
      </c>
      <c r="D566" s="279"/>
      <c r="E566" s="265"/>
      <c r="F566" s="265"/>
      <c r="G566" s="266"/>
      <c r="J566" s="234" t="str">
        <f t="shared" si="13"/>
        <v/>
      </c>
    </row>
    <row r="567" spans="2:17" x14ac:dyDescent="0.15">
      <c r="B567" s="262"/>
      <c r="C567" s="263" t="s">
        <v>660</v>
      </c>
      <c r="D567" s="279" t="s">
        <v>358</v>
      </c>
      <c r="E567" s="265"/>
      <c r="F567" s="265"/>
      <c r="G567" s="266"/>
      <c r="J567" s="234" t="str">
        <f t="shared" si="13"/>
        <v>×</v>
      </c>
      <c r="K567" s="267" t="str">
        <f>C567</f>
        <v>15　臨床生理学検査</v>
      </c>
      <c r="L567" s="268"/>
      <c r="M567" s="268"/>
      <c r="N567" s="269"/>
      <c r="P567" s="261" t="str">
        <f>IF((COUNTIF(E567, "*臨床生理学検査*"))=1,"〇","X")</f>
        <v>X</v>
      </c>
      <c r="Q567" s="261" t="str">
        <f>IF((COUNTIF(F567, "*臨床生理学検査*"))=1,"〇","X")</f>
        <v>X</v>
      </c>
    </row>
    <row r="568" spans="2:17" x14ac:dyDescent="0.15">
      <c r="B568" s="262"/>
      <c r="C568" s="263" t="s">
        <v>661</v>
      </c>
      <c r="D568" s="279"/>
      <c r="E568" s="265"/>
      <c r="F568" s="265"/>
      <c r="G568" s="266"/>
      <c r="J568" s="234" t="str">
        <f t="shared" si="13"/>
        <v/>
      </c>
    </row>
    <row r="569" spans="2:17" x14ac:dyDescent="0.15">
      <c r="B569" s="262"/>
      <c r="C569" s="263" t="s">
        <v>662</v>
      </c>
      <c r="D569" s="279"/>
      <c r="E569" s="265"/>
      <c r="F569" s="265"/>
      <c r="G569" s="266"/>
      <c r="J569" s="234" t="str">
        <f t="shared" si="13"/>
        <v/>
      </c>
    </row>
    <row r="570" spans="2:17" x14ac:dyDescent="0.15">
      <c r="B570" s="262"/>
      <c r="C570" s="263" t="s">
        <v>663</v>
      </c>
      <c r="D570" s="279"/>
      <c r="E570" s="265"/>
      <c r="F570" s="265"/>
      <c r="G570" s="266"/>
      <c r="J570" s="234" t="str">
        <f t="shared" si="13"/>
        <v/>
      </c>
    </row>
    <row r="571" spans="2:17" ht="14.25" thickBot="1" x14ac:dyDescent="0.2">
      <c r="B571" s="283"/>
      <c r="C571" s="273" t="s">
        <v>664</v>
      </c>
      <c r="D571" s="285"/>
      <c r="E571" s="275"/>
      <c r="F571" s="275"/>
      <c r="G571" s="276"/>
      <c r="J571" s="234" t="str">
        <f t="shared" si="13"/>
        <v/>
      </c>
    </row>
    <row r="572" spans="2:17" x14ac:dyDescent="0.15">
      <c r="B572" s="262" t="s">
        <v>57</v>
      </c>
      <c r="C572" s="286" t="s">
        <v>665</v>
      </c>
      <c r="D572" s="282" t="s">
        <v>358</v>
      </c>
      <c r="E572" s="277"/>
      <c r="F572" s="277"/>
      <c r="G572" s="278"/>
      <c r="J572" s="234" t="str">
        <f t="shared" si="13"/>
        <v>×</v>
      </c>
      <c r="K572" s="299" t="str">
        <f t="shared" ref="K572:K578" si="14">C572</f>
        <v>１　血液浄化療法関連実習</v>
      </c>
      <c r="L572" s="300"/>
      <c r="M572" s="300"/>
      <c r="N572" s="301"/>
      <c r="P572" s="261" t="str">
        <f>IF((COUNTIF(E572, "*血液浄化療法関連実習*"))=1,"〇","X")</f>
        <v>X</v>
      </c>
      <c r="Q572" s="261" t="str">
        <f>IF((COUNTIF(F572, "*血液浄化療法関連実習*"))=1,"〇","X")</f>
        <v>X</v>
      </c>
    </row>
    <row r="573" spans="2:17" ht="27" x14ac:dyDescent="0.15">
      <c r="B573" s="421" t="s">
        <v>666</v>
      </c>
      <c r="C573" s="263" t="s">
        <v>828</v>
      </c>
      <c r="D573" s="279" t="s">
        <v>187</v>
      </c>
      <c r="E573" s="265"/>
      <c r="F573" s="265"/>
      <c r="G573" s="266"/>
      <c r="J573" s="234" t="str">
        <f t="shared" si="13"/>
        <v>×</v>
      </c>
      <c r="K573" s="299" t="str">
        <f t="shared" si="14"/>
        <v>２　呼吸療法関連実習（集中治療室
　　と手術室での実習を含む）</v>
      </c>
      <c r="L573" s="300"/>
      <c r="M573" s="300"/>
      <c r="N573" s="300"/>
      <c r="P573" s="261" t="str">
        <f>IF((COUNTIF(E573, "*呼吸療法関連実習（集中治療室と手術室での実習を含む）*"))=1,"〇","X")</f>
        <v>X</v>
      </c>
      <c r="Q573" s="261" t="str">
        <f>IF((COUNTIF(F573, "*呼吸療法関連実習（集中治療室と手術室での実習を含む）*"))=1,"〇","X")</f>
        <v>X</v>
      </c>
    </row>
    <row r="574" spans="2:17" ht="40.5" x14ac:dyDescent="0.15">
      <c r="B574" s="421"/>
      <c r="C574" s="263" t="s">
        <v>829</v>
      </c>
      <c r="D574" s="279" t="s">
        <v>187</v>
      </c>
      <c r="E574" s="265"/>
      <c r="F574" s="265"/>
      <c r="G574" s="266"/>
      <c r="J574" s="234" t="str">
        <f t="shared" si="13"/>
        <v>×</v>
      </c>
      <c r="K574" s="267" t="str">
        <f t="shared" si="14"/>
        <v>３　循環器関連実習（集中治療室と
　　手術室での実習及び人工心肺
　　装置の実習を含む）</v>
      </c>
      <c r="L574" s="268"/>
      <c r="M574" s="268"/>
      <c r="N574" s="268"/>
      <c r="P574" s="261" t="str">
        <f>IF((COUNTIF(E574, "*循環器関連実習（集中治療室と手術室での実習及び人工心肺装置の実習を含む）*"))=1,"〇","X")</f>
        <v>X</v>
      </c>
      <c r="Q574" s="261" t="str">
        <f>IF((COUNTIF(F574, "*循環器関連実習（集中治療室と手術室での実習及び人工心肺装置の実習を含む）*"))=1,"〇","X")</f>
        <v>X</v>
      </c>
    </row>
    <row r="575" spans="2:17" x14ac:dyDescent="0.15">
      <c r="B575" s="421"/>
      <c r="C575" s="263" t="s">
        <v>667</v>
      </c>
      <c r="D575" s="279" t="s">
        <v>187</v>
      </c>
      <c r="E575" s="265"/>
      <c r="F575" s="265"/>
      <c r="G575" s="266"/>
      <c r="J575" s="234" t="str">
        <f t="shared" si="13"/>
        <v>×</v>
      </c>
      <c r="K575" s="267" t="str">
        <f t="shared" si="14"/>
        <v>４　治療機器関連実習</v>
      </c>
      <c r="L575" s="268"/>
      <c r="M575" s="268"/>
      <c r="N575" s="269"/>
      <c r="P575" s="261" t="str">
        <f>IF((COUNTIF(E575, "*治療機器関連実習*"))=1,"〇","X")</f>
        <v>X</v>
      </c>
      <c r="Q575" s="261" t="str">
        <f>IF((COUNTIF(F575, "*治療機器関連実習*"))=1,"〇","X")</f>
        <v>X</v>
      </c>
    </row>
    <row r="576" spans="2:17" x14ac:dyDescent="0.15">
      <c r="B576" s="421"/>
      <c r="C576" s="263" t="s">
        <v>668</v>
      </c>
      <c r="D576" s="279" t="s">
        <v>187</v>
      </c>
      <c r="E576" s="265"/>
      <c r="F576" s="265"/>
      <c r="G576" s="266"/>
      <c r="J576" s="234" t="str">
        <f t="shared" si="13"/>
        <v>×</v>
      </c>
      <c r="K576" s="299" t="str">
        <f t="shared" si="14"/>
        <v>５　医療機器管理業務実習</v>
      </c>
      <c r="L576" s="300"/>
      <c r="M576" s="300"/>
      <c r="N576" s="301"/>
      <c r="P576" s="261" t="str">
        <f>IF((COUNTIF(E576, "*医療機器管理業務実習*"))=1,"〇","X")</f>
        <v>X</v>
      </c>
      <c r="Q576" s="261" t="str">
        <f>IF((COUNTIF(F576, "*医療機器管理業務実習*"))=1,"〇","X")</f>
        <v>X</v>
      </c>
    </row>
    <row r="577" spans="2:17" ht="40.5" x14ac:dyDescent="0.15">
      <c r="B577" s="421"/>
      <c r="C577" s="263" t="s">
        <v>830</v>
      </c>
      <c r="D577" s="279" t="s">
        <v>187</v>
      </c>
      <c r="E577" s="265"/>
      <c r="F577" s="265"/>
      <c r="G577" s="266"/>
      <c r="J577" s="234" t="str">
        <f t="shared" si="13"/>
        <v>×</v>
      </c>
      <c r="K577" s="267" t="str">
        <f t="shared" si="14"/>
        <v>６　その他臨床での実習（医療機関
　　各部門の見学実習、臨床支援
　　技術実習、振り返り等）</v>
      </c>
      <c r="L577" s="268"/>
      <c r="M577" s="268"/>
      <c r="N577" s="268"/>
      <c r="P577" s="261" t="str">
        <f>IF((COUNTIF(E577, "*その他臨床での実習（医療機関各部門の見学実習、臨床支援技術実習、振り返り等）*"))=1,"〇","X")</f>
        <v>X</v>
      </c>
      <c r="Q577" s="261" t="str">
        <f>IF((COUNTIF(F577, "*その他臨床での実習（医療機関各部門の見学実習、臨床支援技術実習、振り返り等）*"))=1,"〇","X")</f>
        <v>X</v>
      </c>
    </row>
    <row r="578" spans="2:17" ht="27" x14ac:dyDescent="0.15">
      <c r="B578" s="421"/>
      <c r="C578" s="263" t="s">
        <v>831</v>
      </c>
      <c r="D578" s="279" t="s">
        <v>187</v>
      </c>
      <c r="E578" s="265"/>
      <c r="F578" s="265"/>
      <c r="G578" s="266"/>
      <c r="J578" s="234" t="str">
        <f t="shared" si="13"/>
        <v>×</v>
      </c>
      <c r="K578" s="267" t="str">
        <f t="shared" si="14"/>
        <v>７　学内実習（臨床実習前後の
　　技術・知識の到達度評価）</v>
      </c>
      <c r="L578" s="268"/>
      <c r="M578" s="268"/>
      <c r="N578" s="268"/>
      <c r="P578" s="261" t="str">
        <f>IF((COUNTIF(E578, "*学内実習（臨床実習前後の技術・知識の到達度評価）*"))=1,"〇","X")</f>
        <v>X</v>
      </c>
      <c r="Q578" s="261" t="str">
        <f>IF((COUNTIF(F578, "*学内実習（臨床実習前後の技術・知識の到達度評価）*"))=1,"〇","X")</f>
        <v>X</v>
      </c>
    </row>
    <row r="579" spans="2:17" ht="27.75" thickBot="1" x14ac:dyDescent="0.2">
      <c r="B579" s="422"/>
      <c r="C579" s="273" t="s">
        <v>832</v>
      </c>
      <c r="D579" s="285"/>
      <c r="E579" s="275"/>
      <c r="F579" s="275"/>
      <c r="G579" s="276"/>
      <c r="J579" s="234" t="str">
        <f t="shared" si="13"/>
        <v/>
      </c>
    </row>
    <row r="580" spans="2:17" x14ac:dyDescent="0.15">
      <c r="J580" s="234"/>
    </row>
    <row r="581" spans="2:17" x14ac:dyDescent="0.15">
      <c r="B581" s="426" t="s">
        <v>669</v>
      </c>
      <c r="C581" s="426"/>
      <c r="D581" s="426"/>
      <c r="E581" s="426"/>
      <c r="F581" s="426"/>
      <c r="G581" s="310"/>
      <c r="J581" s="234"/>
    </row>
    <row r="582" spans="2:17" ht="14.25" thickBot="1" x14ac:dyDescent="0.2">
      <c r="B582" s="420" t="s">
        <v>670</v>
      </c>
      <c r="C582" s="420"/>
      <c r="D582" s="420"/>
      <c r="E582" s="420"/>
      <c r="F582" s="420"/>
      <c r="G582" s="311" t="s">
        <v>671</v>
      </c>
    </row>
    <row r="583" spans="2:17" ht="86.25" customHeight="1" thickTop="1" x14ac:dyDescent="0.15">
      <c r="B583" s="419" t="s">
        <v>672</v>
      </c>
      <c r="C583" s="419"/>
      <c r="D583" s="419"/>
      <c r="E583" s="419"/>
      <c r="F583" s="419"/>
      <c r="G583" s="312"/>
      <c r="I583" s="313" t="b">
        <v>0</v>
      </c>
      <c r="J583" s="234" t="str">
        <f>IF(I583=TRUE,"○","×")</f>
        <v>×</v>
      </c>
    </row>
    <row r="584" spans="2:17" x14ac:dyDescent="0.15">
      <c r="J584" s="234"/>
    </row>
    <row r="585" spans="2:17" x14ac:dyDescent="0.15">
      <c r="B585" s="106" t="s">
        <v>673</v>
      </c>
    </row>
    <row r="586" spans="2:17" ht="14.25" thickBot="1" x14ac:dyDescent="0.2">
      <c r="B586" s="420" t="s">
        <v>670</v>
      </c>
      <c r="C586" s="420"/>
      <c r="D586" s="420"/>
      <c r="E586" s="420"/>
      <c r="F586" s="420"/>
      <c r="G586" s="311" t="s">
        <v>671</v>
      </c>
      <c r="J586" s="234"/>
    </row>
    <row r="587" spans="2:17" ht="80.25" customHeight="1" thickTop="1" x14ac:dyDescent="0.15">
      <c r="B587" s="419" t="s">
        <v>674</v>
      </c>
      <c r="C587" s="419"/>
      <c r="D587" s="419"/>
      <c r="E587" s="419"/>
      <c r="F587" s="419"/>
      <c r="G587" s="312"/>
      <c r="H587" s="313"/>
      <c r="I587" s="313" t="b">
        <v>0</v>
      </c>
      <c r="J587" s="234" t="str">
        <f>IF(I587=TRUE,"○","×")</f>
        <v>×</v>
      </c>
    </row>
    <row r="588" spans="2:17" x14ac:dyDescent="0.15">
      <c r="J588" s="234"/>
    </row>
    <row r="589" spans="2:17" x14ac:dyDescent="0.15">
      <c r="J589" s="234"/>
    </row>
    <row r="590" spans="2:17" x14ac:dyDescent="0.15">
      <c r="J590" s="234"/>
    </row>
    <row r="591" spans="2:17" x14ac:dyDescent="0.15">
      <c r="J591" s="234"/>
    </row>
    <row r="592" spans="2:17" x14ac:dyDescent="0.15">
      <c r="J592" s="234"/>
    </row>
    <row r="593" spans="10:10" x14ac:dyDescent="0.15">
      <c r="J593" s="234"/>
    </row>
    <row r="594" spans="10:10" x14ac:dyDescent="0.15">
      <c r="J594" s="234"/>
    </row>
    <row r="595" spans="10:10" x14ac:dyDescent="0.15">
      <c r="J595" s="234"/>
    </row>
    <row r="596" spans="10:10" x14ac:dyDescent="0.15">
      <c r="J596" s="234"/>
    </row>
    <row r="597" spans="10:10" x14ac:dyDescent="0.15">
      <c r="J597" s="234"/>
    </row>
    <row r="598" spans="10:10" x14ac:dyDescent="0.15">
      <c r="J598" s="234"/>
    </row>
    <row r="599" spans="10:10" x14ac:dyDescent="0.15">
      <c r="J599" s="234"/>
    </row>
    <row r="600" spans="10:10" x14ac:dyDescent="0.15">
      <c r="J600" s="234"/>
    </row>
    <row r="601" spans="10:10" x14ac:dyDescent="0.15">
      <c r="J601" s="234"/>
    </row>
    <row r="602" spans="10:10" x14ac:dyDescent="0.15">
      <c r="J602" s="234"/>
    </row>
    <row r="603" spans="10:10" x14ac:dyDescent="0.15">
      <c r="J603" s="234"/>
    </row>
    <row r="604" spans="10:10" x14ac:dyDescent="0.15">
      <c r="J604" s="234"/>
    </row>
    <row r="605" spans="10:10" x14ac:dyDescent="0.15">
      <c r="J605" s="234"/>
    </row>
    <row r="606" spans="10:10" x14ac:dyDescent="0.15">
      <c r="J606" s="234"/>
    </row>
    <row r="607" spans="10:10" x14ac:dyDescent="0.15">
      <c r="J607" s="234"/>
    </row>
    <row r="608" spans="10:10" x14ac:dyDescent="0.15">
      <c r="J608" s="234"/>
    </row>
    <row r="609" spans="10:10" x14ac:dyDescent="0.15">
      <c r="J609" s="234"/>
    </row>
    <row r="610" spans="10:10" x14ac:dyDescent="0.15">
      <c r="J610" s="234"/>
    </row>
    <row r="611" spans="10:10" x14ac:dyDescent="0.15">
      <c r="J611" s="234"/>
    </row>
    <row r="612" spans="10:10" x14ac:dyDescent="0.15">
      <c r="J612" s="234"/>
    </row>
    <row r="613" spans="10:10" x14ac:dyDescent="0.15">
      <c r="J613" s="234"/>
    </row>
    <row r="614" spans="10:10" x14ac:dyDescent="0.15">
      <c r="J614" s="234"/>
    </row>
    <row r="615" spans="10:10" x14ac:dyDescent="0.15">
      <c r="J615" s="234"/>
    </row>
    <row r="616" spans="10:10" x14ac:dyDescent="0.15">
      <c r="J616" s="234"/>
    </row>
    <row r="617" spans="10:10" x14ac:dyDescent="0.15">
      <c r="J617" s="234"/>
    </row>
    <row r="618" spans="10:10" x14ac:dyDescent="0.15">
      <c r="J618" s="234"/>
    </row>
    <row r="619" spans="10:10" x14ac:dyDescent="0.15">
      <c r="J619" s="234"/>
    </row>
    <row r="620" spans="10:10" x14ac:dyDescent="0.15">
      <c r="J620" s="234"/>
    </row>
    <row r="621" spans="10:10" x14ac:dyDescent="0.15">
      <c r="J621" s="234"/>
    </row>
    <row r="622" spans="10:10" x14ac:dyDescent="0.15">
      <c r="J622" s="234"/>
    </row>
    <row r="623" spans="10:10" x14ac:dyDescent="0.15">
      <c r="J623" s="234"/>
    </row>
    <row r="624" spans="10:10" x14ac:dyDescent="0.15">
      <c r="J624" s="234"/>
    </row>
    <row r="625" spans="10:10" x14ac:dyDescent="0.15">
      <c r="J625" s="234"/>
    </row>
    <row r="626" spans="10:10" x14ac:dyDescent="0.15">
      <c r="J626" s="234"/>
    </row>
    <row r="627" spans="10:10" x14ac:dyDescent="0.15">
      <c r="J627" s="234"/>
    </row>
    <row r="628" spans="10:10" x14ac:dyDescent="0.15">
      <c r="J628" s="234"/>
    </row>
    <row r="629" spans="10:10" x14ac:dyDescent="0.15">
      <c r="J629" s="234"/>
    </row>
    <row r="630" spans="10:10" x14ac:dyDescent="0.15">
      <c r="J630" s="234"/>
    </row>
    <row r="631" spans="10:10" x14ac:dyDescent="0.15">
      <c r="J631" s="234"/>
    </row>
    <row r="632" spans="10:10" x14ac:dyDescent="0.15">
      <c r="J632" s="234"/>
    </row>
    <row r="633" spans="10:10" x14ac:dyDescent="0.15">
      <c r="J633" s="234"/>
    </row>
    <row r="634" spans="10:10" x14ac:dyDescent="0.15">
      <c r="J634" s="234"/>
    </row>
    <row r="635" spans="10:10" x14ac:dyDescent="0.15">
      <c r="J635" s="234"/>
    </row>
    <row r="636" spans="10:10" x14ac:dyDescent="0.15">
      <c r="J636" s="234"/>
    </row>
    <row r="637" spans="10:10" x14ac:dyDescent="0.15">
      <c r="J637" s="234"/>
    </row>
    <row r="638" spans="10:10" x14ac:dyDescent="0.15">
      <c r="J638" s="234"/>
    </row>
    <row r="639" spans="10:10" x14ac:dyDescent="0.15">
      <c r="J639" s="234"/>
    </row>
    <row r="640" spans="10:10" x14ac:dyDescent="0.15">
      <c r="J640" s="234"/>
    </row>
    <row r="641" spans="10:10" x14ac:dyDescent="0.15">
      <c r="J641" s="234"/>
    </row>
    <row r="642" spans="10:10" x14ac:dyDescent="0.15">
      <c r="J642" s="234"/>
    </row>
    <row r="643" spans="10:10" x14ac:dyDescent="0.15">
      <c r="J643" s="234"/>
    </row>
    <row r="644" spans="10:10" x14ac:dyDescent="0.15">
      <c r="J644" s="234"/>
    </row>
    <row r="645" spans="10:10" x14ac:dyDescent="0.15">
      <c r="J645" s="234"/>
    </row>
    <row r="646" spans="10:10" x14ac:dyDescent="0.15">
      <c r="J646" s="234"/>
    </row>
    <row r="647" spans="10:10" x14ac:dyDescent="0.15">
      <c r="J647" s="234"/>
    </row>
    <row r="648" spans="10:10" x14ac:dyDescent="0.15">
      <c r="J648" s="234"/>
    </row>
    <row r="649" spans="10:10" x14ac:dyDescent="0.15">
      <c r="J649" s="234"/>
    </row>
    <row r="650" spans="10:10" x14ac:dyDescent="0.15">
      <c r="J650" s="234"/>
    </row>
    <row r="651" spans="10:10" x14ac:dyDescent="0.15">
      <c r="J651" s="234"/>
    </row>
    <row r="652" spans="10:10" x14ac:dyDescent="0.15">
      <c r="J652" s="234"/>
    </row>
    <row r="653" spans="10:10" x14ac:dyDescent="0.15">
      <c r="J653" s="234"/>
    </row>
    <row r="654" spans="10:10" x14ac:dyDescent="0.15">
      <c r="J654" s="234"/>
    </row>
    <row r="655" spans="10:10" x14ac:dyDescent="0.15">
      <c r="J655" s="234"/>
    </row>
    <row r="656" spans="10:10" x14ac:dyDescent="0.15">
      <c r="J656" s="234"/>
    </row>
    <row r="657" spans="10:10" x14ac:dyDescent="0.15">
      <c r="J657" s="234"/>
    </row>
    <row r="658" spans="10:10" x14ac:dyDescent="0.15">
      <c r="J658" s="234"/>
    </row>
    <row r="659" spans="10:10" x14ac:dyDescent="0.15">
      <c r="J659" s="234"/>
    </row>
    <row r="660" spans="10:10" x14ac:dyDescent="0.15">
      <c r="J660" s="234"/>
    </row>
    <row r="661" spans="10:10" x14ac:dyDescent="0.15">
      <c r="J661" s="234"/>
    </row>
    <row r="662" spans="10:10" x14ac:dyDescent="0.15">
      <c r="J662" s="234"/>
    </row>
    <row r="663" spans="10:10" x14ac:dyDescent="0.15">
      <c r="J663" s="234"/>
    </row>
    <row r="664" spans="10:10" x14ac:dyDescent="0.15">
      <c r="J664" s="234"/>
    </row>
    <row r="665" spans="10:10" x14ac:dyDescent="0.15">
      <c r="J665" s="234"/>
    </row>
    <row r="666" spans="10:10" x14ac:dyDescent="0.15">
      <c r="J666" s="234"/>
    </row>
    <row r="667" spans="10:10" x14ac:dyDescent="0.15">
      <c r="J667" s="234"/>
    </row>
    <row r="668" spans="10:10" x14ac:dyDescent="0.15">
      <c r="J668" s="234"/>
    </row>
    <row r="669" spans="10:10" x14ac:dyDescent="0.15">
      <c r="J669" s="234"/>
    </row>
    <row r="670" spans="10:10" x14ac:dyDescent="0.15">
      <c r="J670" s="234"/>
    </row>
    <row r="671" spans="10:10" x14ac:dyDescent="0.15">
      <c r="J671" s="234"/>
    </row>
    <row r="672" spans="10:10" x14ac:dyDescent="0.15">
      <c r="J672" s="234"/>
    </row>
    <row r="673" spans="10:10" x14ac:dyDescent="0.15">
      <c r="J673" s="234"/>
    </row>
    <row r="674" spans="10:10" x14ac:dyDescent="0.15">
      <c r="J674" s="234"/>
    </row>
    <row r="675" spans="10:10" x14ac:dyDescent="0.15">
      <c r="J675" s="234" t="str">
        <f t="shared" ref="J675" si="15">IF(AND(D675="◎",OR(E675="",F675="",G675="")),"×","")</f>
        <v/>
      </c>
    </row>
    <row r="890" spans="9:9" x14ac:dyDescent="0.15">
      <c r="I890" s="106" t="b">
        <v>0</v>
      </c>
    </row>
  </sheetData>
  <sheetProtection algorithmName="SHA-512" hashValue="XO6FH25X0EfQGzwfgDCxnz8cEa6vkpltDg9FjYhs8u6VqCw9pK+3rjPJqhxYIFyQMGWyQp5Wmgw1N+fiStrwow==" saltValue="RFyH2WoeWRsQdDKp4jHPZQ==" spinCount="100000" sheet="1" formatCells="0" autoFilter="0"/>
  <protectedRanges>
    <protectedRange sqref="G583 G587" name="範囲1"/>
  </protectedRanges>
  <autoFilter ref="B5:K579" xr:uid="{00000000-0009-0000-0000-000004000000}"/>
  <mergeCells count="9">
    <mergeCell ref="B587:F587"/>
    <mergeCell ref="B582:F582"/>
    <mergeCell ref="B583:F583"/>
    <mergeCell ref="B573:B579"/>
    <mergeCell ref="B1:G1"/>
    <mergeCell ref="B2:G2"/>
    <mergeCell ref="E3:G3"/>
    <mergeCell ref="B581:F581"/>
    <mergeCell ref="B586:F586"/>
  </mergeCells>
  <phoneticPr fontId="7"/>
  <conditionalFormatting sqref="D6:D405">
    <cfRule type="expression" dxfId="4" priority="1">
      <formula>$J6="×"</formula>
    </cfRule>
  </conditionalFormatting>
  <conditionalFormatting sqref="D407:D579">
    <cfRule type="expression" dxfId="3" priority="8">
      <formula>$J407="×"</formula>
    </cfRule>
  </conditionalFormatting>
  <conditionalFormatting sqref="E3">
    <cfRule type="expression" dxfId="2" priority="38">
      <formula>$K$1="×"</formula>
    </cfRule>
  </conditionalFormatting>
  <conditionalFormatting sqref="R85:R93">
    <cfRule type="expression" dxfId="1" priority="6">
      <formula>$J85="×"</formula>
    </cfRule>
  </conditionalFormatting>
  <pageMargins left="0.59055118110236227" right="0.59055118110236227" top="0.59055118110236227" bottom="0.59055118110236227" header="0.31496062992125984" footer="0.59055118110236227"/>
  <pageSetup paperSize="9" scale="74" fitToHeight="0" orientation="portrait" r:id="rId1"/>
  <headerFooter alignWithMargins="0"/>
  <rowBreaks count="10" manualBreakCount="10">
    <brk id="68" max="7" man="1"/>
    <brk id="143" max="7" man="1"/>
    <brk id="213" max="7" man="1"/>
    <brk id="281" max="7" man="1"/>
    <brk id="411" max="7" man="1"/>
    <brk id="475" max="7" man="1"/>
    <brk id="550" max="7" man="1"/>
    <brk id="758" max="7" man="1"/>
    <brk id="790" max="7" man="1"/>
    <brk id="82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6</xdr:col>
                    <xdr:colOff>285750</xdr:colOff>
                    <xdr:row>582</xdr:row>
                    <xdr:rowOff>390525</xdr:rowOff>
                  </from>
                  <to>
                    <xdr:col>6</xdr:col>
                    <xdr:colOff>581025</xdr:colOff>
                    <xdr:row>582</xdr:row>
                    <xdr:rowOff>723900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285750</xdr:colOff>
                    <xdr:row>586</xdr:row>
                    <xdr:rowOff>390525</xdr:rowOff>
                  </from>
                  <to>
                    <xdr:col>6</xdr:col>
                    <xdr:colOff>581025</xdr:colOff>
                    <xdr:row>586</xdr:row>
                    <xdr:rowOff>723900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893FD-FCCB-42AF-89FA-494982188638}">
  <sheetPr codeName="Sheet1">
    <pageSetUpPr fitToPage="1"/>
  </sheetPr>
  <dimension ref="A1:O27"/>
  <sheetViews>
    <sheetView view="pageBreakPreview" zoomScale="90" zoomScaleNormal="90" zoomScaleSheetLayoutView="90" workbookViewId="0">
      <selection activeCell="Q15" sqref="Q15"/>
    </sheetView>
  </sheetViews>
  <sheetFormatPr defaultColWidth="9" defaultRowHeight="13.5" x14ac:dyDescent="0.15"/>
  <cols>
    <col min="1" max="1" width="3.125" style="218" customWidth="1"/>
    <col min="2" max="2" width="18.625" style="218" customWidth="1"/>
    <col min="3" max="3" width="25.625" style="218" customWidth="1"/>
    <col min="4" max="4" width="9.375" style="218" customWidth="1"/>
    <col min="5" max="5" width="6.625" style="218" customWidth="1"/>
    <col min="6" max="6" width="0.75" style="218" customWidth="1"/>
    <col min="7" max="7" width="1.375" style="218" customWidth="1"/>
    <col min="8" max="8" width="18.625" style="218" customWidth="1"/>
    <col min="9" max="9" width="41.25" style="244" customWidth="1"/>
    <col min="10" max="10" width="9.625" style="244" customWidth="1"/>
    <col min="11" max="11" width="6.625" style="218" customWidth="1"/>
    <col min="12" max="12" width="0.625" style="218" customWidth="1"/>
    <col min="13" max="13" width="2.125" style="218" customWidth="1"/>
    <col min="14" max="16384" width="9" style="218"/>
  </cols>
  <sheetData>
    <row r="1" spans="1:15" ht="41.25" customHeight="1" x14ac:dyDescent="0.15">
      <c r="A1" s="217"/>
      <c r="B1" s="427" t="s">
        <v>675</v>
      </c>
      <c r="C1" s="427"/>
      <c r="D1" s="427"/>
      <c r="E1" s="427"/>
      <c r="F1" s="427"/>
      <c r="G1" s="427"/>
      <c r="H1" s="427"/>
      <c r="I1" s="427"/>
      <c r="J1" s="427"/>
      <c r="K1" s="427"/>
      <c r="L1" s="217"/>
      <c r="M1" s="217"/>
    </row>
    <row r="2" spans="1:15" ht="36" customHeight="1" x14ac:dyDescent="0.15">
      <c r="A2" s="217"/>
      <c r="B2" s="428" t="s">
        <v>676</v>
      </c>
      <c r="C2" s="428"/>
      <c r="D2" s="428"/>
      <c r="E2" s="428"/>
      <c r="F2" s="428"/>
      <c r="G2" s="428"/>
      <c r="H2" s="428"/>
      <c r="I2" s="428"/>
      <c r="J2" s="428"/>
      <c r="K2" s="428"/>
      <c r="L2" s="217"/>
      <c r="M2" s="217"/>
    </row>
    <row r="3" spans="1:15" ht="15" customHeight="1" thickBot="1" x14ac:dyDescent="0.2">
      <c r="A3" s="217"/>
      <c r="B3" s="217"/>
      <c r="C3" s="217"/>
      <c r="E3" s="217"/>
      <c r="F3" s="217"/>
      <c r="G3" s="217"/>
      <c r="H3" s="217"/>
      <c r="I3" s="219"/>
      <c r="J3" s="219"/>
      <c r="K3" s="217"/>
      <c r="L3" s="217"/>
      <c r="M3" s="217"/>
      <c r="N3" s="424" t="s">
        <v>100</v>
      </c>
      <c r="O3" s="424"/>
    </row>
    <row r="4" spans="1:15" ht="36" customHeight="1" thickBot="1" x14ac:dyDescent="0.2">
      <c r="A4" s="217"/>
      <c r="B4" s="220" t="s">
        <v>677</v>
      </c>
      <c r="C4" s="221" t="s">
        <v>678</v>
      </c>
      <c r="D4" s="222" t="s">
        <v>679</v>
      </c>
      <c r="E4" s="223" t="s">
        <v>680</v>
      </c>
      <c r="F4" s="217"/>
      <c r="G4" s="217"/>
      <c r="H4" s="224" t="s">
        <v>677</v>
      </c>
      <c r="I4" s="225" t="s">
        <v>681</v>
      </c>
      <c r="J4" s="226" t="s">
        <v>679</v>
      </c>
      <c r="K4" s="227" t="s">
        <v>680</v>
      </c>
      <c r="L4" s="217"/>
      <c r="M4" s="217"/>
      <c r="N4" s="228" t="s">
        <v>682</v>
      </c>
      <c r="O4" s="228" t="s">
        <v>683</v>
      </c>
    </row>
    <row r="5" spans="1:15" ht="54.75" customHeight="1" thickBot="1" x14ac:dyDescent="0.2">
      <c r="A5" s="217"/>
      <c r="B5" s="229" t="s">
        <v>684</v>
      </c>
      <c r="C5" s="230" t="s">
        <v>685</v>
      </c>
      <c r="D5" s="429"/>
      <c r="E5" s="430"/>
      <c r="F5" s="433" t="b">
        <v>0</v>
      </c>
      <c r="G5" s="231"/>
      <c r="H5" s="245" t="s">
        <v>684</v>
      </c>
      <c r="I5" s="233" t="s">
        <v>686</v>
      </c>
      <c r="J5" s="434"/>
      <c r="K5" s="435"/>
      <c r="L5" s="433" t="b">
        <v>0</v>
      </c>
      <c r="M5" s="217"/>
      <c r="N5" s="234" t="str">
        <f>IF(F5=TRUE,"○","×")</f>
        <v>×</v>
      </c>
      <c r="O5" s="234" t="str">
        <f t="shared" ref="O5:O21" si="0">IF(L5=TRUE,"○","×")</f>
        <v>×</v>
      </c>
    </row>
    <row r="6" spans="1:15" ht="37.5" customHeight="1" thickBot="1" x14ac:dyDescent="0.2">
      <c r="A6" s="217"/>
      <c r="B6" s="229" t="s">
        <v>687</v>
      </c>
      <c r="C6" s="230" t="s">
        <v>688</v>
      </c>
      <c r="D6" s="429"/>
      <c r="E6" s="430"/>
      <c r="F6" s="433" t="b">
        <v>0</v>
      </c>
      <c r="G6" s="231"/>
      <c r="H6" s="232"/>
      <c r="I6" s="235" t="s">
        <v>689</v>
      </c>
      <c r="J6" s="434"/>
      <c r="K6" s="435"/>
      <c r="L6" s="433" t="b">
        <v>0</v>
      </c>
      <c r="M6" s="217"/>
      <c r="N6" s="234" t="str">
        <f t="shared" ref="N6:N14" si="1">IF(F6=TRUE,"○","×")</f>
        <v>×</v>
      </c>
      <c r="O6" s="234" t="str">
        <f t="shared" si="0"/>
        <v>×</v>
      </c>
    </row>
    <row r="7" spans="1:15" ht="37.5" customHeight="1" thickBot="1" x14ac:dyDescent="0.2">
      <c r="A7" s="217"/>
      <c r="B7" s="229" t="s">
        <v>690</v>
      </c>
      <c r="C7" s="230" t="s">
        <v>691</v>
      </c>
      <c r="D7" s="429"/>
      <c r="E7" s="430"/>
      <c r="F7" s="433" t="b">
        <v>0</v>
      </c>
      <c r="G7" s="231"/>
      <c r="H7" s="232"/>
      <c r="I7" s="235" t="s">
        <v>692</v>
      </c>
      <c r="J7" s="434"/>
      <c r="K7" s="435"/>
      <c r="L7" s="433" t="b">
        <v>0</v>
      </c>
      <c r="M7" s="217"/>
      <c r="N7" s="234" t="str">
        <f t="shared" si="1"/>
        <v>×</v>
      </c>
      <c r="O7" s="234" t="str">
        <f t="shared" si="0"/>
        <v>×</v>
      </c>
    </row>
    <row r="8" spans="1:15" ht="37.5" customHeight="1" thickBot="1" x14ac:dyDescent="0.2">
      <c r="A8" s="217"/>
      <c r="B8" s="229" t="s">
        <v>693</v>
      </c>
      <c r="C8" s="230" t="s">
        <v>694</v>
      </c>
      <c r="D8" s="429"/>
      <c r="E8" s="430"/>
      <c r="F8" s="433" t="b">
        <v>0</v>
      </c>
      <c r="G8" s="231"/>
      <c r="H8" s="232"/>
      <c r="I8" s="235" t="s">
        <v>695</v>
      </c>
      <c r="J8" s="434"/>
      <c r="K8" s="435"/>
      <c r="L8" s="433" t="b">
        <v>0</v>
      </c>
      <c r="M8" s="217"/>
      <c r="N8" s="234" t="str">
        <f t="shared" si="1"/>
        <v>×</v>
      </c>
      <c r="O8" s="234" t="str">
        <f t="shared" si="0"/>
        <v>×</v>
      </c>
    </row>
    <row r="9" spans="1:15" ht="37.5" customHeight="1" thickBot="1" x14ac:dyDescent="0.2">
      <c r="A9" s="217"/>
      <c r="B9" s="229" t="s">
        <v>696</v>
      </c>
      <c r="C9" s="230" t="s">
        <v>697</v>
      </c>
      <c r="D9" s="429"/>
      <c r="E9" s="430"/>
      <c r="F9" s="433" t="b">
        <v>0</v>
      </c>
      <c r="G9" s="231"/>
      <c r="H9" s="232"/>
      <c r="I9" s="235" t="s">
        <v>698</v>
      </c>
      <c r="J9" s="434"/>
      <c r="K9" s="435"/>
      <c r="L9" s="433" t="b">
        <v>0</v>
      </c>
      <c r="M9" s="217"/>
      <c r="N9" s="234" t="str">
        <f t="shared" si="1"/>
        <v>×</v>
      </c>
      <c r="O9" s="234" t="str">
        <f t="shared" si="0"/>
        <v>×</v>
      </c>
    </row>
    <row r="10" spans="1:15" ht="37.5" customHeight="1" thickBot="1" x14ac:dyDescent="0.2">
      <c r="A10" s="217"/>
      <c r="B10" s="229" t="s">
        <v>699</v>
      </c>
      <c r="C10" s="230" t="s">
        <v>700</v>
      </c>
      <c r="D10" s="429"/>
      <c r="E10" s="430"/>
      <c r="F10" s="433" t="b">
        <v>0</v>
      </c>
      <c r="G10" s="231"/>
      <c r="H10" s="232"/>
      <c r="I10" s="236" t="s">
        <v>701</v>
      </c>
      <c r="J10" s="436"/>
      <c r="K10" s="437"/>
      <c r="L10" s="433" t="b">
        <v>0</v>
      </c>
      <c r="M10" s="217"/>
      <c r="N10" s="234" t="str">
        <f t="shared" si="1"/>
        <v>×</v>
      </c>
      <c r="O10" s="234" t="str">
        <f t="shared" si="0"/>
        <v>×</v>
      </c>
    </row>
    <row r="11" spans="1:15" ht="66.75" customHeight="1" thickBot="1" x14ac:dyDescent="0.2">
      <c r="A11" s="217"/>
      <c r="B11" s="229" t="s">
        <v>702</v>
      </c>
      <c r="C11" s="230" t="s">
        <v>703</v>
      </c>
      <c r="D11" s="429"/>
      <c r="E11" s="430"/>
      <c r="F11" s="433" t="b">
        <v>0</v>
      </c>
      <c r="G11" s="231"/>
      <c r="H11" s="246" t="s">
        <v>693</v>
      </c>
      <c r="I11" s="237" t="s">
        <v>704</v>
      </c>
      <c r="J11" s="438"/>
      <c r="K11" s="439"/>
      <c r="L11" s="433" t="b">
        <v>0</v>
      </c>
      <c r="M11" s="217"/>
      <c r="N11" s="234" t="str">
        <f t="shared" si="1"/>
        <v>×</v>
      </c>
      <c r="O11" s="234" t="str">
        <f t="shared" si="0"/>
        <v>×</v>
      </c>
    </row>
    <row r="12" spans="1:15" ht="42" customHeight="1" thickBot="1" x14ac:dyDescent="0.2">
      <c r="A12" s="217"/>
      <c r="B12" s="229" t="s">
        <v>705</v>
      </c>
      <c r="C12" s="230" t="s">
        <v>706</v>
      </c>
      <c r="D12" s="429"/>
      <c r="E12" s="430"/>
      <c r="F12" s="433" t="b">
        <v>0</v>
      </c>
      <c r="G12" s="231"/>
      <c r="H12" s="232"/>
      <c r="I12" s="235" t="s">
        <v>707</v>
      </c>
      <c r="J12" s="434"/>
      <c r="K12" s="435"/>
      <c r="L12" s="433" t="b">
        <v>0</v>
      </c>
      <c r="M12" s="217"/>
      <c r="N12" s="234" t="str">
        <f t="shared" si="1"/>
        <v>×</v>
      </c>
      <c r="O12" s="234" t="str">
        <f t="shared" si="0"/>
        <v>×</v>
      </c>
    </row>
    <row r="13" spans="1:15" ht="37.5" customHeight="1" thickBot="1" x14ac:dyDescent="0.2">
      <c r="A13" s="217"/>
      <c r="B13" s="229" t="s">
        <v>708</v>
      </c>
      <c r="C13" s="230" t="s">
        <v>709</v>
      </c>
      <c r="D13" s="429"/>
      <c r="E13" s="430"/>
      <c r="F13" s="433" t="b">
        <v>0</v>
      </c>
      <c r="G13" s="231"/>
      <c r="H13" s="232"/>
      <c r="I13" s="235" t="s">
        <v>710</v>
      </c>
      <c r="J13" s="434"/>
      <c r="K13" s="435"/>
      <c r="L13" s="433" t="b">
        <v>0</v>
      </c>
      <c r="M13" s="217"/>
      <c r="N13" s="234" t="str">
        <f t="shared" si="1"/>
        <v>×</v>
      </c>
      <c r="O13" s="234" t="str">
        <f t="shared" si="0"/>
        <v>×</v>
      </c>
    </row>
    <row r="14" spans="1:15" ht="59.25" customHeight="1" thickBot="1" x14ac:dyDescent="0.2">
      <c r="A14" s="217"/>
      <c r="B14" s="238" t="s">
        <v>711</v>
      </c>
      <c r="C14" s="239" t="s">
        <v>712</v>
      </c>
      <c r="D14" s="431"/>
      <c r="E14" s="432"/>
      <c r="F14" s="433" t="b">
        <v>0</v>
      </c>
      <c r="G14" s="231"/>
      <c r="H14" s="232"/>
      <c r="I14" s="235" t="s">
        <v>713</v>
      </c>
      <c r="J14" s="434"/>
      <c r="K14" s="435"/>
      <c r="L14" s="433" t="b">
        <v>0</v>
      </c>
      <c r="M14" s="217"/>
      <c r="N14" s="234" t="str">
        <f t="shared" si="1"/>
        <v>×</v>
      </c>
      <c r="O14" s="234" t="str">
        <f t="shared" si="0"/>
        <v>×</v>
      </c>
    </row>
    <row r="15" spans="1:15" ht="37.5" customHeight="1" x14ac:dyDescent="0.15">
      <c r="A15" s="217"/>
      <c r="B15" s="217"/>
      <c r="C15" s="217"/>
      <c r="E15" s="217"/>
      <c r="F15" s="217"/>
      <c r="G15" s="217"/>
      <c r="H15" s="232"/>
      <c r="I15" s="235" t="s">
        <v>714</v>
      </c>
      <c r="J15" s="434"/>
      <c r="K15" s="435"/>
      <c r="L15" s="433" t="b">
        <v>0</v>
      </c>
      <c r="M15" s="217"/>
      <c r="O15" s="234" t="str">
        <f t="shared" si="0"/>
        <v>×</v>
      </c>
    </row>
    <row r="16" spans="1:15" ht="37.5" customHeight="1" x14ac:dyDescent="0.15">
      <c r="A16" s="217"/>
      <c r="B16" s="217"/>
      <c r="C16" s="217"/>
      <c r="E16" s="217"/>
      <c r="F16" s="217"/>
      <c r="G16" s="217"/>
      <c r="H16" s="232"/>
      <c r="I16" s="235" t="s">
        <v>715</v>
      </c>
      <c r="J16" s="434"/>
      <c r="K16" s="435"/>
      <c r="L16" s="433" t="b">
        <v>0</v>
      </c>
      <c r="M16" s="217"/>
      <c r="O16" s="234" t="str">
        <f t="shared" si="0"/>
        <v>×</v>
      </c>
    </row>
    <row r="17" spans="1:15" ht="37.5" customHeight="1" x14ac:dyDescent="0.15">
      <c r="A17" s="217"/>
      <c r="B17" s="217"/>
      <c r="C17" s="217"/>
      <c r="E17" s="217"/>
      <c r="F17" s="217"/>
      <c r="G17" s="217"/>
      <c r="H17" s="232"/>
      <c r="I17" s="235" t="s">
        <v>716</v>
      </c>
      <c r="J17" s="434"/>
      <c r="K17" s="435"/>
      <c r="L17" s="433" t="b">
        <v>0</v>
      </c>
      <c r="M17" s="217"/>
      <c r="O17" s="234" t="str">
        <f t="shared" si="0"/>
        <v>×</v>
      </c>
    </row>
    <row r="18" spans="1:15" ht="37.5" customHeight="1" x14ac:dyDescent="0.15">
      <c r="A18" s="217"/>
      <c r="B18" s="217"/>
      <c r="C18" s="217"/>
      <c r="E18" s="217"/>
      <c r="F18" s="217"/>
      <c r="G18" s="217"/>
      <c r="H18" s="232"/>
      <c r="I18" s="235" t="s">
        <v>717</v>
      </c>
      <c r="J18" s="434"/>
      <c r="K18" s="435"/>
      <c r="L18" s="433" t="b">
        <v>0</v>
      </c>
      <c r="M18" s="217"/>
      <c r="O18" s="234" t="str">
        <f t="shared" si="0"/>
        <v>×</v>
      </c>
    </row>
    <row r="19" spans="1:15" ht="37.5" customHeight="1" thickBot="1" x14ac:dyDescent="0.2">
      <c r="A19" s="217"/>
      <c r="B19" s="217"/>
      <c r="C19" s="217"/>
      <c r="E19" s="217"/>
      <c r="F19" s="217"/>
      <c r="G19" s="217"/>
      <c r="H19" s="240"/>
      <c r="I19" s="241" t="s">
        <v>718</v>
      </c>
      <c r="J19" s="440"/>
      <c r="K19" s="432"/>
      <c r="L19" s="433" t="b">
        <v>0</v>
      </c>
      <c r="M19" s="217"/>
      <c r="O19" s="234" t="str">
        <f t="shared" si="0"/>
        <v>×</v>
      </c>
    </row>
    <row r="20" spans="1:15" ht="54" customHeight="1" thickBot="1" x14ac:dyDescent="0.2">
      <c r="A20" s="217"/>
      <c r="B20" s="217"/>
      <c r="C20" s="217"/>
      <c r="E20" s="217"/>
      <c r="F20" s="217"/>
      <c r="G20" s="217"/>
      <c r="H20" s="319" t="s">
        <v>841</v>
      </c>
      <c r="I20" s="242" t="s">
        <v>719</v>
      </c>
      <c r="J20" s="441"/>
      <c r="K20" s="430"/>
      <c r="L20" s="433" t="b">
        <v>0</v>
      </c>
      <c r="M20" s="217"/>
      <c r="O20" s="234" t="str">
        <f t="shared" si="0"/>
        <v>×</v>
      </c>
    </row>
    <row r="21" spans="1:15" ht="37.5" customHeight="1" thickBot="1" x14ac:dyDescent="0.2">
      <c r="A21" s="217"/>
      <c r="B21" s="217"/>
      <c r="C21" s="217"/>
      <c r="E21" s="217"/>
      <c r="F21" s="217"/>
      <c r="G21" s="217"/>
      <c r="H21" s="240"/>
      <c r="I21" s="243" t="s">
        <v>720</v>
      </c>
      <c r="J21" s="440"/>
      <c r="K21" s="432"/>
      <c r="L21" s="433" t="b">
        <v>0</v>
      </c>
      <c r="M21" s="217"/>
      <c r="O21" s="234" t="str">
        <f t="shared" si="0"/>
        <v>×</v>
      </c>
    </row>
    <row r="22" spans="1:15" ht="12.75" customHeight="1" x14ac:dyDescent="0.15">
      <c r="A22" s="217"/>
      <c r="B22" s="217"/>
      <c r="C22" s="217"/>
      <c r="E22" s="217"/>
      <c r="F22" s="217"/>
      <c r="G22" s="217"/>
      <c r="H22" s="217"/>
      <c r="I22" s="219"/>
      <c r="J22" s="219"/>
      <c r="L22" s="217"/>
      <c r="M22" s="217"/>
    </row>
    <row r="23" spans="1:15" ht="24" customHeight="1" x14ac:dyDescent="0.15"/>
    <row r="24" spans="1:15" ht="24" customHeight="1" x14ac:dyDescent="0.15"/>
    <row r="25" spans="1:15" ht="24" customHeight="1" x14ac:dyDescent="0.15"/>
    <row r="26" spans="1:15" ht="24" customHeight="1" x14ac:dyDescent="0.15"/>
    <row r="27" spans="1:15" ht="24" customHeight="1" x14ac:dyDescent="0.15"/>
  </sheetData>
  <sheetProtection algorithmName="SHA-512" hashValue="gkZ6YnOqy4kiwae+g7G1Cuo5Cmd8aYFm69yyHxQUUN/PshKRFT6M0ThsYTFCCnRf8cukABj6u2PI7YORbIWb9A==" saltValue="hHgxVAa+lY6QGpYsFHARNw==" spinCount="100000" sheet="1" objects="1" scenarios="1"/>
  <mergeCells count="3">
    <mergeCell ref="N3:O3"/>
    <mergeCell ref="B1:K1"/>
    <mergeCell ref="B2:K2"/>
  </mergeCells>
  <phoneticPr fontId="7"/>
  <pageMargins left="0.51181102362204722"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04" r:id="rId4" name="Check Box 36">
              <controlPr defaultSize="0" autoFill="0" autoLine="0" autoPict="0">
                <anchor moveWithCells="1">
                  <from>
                    <xdr:col>4</xdr:col>
                    <xdr:colOff>133350</xdr:colOff>
                    <xdr:row>4</xdr:row>
                    <xdr:rowOff>142875</xdr:rowOff>
                  </from>
                  <to>
                    <xdr:col>4</xdr:col>
                    <xdr:colOff>381000</xdr:colOff>
                    <xdr:row>4</xdr:row>
                    <xdr:rowOff>485775</xdr:rowOff>
                  </to>
                </anchor>
              </controlPr>
            </control>
          </mc:Choice>
        </mc:AlternateContent>
        <mc:AlternateContent xmlns:mc="http://schemas.openxmlformats.org/markup-compatibility/2006">
          <mc:Choice Requires="x14">
            <control shapeId="7205" r:id="rId5" name="Check Box 37">
              <controlPr defaultSize="0" autoFill="0" autoLine="0" autoPict="0">
                <anchor moveWithCells="1">
                  <from>
                    <xdr:col>4</xdr:col>
                    <xdr:colOff>133350</xdr:colOff>
                    <xdr:row>5</xdr:row>
                    <xdr:rowOff>66675</xdr:rowOff>
                  </from>
                  <to>
                    <xdr:col>4</xdr:col>
                    <xdr:colOff>381000</xdr:colOff>
                    <xdr:row>5</xdr:row>
                    <xdr:rowOff>409575</xdr:rowOff>
                  </to>
                </anchor>
              </controlPr>
            </control>
          </mc:Choice>
        </mc:AlternateContent>
        <mc:AlternateContent xmlns:mc="http://schemas.openxmlformats.org/markup-compatibility/2006">
          <mc:Choice Requires="x14">
            <control shapeId="7206" r:id="rId6" name="Check Box 38">
              <controlPr defaultSize="0" autoFill="0" autoLine="0" autoPict="0">
                <anchor moveWithCells="1">
                  <from>
                    <xdr:col>4</xdr:col>
                    <xdr:colOff>133350</xdr:colOff>
                    <xdr:row>6</xdr:row>
                    <xdr:rowOff>66675</xdr:rowOff>
                  </from>
                  <to>
                    <xdr:col>4</xdr:col>
                    <xdr:colOff>381000</xdr:colOff>
                    <xdr:row>6</xdr:row>
                    <xdr:rowOff>409575</xdr:rowOff>
                  </to>
                </anchor>
              </controlPr>
            </control>
          </mc:Choice>
        </mc:AlternateContent>
        <mc:AlternateContent xmlns:mc="http://schemas.openxmlformats.org/markup-compatibility/2006">
          <mc:Choice Requires="x14">
            <control shapeId="7207" r:id="rId7" name="Check Box 39">
              <controlPr defaultSize="0" autoFill="0" autoLine="0" autoPict="0">
                <anchor moveWithCells="1">
                  <from>
                    <xdr:col>4</xdr:col>
                    <xdr:colOff>133350</xdr:colOff>
                    <xdr:row>7</xdr:row>
                    <xdr:rowOff>66675</xdr:rowOff>
                  </from>
                  <to>
                    <xdr:col>4</xdr:col>
                    <xdr:colOff>381000</xdr:colOff>
                    <xdr:row>7</xdr:row>
                    <xdr:rowOff>409575</xdr:rowOff>
                  </to>
                </anchor>
              </controlPr>
            </control>
          </mc:Choice>
        </mc:AlternateContent>
        <mc:AlternateContent xmlns:mc="http://schemas.openxmlformats.org/markup-compatibility/2006">
          <mc:Choice Requires="x14">
            <control shapeId="7208" r:id="rId8" name="Check Box 40">
              <controlPr defaultSize="0" autoFill="0" autoLine="0" autoPict="0">
                <anchor moveWithCells="1">
                  <from>
                    <xdr:col>4</xdr:col>
                    <xdr:colOff>133350</xdr:colOff>
                    <xdr:row>8</xdr:row>
                    <xdr:rowOff>66675</xdr:rowOff>
                  </from>
                  <to>
                    <xdr:col>4</xdr:col>
                    <xdr:colOff>381000</xdr:colOff>
                    <xdr:row>8</xdr:row>
                    <xdr:rowOff>409575</xdr:rowOff>
                  </to>
                </anchor>
              </controlPr>
            </control>
          </mc:Choice>
        </mc:AlternateContent>
        <mc:AlternateContent xmlns:mc="http://schemas.openxmlformats.org/markup-compatibility/2006">
          <mc:Choice Requires="x14">
            <control shapeId="7209" r:id="rId9" name="Check Box 41">
              <controlPr defaultSize="0" autoFill="0" autoLine="0" autoPict="0">
                <anchor moveWithCells="1">
                  <from>
                    <xdr:col>4</xdr:col>
                    <xdr:colOff>133350</xdr:colOff>
                    <xdr:row>9</xdr:row>
                    <xdr:rowOff>66675</xdr:rowOff>
                  </from>
                  <to>
                    <xdr:col>4</xdr:col>
                    <xdr:colOff>381000</xdr:colOff>
                    <xdr:row>9</xdr:row>
                    <xdr:rowOff>409575</xdr:rowOff>
                  </to>
                </anchor>
              </controlPr>
            </control>
          </mc:Choice>
        </mc:AlternateContent>
        <mc:AlternateContent xmlns:mc="http://schemas.openxmlformats.org/markup-compatibility/2006">
          <mc:Choice Requires="x14">
            <control shapeId="7210" r:id="rId10" name="Check Box 42">
              <controlPr defaultSize="0" autoFill="0" autoLine="0" autoPict="0">
                <anchor moveWithCells="1">
                  <from>
                    <xdr:col>4</xdr:col>
                    <xdr:colOff>133350</xdr:colOff>
                    <xdr:row>10</xdr:row>
                    <xdr:rowOff>219075</xdr:rowOff>
                  </from>
                  <to>
                    <xdr:col>4</xdr:col>
                    <xdr:colOff>381000</xdr:colOff>
                    <xdr:row>10</xdr:row>
                    <xdr:rowOff>561975</xdr:rowOff>
                  </to>
                </anchor>
              </controlPr>
            </control>
          </mc:Choice>
        </mc:AlternateContent>
        <mc:AlternateContent xmlns:mc="http://schemas.openxmlformats.org/markup-compatibility/2006">
          <mc:Choice Requires="x14">
            <control shapeId="7211" r:id="rId11" name="Check Box 43">
              <controlPr defaultSize="0" autoFill="0" autoLine="0" autoPict="0">
                <anchor moveWithCells="1">
                  <from>
                    <xdr:col>4</xdr:col>
                    <xdr:colOff>133350</xdr:colOff>
                    <xdr:row>11</xdr:row>
                    <xdr:rowOff>104775</xdr:rowOff>
                  </from>
                  <to>
                    <xdr:col>4</xdr:col>
                    <xdr:colOff>381000</xdr:colOff>
                    <xdr:row>11</xdr:row>
                    <xdr:rowOff>447675</xdr:rowOff>
                  </to>
                </anchor>
              </controlPr>
            </control>
          </mc:Choice>
        </mc:AlternateContent>
        <mc:AlternateContent xmlns:mc="http://schemas.openxmlformats.org/markup-compatibility/2006">
          <mc:Choice Requires="x14">
            <control shapeId="7212" r:id="rId12" name="Check Box 44">
              <controlPr defaultSize="0" autoFill="0" autoLine="0" autoPict="0">
                <anchor moveWithCells="1">
                  <from>
                    <xdr:col>4</xdr:col>
                    <xdr:colOff>133350</xdr:colOff>
                    <xdr:row>12</xdr:row>
                    <xdr:rowOff>66675</xdr:rowOff>
                  </from>
                  <to>
                    <xdr:col>4</xdr:col>
                    <xdr:colOff>381000</xdr:colOff>
                    <xdr:row>12</xdr:row>
                    <xdr:rowOff>409575</xdr:rowOff>
                  </to>
                </anchor>
              </controlPr>
            </control>
          </mc:Choice>
        </mc:AlternateContent>
        <mc:AlternateContent xmlns:mc="http://schemas.openxmlformats.org/markup-compatibility/2006">
          <mc:Choice Requires="x14">
            <control shapeId="7213" r:id="rId13" name="Check Box 45">
              <controlPr defaultSize="0" autoFill="0" autoLine="0" autoPict="0">
                <anchor moveWithCells="1">
                  <from>
                    <xdr:col>4</xdr:col>
                    <xdr:colOff>133350</xdr:colOff>
                    <xdr:row>13</xdr:row>
                    <xdr:rowOff>171450</xdr:rowOff>
                  </from>
                  <to>
                    <xdr:col>4</xdr:col>
                    <xdr:colOff>381000</xdr:colOff>
                    <xdr:row>13</xdr:row>
                    <xdr:rowOff>514350</xdr:rowOff>
                  </to>
                </anchor>
              </controlPr>
            </control>
          </mc:Choice>
        </mc:AlternateContent>
        <mc:AlternateContent xmlns:mc="http://schemas.openxmlformats.org/markup-compatibility/2006">
          <mc:Choice Requires="x14">
            <control shapeId="7214" r:id="rId14" name="Check Box 46">
              <controlPr defaultSize="0" autoFill="0" autoLine="0" autoPict="0">
                <anchor moveWithCells="1">
                  <from>
                    <xdr:col>10</xdr:col>
                    <xdr:colOff>133350</xdr:colOff>
                    <xdr:row>4</xdr:row>
                    <xdr:rowOff>171450</xdr:rowOff>
                  </from>
                  <to>
                    <xdr:col>10</xdr:col>
                    <xdr:colOff>381000</xdr:colOff>
                    <xdr:row>4</xdr:row>
                    <xdr:rowOff>514350</xdr:rowOff>
                  </to>
                </anchor>
              </controlPr>
            </control>
          </mc:Choice>
        </mc:AlternateContent>
        <mc:AlternateContent xmlns:mc="http://schemas.openxmlformats.org/markup-compatibility/2006">
          <mc:Choice Requires="x14">
            <control shapeId="7215" r:id="rId15" name="Check Box 47">
              <controlPr defaultSize="0" autoFill="0" autoLine="0" autoPict="0">
                <anchor moveWithCells="1">
                  <from>
                    <xdr:col>10</xdr:col>
                    <xdr:colOff>133350</xdr:colOff>
                    <xdr:row>5</xdr:row>
                    <xdr:rowOff>66675</xdr:rowOff>
                  </from>
                  <to>
                    <xdr:col>10</xdr:col>
                    <xdr:colOff>381000</xdr:colOff>
                    <xdr:row>5</xdr:row>
                    <xdr:rowOff>409575</xdr:rowOff>
                  </to>
                </anchor>
              </controlPr>
            </control>
          </mc:Choice>
        </mc:AlternateContent>
        <mc:AlternateContent xmlns:mc="http://schemas.openxmlformats.org/markup-compatibility/2006">
          <mc:Choice Requires="x14">
            <control shapeId="7216" r:id="rId16" name="Check Box 48">
              <controlPr defaultSize="0" autoFill="0" autoLine="0" autoPict="0">
                <anchor moveWithCells="1">
                  <from>
                    <xdr:col>10</xdr:col>
                    <xdr:colOff>133350</xdr:colOff>
                    <xdr:row>6</xdr:row>
                    <xdr:rowOff>66675</xdr:rowOff>
                  </from>
                  <to>
                    <xdr:col>10</xdr:col>
                    <xdr:colOff>381000</xdr:colOff>
                    <xdr:row>6</xdr:row>
                    <xdr:rowOff>409575</xdr:rowOff>
                  </to>
                </anchor>
              </controlPr>
            </control>
          </mc:Choice>
        </mc:AlternateContent>
        <mc:AlternateContent xmlns:mc="http://schemas.openxmlformats.org/markup-compatibility/2006">
          <mc:Choice Requires="x14">
            <control shapeId="7217" r:id="rId17" name="Check Box 49">
              <controlPr defaultSize="0" autoFill="0" autoLine="0" autoPict="0">
                <anchor moveWithCells="1">
                  <from>
                    <xdr:col>10</xdr:col>
                    <xdr:colOff>133350</xdr:colOff>
                    <xdr:row>7</xdr:row>
                    <xdr:rowOff>66675</xdr:rowOff>
                  </from>
                  <to>
                    <xdr:col>10</xdr:col>
                    <xdr:colOff>381000</xdr:colOff>
                    <xdr:row>7</xdr:row>
                    <xdr:rowOff>409575</xdr:rowOff>
                  </to>
                </anchor>
              </controlPr>
            </control>
          </mc:Choice>
        </mc:AlternateContent>
        <mc:AlternateContent xmlns:mc="http://schemas.openxmlformats.org/markup-compatibility/2006">
          <mc:Choice Requires="x14">
            <control shapeId="7218" r:id="rId18" name="Check Box 50">
              <controlPr defaultSize="0" autoFill="0" autoLine="0" autoPict="0">
                <anchor moveWithCells="1">
                  <from>
                    <xdr:col>10</xdr:col>
                    <xdr:colOff>133350</xdr:colOff>
                    <xdr:row>8</xdr:row>
                    <xdr:rowOff>66675</xdr:rowOff>
                  </from>
                  <to>
                    <xdr:col>10</xdr:col>
                    <xdr:colOff>381000</xdr:colOff>
                    <xdr:row>8</xdr:row>
                    <xdr:rowOff>409575</xdr:rowOff>
                  </to>
                </anchor>
              </controlPr>
            </control>
          </mc:Choice>
        </mc:AlternateContent>
        <mc:AlternateContent xmlns:mc="http://schemas.openxmlformats.org/markup-compatibility/2006">
          <mc:Choice Requires="x14">
            <control shapeId="7219" r:id="rId19" name="Check Box 51">
              <controlPr defaultSize="0" autoFill="0" autoLine="0" autoPict="0">
                <anchor moveWithCells="1">
                  <from>
                    <xdr:col>10</xdr:col>
                    <xdr:colOff>133350</xdr:colOff>
                    <xdr:row>9</xdr:row>
                    <xdr:rowOff>66675</xdr:rowOff>
                  </from>
                  <to>
                    <xdr:col>10</xdr:col>
                    <xdr:colOff>381000</xdr:colOff>
                    <xdr:row>9</xdr:row>
                    <xdr:rowOff>409575</xdr:rowOff>
                  </to>
                </anchor>
              </controlPr>
            </control>
          </mc:Choice>
        </mc:AlternateContent>
        <mc:AlternateContent xmlns:mc="http://schemas.openxmlformats.org/markup-compatibility/2006">
          <mc:Choice Requires="x14">
            <control shapeId="7220" r:id="rId20" name="Check Box 52">
              <controlPr defaultSize="0" autoFill="0" autoLine="0" autoPict="0">
                <anchor moveWithCells="1">
                  <from>
                    <xdr:col>10</xdr:col>
                    <xdr:colOff>133350</xdr:colOff>
                    <xdr:row>10</xdr:row>
                    <xdr:rowOff>219075</xdr:rowOff>
                  </from>
                  <to>
                    <xdr:col>10</xdr:col>
                    <xdr:colOff>381000</xdr:colOff>
                    <xdr:row>10</xdr:row>
                    <xdr:rowOff>561975</xdr:rowOff>
                  </to>
                </anchor>
              </controlPr>
            </control>
          </mc:Choice>
        </mc:AlternateContent>
        <mc:AlternateContent xmlns:mc="http://schemas.openxmlformats.org/markup-compatibility/2006">
          <mc:Choice Requires="x14">
            <control shapeId="7222" r:id="rId21" name="Check Box 54">
              <controlPr defaultSize="0" autoFill="0" autoLine="0" autoPict="0">
                <anchor moveWithCells="1">
                  <from>
                    <xdr:col>10</xdr:col>
                    <xdr:colOff>133350</xdr:colOff>
                    <xdr:row>11</xdr:row>
                    <xdr:rowOff>95250</xdr:rowOff>
                  </from>
                  <to>
                    <xdr:col>10</xdr:col>
                    <xdr:colOff>381000</xdr:colOff>
                    <xdr:row>11</xdr:row>
                    <xdr:rowOff>438150</xdr:rowOff>
                  </to>
                </anchor>
              </controlPr>
            </control>
          </mc:Choice>
        </mc:AlternateContent>
        <mc:AlternateContent xmlns:mc="http://schemas.openxmlformats.org/markup-compatibility/2006">
          <mc:Choice Requires="x14">
            <control shapeId="7223" r:id="rId22" name="Check Box 55">
              <controlPr defaultSize="0" autoFill="0" autoLine="0" autoPict="0">
                <anchor moveWithCells="1">
                  <from>
                    <xdr:col>10</xdr:col>
                    <xdr:colOff>133350</xdr:colOff>
                    <xdr:row>12</xdr:row>
                    <xdr:rowOff>66675</xdr:rowOff>
                  </from>
                  <to>
                    <xdr:col>10</xdr:col>
                    <xdr:colOff>381000</xdr:colOff>
                    <xdr:row>12</xdr:row>
                    <xdr:rowOff>409575</xdr:rowOff>
                  </to>
                </anchor>
              </controlPr>
            </control>
          </mc:Choice>
        </mc:AlternateContent>
        <mc:AlternateContent xmlns:mc="http://schemas.openxmlformats.org/markup-compatibility/2006">
          <mc:Choice Requires="x14">
            <control shapeId="7224" r:id="rId23" name="Check Box 56">
              <controlPr defaultSize="0" autoFill="0" autoLine="0" autoPict="0">
                <anchor moveWithCells="1">
                  <from>
                    <xdr:col>10</xdr:col>
                    <xdr:colOff>133350</xdr:colOff>
                    <xdr:row>13</xdr:row>
                    <xdr:rowOff>190500</xdr:rowOff>
                  </from>
                  <to>
                    <xdr:col>10</xdr:col>
                    <xdr:colOff>381000</xdr:colOff>
                    <xdr:row>13</xdr:row>
                    <xdr:rowOff>533400</xdr:rowOff>
                  </to>
                </anchor>
              </controlPr>
            </control>
          </mc:Choice>
        </mc:AlternateContent>
        <mc:AlternateContent xmlns:mc="http://schemas.openxmlformats.org/markup-compatibility/2006">
          <mc:Choice Requires="x14">
            <control shapeId="7225" r:id="rId24" name="Check Box 57">
              <controlPr defaultSize="0" autoFill="0" autoLine="0" autoPict="0">
                <anchor moveWithCells="1">
                  <from>
                    <xdr:col>10</xdr:col>
                    <xdr:colOff>133350</xdr:colOff>
                    <xdr:row>14</xdr:row>
                    <xdr:rowOff>66675</xdr:rowOff>
                  </from>
                  <to>
                    <xdr:col>10</xdr:col>
                    <xdr:colOff>381000</xdr:colOff>
                    <xdr:row>14</xdr:row>
                    <xdr:rowOff>409575</xdr:rowOff>
                  </to>
                </anchor>
              </controlPr>
            </control>
          </mc:Choice>
        </mc:AlternateContent>
        <mc:AlternateContent xmlns:mc="http://schemas.openxmlformats.org/markup-compatibility/2006">
          <mc:Choice Requires="x14">
            <control shapeId="7226" r:id="rId25" name="Check Box 58">
              <controlPr defaultSize="0" autoFill="0" autoLine="0" autoPict="0">
                <anchor moveWithCells="1">
                  <from>
                    <xdr:col>10</xdr:col>
                    <xdr:colOff>133350</xdr:colOff>
                    <xdr:row>15</xdr:row>
                    <xdr:rowOff>66675</xdr:rowOff>
                  </from>
                  <to>
                    <xdr:col>10</xdr:col>
                    <xdr:colOff>381000</xdr:colOff>
                    <xdr:row>15</xdr:row>
                    <xdr:rowOff>409575</xdr:rowOff>
                  </to>
                </anchor>
              </controlPr>
            </control>
          </mc:Choice>
        </mc:AlternateContent>
        <mc:AlternateContent xmlns:mc="http://schemas.openxmlformats.org/markup-compatibility/2006">
          <mc:Choice Requires="x14">
            <control shapeId="7227" r:id="rId26" name="Check Box 59">
              <controlPr defaultSize="0" autoFill="0" autoLine="0" autoPict="0">
                <anchor moveWithCells="1">
                  <from>
                    <xdr:col>10</xdr:col>
                    <xdr:colOff>133350</xdr:colOff>
                    <xdr:row>16</xdr:row>
                    <xdr:rowOff>66675</xdr:rowOff>
                  </from>
                  <to>
                    <xdr:col>10</xdr:col>
                    <xdr:colOff>381000</xdr:colOff>
                    <xdr:row>16</xdr:row>
                    <xdr:rowOff>409575</xdr:rowOff>
                  </to>
                </anchor>
              </controlPr>
            </control>
          </mc:Choice>
        </mc:AlternateContent>
        <mc:AlternateContent xmlns:mc="http://schemas.openxmlformats.org/markup-compatibility/2006">
          <mc:Choice Requires="x14">
            <control shapeId="7228" r:id="rId27" name="Check Box 60">
              <controlPr defaultSize="0" autoFill="0" autoLine="0" autoPict="0">
                <anchor moveWithCells="1">
                  <from>
                    <xdr:col>10</xdr:col>
                    <xdr:colOff>133350</xdr:colOff>
                    <xdr:row>17</xdr:row>
                    <xdr:rowOff>66675</xdr:rowOff>
                  </from>
                  <to>
                    <xdr:col>10</xdr:col>
                    <xdr:colOff>381000</xdr:colOff>
                    <xdr:row>17</xdr:row>
                    <xdr:rowOff>409575</xdr:rowOff>
                  </to>
                </anchor>
              </controlPr>
            </control>
          </mc:Choice>
        </mc:AlternateContent>
        <mc:AlternateContent xmlns:mc="http://schemas.openxmlformats.org/markup-compatibility/2006">
          <mc:Choice Requires="x14">
            <control shapeId="7229" r:id="rId28" name="Check Box 61">
              <controlPr defaultSize="0" autoFill="0" autoLine="0" autoPict="0">
                <anchor moveWithCells="1">
                  <from>
                    <xdr:col>10</xdr:col>
                    <xdr:colOff>133350</xdr:colOff>
                    <xdr:row>18</xdr:row>
                    <xdr:rowOff>66675</xdr:rowOff>
                  </from>
                  <to>
                    <xdr:col>10</xdr:col>
                    <xdr:colOff>381000</xdr:colOff>
                    <xdr:row>18</xdr:row>
                    <xdr:rowOff>409575</xdr:rowOff>
                  </to>
                </anchor>
              </controlPr>
            </control>
          </mc:Choice>
        </mc:AlternateContent>
        <mc:AlternateContent xmlns:mc="http://schemas.openxmlformats.org/markup-compatibility/2006">
          <mc:Choice Requires="x14">
            <control shapeId="7230" r:id="rId29" name="Check Box 62">
              <controlPr defaultSize="0" autoFill="0" autoLine="0" autoPict="0">
                <anchor moveWithCells="1">
                  <from>
                    <xdr:col>10</xdr:col>
                    <xdr:colOff>133350</xdr:colOff>
                    <xdr:row>19</xdr:row>
                    <xdr:rowOff>152400</xdr:rowOff>
                  </from>
                  <to>
                    <xdr:col>10</xdr:col>
                    <xdr:colOff>381000</xdr:colOff>
                    <xdr:row>19</xdr:row>
                    <xdr:rowOff>495300</xdr:rowOff>
                  </to>
                </anchor>
              </controlPr>
            </control>
          </mc:Choice>
        </mc:AlternateContent>
        <mc:AlternateContent xmlns:mc="http://schemas.openxmlformats.org/markup-compatibility/2006">
          <mc:Choice Requires="x14">
            <control shapeId="7231" r:id="rId30" name="Check Box 63">
              <controlPr defaultSize="0" autoFill="0" autoLine="0" autoPict="0">
                <anchor moveWithCells="1">
                  <from>
                    <xdr:col>10</xdr:col>
                    <xdr:colOff>133350</xdr:colOff>
                    <xdr:row>20</xdr:row>
                    <xdr:rowOff>66675</xdr:rowOff>
                  </from>
                  <to>
                    <xdr:col>10</xdr:col>
                    <xdr:colOff>381000</xdr:colOff>
                    <xdr:row>20</xdr:row>
                    <xdr:rowOff>409575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Z7"/>
  <sheetViews>
    <sheetView showGridLines="0" topLeftCell="G1" zoomScaleNormal="100" zoomScaleSheetLayoutView="100" workbookViewId="0">
      <selection activeCell="V4" sqref="V4"/>
    </sheetView>
  </sheetViews>
  <sheetFormatPr defaultRowHeight="13.5" x14ac:dyDescent="0.15"/>
  <cols>
    <col min="1" max="5" width="8.75" customWidth="1"/>
    <col min="6" max="25" width="8.75" style="9" customWidth="1"/>
  </cols>
  <sheetData>
    <row r="1" spans="1:26" x14ac:dyDescent="0.15">
      <c r="A1" s="90" t="str">
        <f>"列番号"&amp;COLUMN()</f>
        <v>列番号1</v>
      </c>
      <c r="B1" s="90" t="str">
        <f t="shared" ref="B1:Y1" si="0">"列番号"&amp;COLUMN()</f>
        <v>列番号2</v>
      </c>
      <c r="C1" s="90" t="str">
        <f t="shared" si="0"/>
        <v>列番号3</v>
      </c>
      <c r="D1" s="90" t="str">
        <f t="shared" si="0"/>
        <v>列番号4</v>
      </c>
      <c r="E1" s="90" t="str">
        <f t="shared" si="0"/>
        <v>列番号5</v>
      </c>
      <c r="F1" s="90" t="str">
        <f t="shared" si="0"/>
        <v>列番号6</v>
      </c>
      <c r="G1" s="90" t="str">
        <f t="shared" si="0"/>
        <v>列番号7</v>
      </c>
      <c r="H1" s="90" t="str">
        <f t="shared" si="0"/>
        <v>列番号8</v>
      </c>
      <c r="I1" s="90" t="str">
        <f t="shared" si="0"/>
        <v>列番号9</v>
      </c>
      <c r="J1" s="90" t="str">
        <f t="shared" si="0"/>
        <v>列番号10</v>
      </c>
      <c r="K1" s="90" t="str">
        <f t="shared" si="0"/>
        <v>列番号11</v>
      </c>
      <c r="L1" s="90" t="str">
        <f t="shared" si="0"/>
        <v>列番号12</v>
      </c>
      <c r="M1" s="90" t="str">
        <f t="shared" si="0"/>
        <v>列番号13</v>
      </c>
      <c r="N1" s="90" t="str">
        <f t="shared" si="0"/>
        <v>列番号14</v>
      </c>
      <c r="O1" s="90" t="str">
        <f t="shared" si="0"/>
        <v>列番号15</v>
      </c>
      <c r="P1" s="90" t="str">
        <f t="shared" si="0"/>
        <v>列番号16</v>
      </c>
      <c r="Q1" s="90" t="str">
        <f t="shared" si="0"/>
        <v>列番号17</v>
      </c>
      <c r="R1" s="90" t="str">
        <f t="shared" si="0"/>
        <v>列番号18</v>
      </c>
      <c r="S1" s="90" t="str">
        <f t="shared" si="0"/>
        <v>列番号19</v>
      </c>
      <c r="T1" s="90" t="str">
        <f t="shared" si="0"/>
        <v>列番号20</v>
      </c>
      <c r="U1" s="90" t="str">
        <f t="shared" si="0"/>
        <v>列番号21</v>
      </c>
      <c r="V1" s="90" t="str">
        <f t="shared" si="0"/>
        <v>列番号22</v>
      </c>
      <c r="W1" s="90" t="str">
        <f t="shared" si="0"/>
        <v>列番号23</v>
      </c>
      <c r="X1" s="90" t="str">
        <f t="shared" si="0"/>
        <v>列番号24</v>
      </c>
      <c r="Y1" s="90" t="str">
        <f t="shared" si="0"/>
        <v>列番号25</v>
      </c>
    </row>
    <row r="2" spans="1:26" x14ac:dyDescent="0.15">
      <c r="A2" s="91"/>
      <c r="B2" s="91" t="s">
        <v>721</v>
      </c>
      <c r="C2" s="91" t="s">
        <v>721</v>
      </c>
      <c r="D2" s="91" t="s">
        <v>721</v>
      </c>
      <c r="E2" s="91" t="s">
        <v>721</v>
      </c>
      <c r="F2" s="91" t="s">
        <v>721</v>
      </c>
      <c r="G2" s="91" t="s">
        <v>722</v>
      </c>
      <c r="H2" s="91" t="s">
        <v>723</v>
      </c>
      <c r="I2" s="91" t="s">
        <v>722</v>
      </c>
      <c r="J2" s="91" t="s">
        <v>722</v>
      </c>
      <c r="K2" s="91" t="s">
        <v>722</v>
      </c>
      <c r="L2" s="91" t="s">
        <v>722</v>
      </c>
      <c r="M2" s="91" t="s">
        <v>722</v>
      </c>
      <c r="N2" s="91" t="s">
        <v>722</v>
      </c>
      <c r="O2" s="91" t="s">
        <v>722</v>
      </c>
      <c r="P2" s="91" t="s">
        <v>722</v>
      </c>
      <c r="Q2" s="91" t="s">
        <v>722</v>
      </c>
      <c r="R2" s="91" t="s">
        <v>722</v>
      </c>
      <c r="S2" s="91" t="s">
        <v>722</v>
      </c>
      <c r="T2" s="91" t="s">
        <v>722</v>
      </c>
      <c r="U2" s="91" t="s">
        <v>722</v>
      </c>
      <c r="V2" s="91" t="s">
        <v>722</v>
      </c>
      <c r="W2" s="91" t="s">
        <v>722</v>
      </c>
      <c r="X2" s="91" t="s">
        <v>722</v>
      </c>
      <c r="Y2" s="91" t="s">
        <v>722</v>
      </c>
      <c r="Z2" s="93" t="s">
        <v>183</v>
      </c>
    </row>
    <row r="3" spans="1:26" x14ac:dyDescent="0.15">
      <c r="A3" s="92"/>
      <c r="B3" s="92" t="s">
        <v>724</v>
      </c>
      <c r="C3" s="92" t="s">
        <v>725</v>
      </c>
      <c r="D3" s="92" t="s">
        <v>726</v>
      </c>
      <c r="E3" s="92" t="s">
        <v>727</v>
      </c>
      <c r="F3" s="92" t="s">
        <v>728</v>
      </c>
      <c r="G3" s="92" t="s">
        <v>729</v>
      </c>
      <c r="H3" s="92" t="s">
        <v>730</v>
      </c>
      <c r="I3" s="92" t="s">
        <v>731</v>
      </c>
      <c r="J3" s="92" t="s">
        <v>732</v>
      </c>
      <c r="K3" s="92" t="s">
        <v>733</v>
      </c>
      <c r="L3" s="92" t="s">
        <v>734</v>
      </c>
      <c r="M3" s="92" t="s">
        <v>735</v>
      </c>
      <c r="N3" s="92" t="s">
        <v>736</v>
      </c>
      <c r="O3" s="92" t="s">
        <v>737</v>
      </c>
      <c r="P3" s="92" t="s">
        <v>738</v>
      </c>
      <c r="Q3" s="92" t="s">
        <v>739</v>
      </c>
      <c r="R3" s="92" t="s">
        <v>740</v>
      </c>
      <c r="S3" s="92" t="s">
        <v>741</v>
      </c>
      <c r="T3" s="92" t="s">
        <v>742</v>
      </c>
      <c r="U3" s="92" t="s">
        <v>743</v>
      </c>
      <c r="V3" s="92" t="s">
        <v>744</v>
      </c>
      <c r="W3" s="92" t="s">
        <v>745</v>
      </c>
      <c r="X3" s="92" t="s">
        <v>746</v>
      </c>
      <c r="Y3" s="92" t="s">
        <v>747</v>
      </c>
    </row>
    <row r="4" spans="1:26" s="83" customFormat="1" ht="54" x14ac:dyDescent="0.15">
      <c r="A4" s="89"/>
      <c r="B4" s="79"/>
      <c r="C4" s="79"/>
      <c r="D4" s="79"/>
      <c r="E4" s="79"/>
      <c r="F4" s="80"/>
      <c r="G4" s="80"/>
      <c r="H4" s="80"/>
      <c r="I4" s="81" t="s">
        <v>748</v>
      </c>
      <c r="J4" s="81" t="s">
        <v>749</v>
      </c>
      <c r="K4" s="81" t="s">
        <v>750</v>
      </c>
      <c r="L4" s="81" t="s">
        <v>751</v>
      </c>
      <c r="M4" s="81" t="s">
        <v>752</v>
      </c>
      <c r="N4" s="81" t="s">
        <v>753</v>
      </c>
      <c r="O4" s="81" t="s">
        <v>754</v>
      </c>
      <c r="P4" s="81" t="s">
        <v>755</v>
      </c>
      <c r="Q4" s="81" t="s">
        <v>756</v>
      </c>
      <c r="R4" s="81" t="s">
        <v>757</v>
      </c>
      <c r="S4" s="81" t="s">
        <v>758</v>
      </c>
      <c r="T4" s="81" t="s">
        <v>759</v>
      </c>
      <c r="U4" s="81" t="s">
        <v>760</v>
      </c>
      <c r="V4" s="81" t="s">
        <v>761</v>
      </c>
      <c r="W4" s="81" t="s">
        <v>762</v>
      </c>
      <c r="X4" s="81" t="s">
        <v>763</v>
      </c>
      <c r="Y4" s="81" t="s">
        <v>764</v>
      </c>
      <c r="Z4" s="82"/>
    </row>
    <row r="5" spans="1:26" ht="5.0999999999999996" customHeight="1" x14ac:dyDescent="0.15">
      <c r="A5" s="84"/>
      <c r="B5" s="84"/>
      <c r="C5" s="85"/>
      <c r="D5" s="85"/>
      <c r="E5" s="85"/>
      <c r="F5" s="86"/>
      <c r="G5" s="86"/>
      <c r="H5" s="87"/>
      <c r="I5" s="205"/>
      <c r="J5" s="205"/>
      <c r="K5" s="205"/>
      <c r="L5" s="205"/>
      <c r="M5" s="205"/>
      <c r="N5" s="205"/>
      <c r="O5" s="205"/>
      <c r="P5" s="205"/>
      <c r="Q5" s="205"/>
      <c r="R5" s="205"/>
      <c r="S5" s="205"/>
      <c r="T5" s="205"/>
      <c r="U5" s="205"/>
      <c r="V5" s="205"/>
      <c r="W5" s="109"/>
      <c r="X5" s="206"/>
      <c r="Y5" s="206"/>
      <c r="Z5" s="88"/>
    </row>
    <row r="6" spans="1:26" ht="27.75" thickBot="1" x14ac:dyDescent="0.2">
      <c r="A6" s="207" t="s">
        <v>765</v>
      </c>
      <c r="B6" s="207" t="s">
        <v>4</v>
      </c>
      <c r="C6" s="207" t="s">
        <v>766</v>
      </c>
      <c r="D6" s="207" t="s">
        <v>6</v>
      </c>
      <c r="E6" s="207" t="s">
        <v>7</v>
      </c>
      <c r="F6" s="207" t="s">
        <v>2</v>
      </c>
      <c r="G6" s="207" t="s">
        <v>767</v>
      </c>
      <c r="H6" s="207" t="s">
        <v>768</v>
      </c>
      <c r="I6" s="208" t="s">
        <v>769</v>
      </c>
      <c r="J6" s="208" t="s">
        <v>769</v>
      </c>
      <c r="K6" s="208" t="s">
        <v>769</v>
      </c>
      <c r="L6" s="208" t="s">
        <v>769</v>
      </c>
      <c r="M6" s="208" t="s">
        <v>769</v>
      </c>
      <c r="N6" s="208" t="s">
        <v>769</v>
      </c>
      <c r="O6" s="208" t="s">
        <v>769</v>
      </c>
      <c r="P6" s="208" t="s">
        <v>769</v>
      </c>
      <c r="Q6" s="208" t="s">
        <v>769</v>
      </c>
      <c r="R6" s="208" t="s">
        <v>769</v>
      </c>
      <c r="S6" s="208" t="s">
        <v>769</v>
      </c>
      <c r="T6" s="208" t="s">
        <v>769</v>
      </c>
      <c r="U6" s="208" t="s">
        <v>769</v>
      </c>
      <c r="V6" s="208" t="s">
        <v>769</v>
      </c>
      <c r="W6" s="208" t="s">
        <v>769</v>
      </c>
      <c r="X6" s="208" t="s">
        <v>769</v>
      </c>
      <c r="Y6" s="208" t="s">
        <v>769</v>
      </c>
    </row>
    <row r="7" spans="1:26" x14ac:dyDescent="0.15">
      <c r="A7" s="209" t="str">
        <f ca="1">IF(B7=0,"",B7)&amp;"　"&amp;IF(C7=0,"",C7)&amp;"　"&amp;IF(D7=0,"",D7)&amp;"　"&amp;IF(E7=0,"",E7)</f>
        <v>　　　</v>
      </c>
      <c r="B7" s="210">
        <f ca="1">INDIRECT("'"&amp;B2&amp;"'!"&amp;B3)</f>
        <v>0</v>
      </c>
      <c r="C7" s="210">
        <f t="shared" ref="C7:Y7" ca="1" si="1">INDIRECT("'"&amp;C2&amp;"'!"&amp;C3)</f>
        <v>0</v>
      </c>
      <c r="D7" s="210">
        <f t="shared" ca="1" si="1"/>
        <v>0</v>
      </c>
      <c r="E7" s="210">
        <f t="shared" ca="1" si="1"/>
        <v>0</v>
      </c>
      <c r="F7" s="210" t="str">
        <f t="shared" ca="1" si="1"/>
        <v>法第14条４号</v>
      </c>
      <c r="G7" s="210" t="e">
        <f t="shared" ca="1" si="1"/>
        <v>#REF!</v>
      </c>
      <c r="H7" s="210" t="e">
        <f t="shared" ca="1" si="1"/>
        <v>#REF!</v>
      </c>
      <c r="I7" s="210" t="e">
        <f t="shared" ca="1" si="1"/>
        <v>#REF!</v>
      </c>
      <c r="J7" s="210" t="e">
        <f t="shared" ca="1" si="1"/>
        <v>#REF!</v>
      </c>
      <c r="K7" s="210" t="e">
        <f t="shared" ca="1" si="1"/>
        <v>#REF!</v>
      </c>
      <c r="L7" s="210" t="e">
        <f t="shared" ca="1" si="1"/>
        <v>#REF!</v>
      </c>
      <c r="M7" s="210" t="e">
        <f ca="1">INDIRECT("'"&amp;M2&amp;"'!"&amp;M3)</f>
        <v>#REF!</v>
      </c>
      <c r="N7" s="210" t="e">
        <f t="shared" ca="1" si="1"/>
        <v>#REF!</v>
      </c>
      <c r="O7" s="210" t="e">
        <f t="shared" ca="1" si="1"/>
        <v>#REF!</v>
      </c>
      <c r="P7" s="210" t="e">
        <f t="shared" ca="1" si="1"/>
        <v>#REF!</v>
      </c>
      <c r="Q7" s="210" t="e">
        <f t="shared" ca="1" si="1"/>
        <v>#REF!</v>
      </c>
      <c r="R7" s="210" t="e">
        <f t="shared" ca="1" si="1"/>
        <v>#REF!</v>
      </c>
      <c r="S7" s="210" t="e">
        <f t="shared" ca="1" si="1"/>
        <v>#REF!</v>
      </c>
      <c r="T7" s="210" t="e">
        <f t="shared" ca="1" si="1"/>
        <v>#REF!</v>
      </c>
      <c r="U7" s="210" t="e">
        <f t="shared" ca="1" si="1"/>
        <v>#REF!</v>
      </c>
      <c r="V7" s="210" t="e">
        <f ca="1">INDIRECT("'"&amp;V2&amp;"'!"&amp;V3)</f>
        <v>#REF!</v>
      </c>
      <c r="W7" s="210" t="e">
        <f ca="1">INDIRECT("'"&amp;W2&amp;"'!"&amp;W3)</f>
        <v>#REF!</v>
      </c>
      <c r="X7" s="210" t="e">
        <f t="shared" ca="1" si="1"/>
        <v>#REF!</v>
      </c>
      <c r="Y7" s="210" t="e">
        <f t="shared" ca="1" si="1"/>
        <v>#REF!</v>
      </c>
    </row>
  </sheetData>
  <phoneticPr fontId="7"/>
  <conditionalFormatting sqref="A7:Y1048576">
    <cfRule type="expression" dxfId="0" priority="2">
      <formula>$A7&lt;&gt;""</formula>
    </cfRule>
  </conditionalFormatting>
  <printOptions horizontalCentered="1" headings="1"/>
  <pageMargins left="0" right="0" top="0.74803149606299213" bottom="0.74803149606299213" header="0.31496062992125984" footer="0.31496062992125984"/>
  <pageSetup paperSize="9" scale="68" orientation="landscape" r:id="rId1"/>
  <headerFooter scaleWithDoc="0" alignWithMargins="0">
    <oddHeader>&amp;L&amp;F　　　　&amp;A　ワークシート</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f1c0b01a0056fe45ab1ae258a153f01c">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0128479f4b62af9226533c35c105e61"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9AA2B-5851-4C85-AC7E-9564CFB3FDF8}">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85e6e18b-26c1-4122-9e79-e6c53ac26d53"/>
    <ds:schemaRef ds:uri="http://purl.org/dc/dcmitype/"/>
    <ds:schemaRef ds:uri="http://schemas.microsoft.com/office/infopath/2007/PartnerControls"/>
    <ds:schemaRef ds:uri="http://schemas.openxmlformats.org/package/2006/metadata/core-properties"/>
    <ds:schemaRef ds:uri="0d08088d-5390-484d-8b3a-e28c518d54ac"/>
  </ds:schemaRefs>
</ds:datastoreItem>
</file>

<file path=customXml/itemProps2.xml><?xml version="1.0" encoding="utf-8"?>
<ds:datastoreItem xmlns:ds="http://schemas.openxmlformats.org/officeDocument/2006/customXml" ds:itemID="{7C548F3F-2D83-4AC0-828C-6110CDA41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2F8B99-BBF8-4E80-8811-11562EE44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01（学校名入力）</vt:lpstr>
      <vt:lpstr>02（様式１）法第14条第４号の協議申請書</vt:lpstr>
      <vt:lpstr>03（様式２）履修証明書</vt:lpstr>
      <vt:lpstr>04（様式３）単位数の新旧対照表 </vt:lpstr>
      <vt:lpstr>05（様式４）教科内容対比表</vt:lpstr>
      <vt:lpstr>06（様式５）臨床実習確認表</vt:lpstr>
      <vt:lpstr>1行化シート</vt:lpstr>
      <vt:lpstr>'01（学校名入力）'!Print_Area</vt:lpstr>
      <vt:lpstr>'02（様式１）法第14条第４号の協議申請書'!Print_Area</vt:lpstr>
      <vt:lpstr>'03（様式２）履修証明書'!Print_Area</vt:lpstr>
      <vt:lpstr>'04（様式３）単位数の新旧対照表 '!Print_Area</vt:lpstr>
      <vt:lpstr>'05（様式４）教科内容対比表'!Print_Area</vt:lpstr>
      <vt:lpstr>'06（様式５）臨床実習確認表'!Print_Area</vt:lpstr>
      <vt:lpstr>'05（様式４）教科内容対比表'!Print_Titles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