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0803000/WorkingDocLib/■03_医事係/13　協議審査（科目承認校）〇/05 その他/250529_協議申請の変更/臨床検査技師/251031_HP掲載用/"/>
    </mc:Choice>
  </mc:AlternateContent>
  <xr:revisionPtr revIDLastSave="1467" documentId="10_ncr:8000_{3304E2BD-D80A-4857-8E18-0C5816F643F3}" xr6:coauthVersionLast="47" xr6:coauthVersionMax="47" xr10:uidLastSave="{20472A71-0ACA-43DD-A244-07A07E0DA1CA}"/>
  <bookViews>
    <workbookView xWindow="-120" yWindow="-120" windowWidth="29040" windowHeight="15720" tabRatio="923" xr2:uid="{00000000-000D-0000-FFFF-FFFF00000000}"/>
  </bookViews>
  <sheets>
    <sheet name="01（学校名入力）" sheetId="2" r:id="rId1"/>
    <sheet name="02（様式１）令18条第３号の協議申請書" sheetId="5" r:id="rId2"/>
    <sheet name="03（様式2）令18条第４号の協議申請書 " sheetId="6" r:id="rId3"/>
    <sheet name="04（様式３）履修証明書" sheetId="7" r:id="rId4"/>
    <sheet name="05（様式４）単位数の新旧対照表 " sheetId="3" r:id="rId5"/>
    <sheet name="06（様式５）教科内容対比表" sheetId="4" r:id="rId6"/>
    <sheet name="07（様式６）臨地実習確認表" sheetId="9" r:id="rId7"/>
    <sheet name="1行化シート" sheetId="8" state="hidden" r:id="rId8"/>
  </sheets>
  <externalReferences>
    <externalReference r:id="rId9"/>
  </externalReferences>
  <definedNames>
    <definedName name="_xlnm._FilterDatabase" localSheetId="5" hidden="1">'06（様式５）教科内容対比表'!$B$5:$K$887</definedName>
    <definedName name="_xlnm._FilterDatabase" localSheetId="7" hidden="1">'1行化シート'!$A$6:$X$6</definedName>
    <definedName name="_ja1">#REF!</definedName>
    <definedName name="_Order1" hidden="1">255</definedName>
    <definedName name="_Order2" hidden="1">255</definedName>
    <definedName name="_wa1">#REF!</definedName>
    <definedName name="_xa1">#REF!</definedName>
    <definedName name="cz">#REF!</definedName>
    <definedName name="Index1" localSheetId="7">[1]協会けんぽ!#REF!</definedName>
    <definedName name="Index1">[1]協会けんぽ!#REF!</definedName>
    <definedName name="index10" localSheetId="7">[1]協会けんぽ!#REF!</definedName>
    <definedName name="index10">[1]協会けんぽ!#REF!</definedName>
    <definedName name="index11" localSheetId="7">[1]協会けんぽ!#REF!</definedName>
    <definedName name="index11">[1]協会けんぽ!#REF!</definedName>
    <definedName name="Index12" localSheetId="7">[1]協会けんぽ!#REF!</definedName>
    <definedName name="Index12">[1]協会けんぽ!#REF!</definedName>
    <definedName name="Index13" localSheetId="7">[1]協会けんぽ!#REF!</definedName>
    <definedName name="Index13">[1]協会けんぽ!#REF!</definedName>
    <definedName name="Index2" localSheetId="7">[1]協会けんぽ!#REF!</definedName>
    <definedName name="Index2">[1]協会けんぽ!#REF!</definedName>
    <definedName name="index3" localSheetId="7">[1]協会けんぽ!#REF!</definedName>
    <definedName name="index3">[1]協会けんぽ!#REF!</definedName>
    <definedName name="index4" localSheetId="7">[1]協会けんぽ!#REF!</definedName>
    <definedName name="index4">[1]協会けんぽ!#REF!</definedName>
    <definedName name="index5" localSheetId="7">[1]協会けんぽ!#REF!</definedName>
    <definedName name="index5">[1]協会けんぽ!#REF!</definedName>
    <definedName name="index6" localSheetId="7">[1]協会けんぽ!#REF!</definedName>
    <definedName name="index6">[1]協会けんぽ!#REF!</definedName>
    <definedName name="index7" localSheetId="7">[1]協会けんぽ!#REF!</definedName>
    <definedName name="index7">[1]協会けんぽ!#REF!</definedName>
    <definedName name="index8" localSheetId="7">[1]協会けんぽ!#REF!</definedName>
    <definedName name="index8">[1]協会けんぽ!#REF!</definedName>
    <definedName name="index9" localSheetId="7">[1]協会けんぽ!#REF!</definedName>
    <definedName name="index9">[1]協会けんぽ!#REF!</definedName>
    <definedName name="_xlnm.Print_Area" localSheetId="0">'01（学校名入力）'!$A$1:$F$37</definedName>
    <definedName name="_xlnm.Print_Area" localSheetId="1">'02（様式１）令18条第３号の協議申請書'!$A$1:$E$174</definedName>
    <definedName name="_xlnm.Print_Area" localSheetId="2">'03（様式2）令18条第４号の協議申請書 '!$A$1:$E$174</definedName>
    <definedName name="_xlnm.Print_Area" localSheetId="3">'04（様式３）履修証明書'!$A$1:$H$174</definedName>
    <definedName name="_xlnm.Print_Area" localSheetId="4">'05（様式４）単位数の新旧対照表 '!$B$1:$K$164</definedName>
    <definedName name="_xlnm.Print_Area" localSheetId="5">'06（様式５）教科内容対比表'!$A$1:$I$897</definedName>
    <definedName name="_xlnm.Print_Area" localSheetId="6">'07（様式６）臨地実習確認表'!$A$1:$M$28</definedName>
    <definedName name="_xlnm.Print_Titles" localSheetId="5">'06（様式５）教科内容対比表'!$5:$5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4" i="4" l="1"/>
  <c r="B2" i="4"/>
  <c r="B2" i="3"/>
  <c r="B7" i="5"/>
  <c r="J896" i="4" l="1"/>
  <c r="P798" i="4" l="1"/>
  <c r="Q832" i="4"/>
  <c r="P832" i="4"/>
  <c r="Q831" i="4"/>
  <c r="P830" i="4"/>
  <c r="Q829" i="4"/>
  <c r="P829" i="4"/>
  <c r="Q828" i="4"/>
  <c r="P828" i="4"/>
  <c r="Q827" i="4"/>
  <c r="P827" i="4"/>
  <c r="Q826" i="4"/>
  <c r="P826" i="4"/>
  <c r="Q825" i="4"/>
  <c r="P825" i="4"/>
  <c r="Q824" i="4"/>
  <c r="P824" i="4"/>
  <c r="Q823" i="4"/>
  <c r="P823" i="4"/>
  <c r="Q818" i="4"/>
  <c r="P818" i="4"/>
  <c r="Q817" i="4"/>
  <c r="P817" i="4"/>
  <c r="Q816" i="4"/>
  <c r="P816" i="4"/>
  <c r="Q815" i="4"/>
  <c r="P815" i="4"/>
  <c r="Q814" i="4"/>
  <c r="P814" i="4"/>
  <c r="Q813" i="4"/>
  <c r="P813" i="4"/>
  <c r="Q812" i="4"/>
  <c r="P812" i="4"/>
  <c r="Q811" i="4"/>
  <c r="P811" i="4"/>
  <c r="Q808" i="4"/>
  <c r="P808" i="4"/>
  <c r="Q805" i="4"/>
  <c r="P805" i="4"/>
  <c r="Q804" i="4"/>
  <c r="P804" i="4"/>
  <c r="Q802" i="4"/>
  <c r="P802" i="4"/>
  <c r="Q801" i="4"/>
  <c r="P801" i="4"/>
  <c r="Q800" i="4"/>
  <c r="P800" i="4"/>
  <c r="Q799" i="4"/>
  <c r="P799" i="4"/>
  <c r="Q798" i="4"/>
  <c r="Q797" i="4"/>
  <c r="P797" i="4"/>
  <c r="Q795" i="4"/>
  <c r="P795" i="4"/>
  <c r="Q794" i="4"/>
  <c r="P794" i="4"/>
  <c r="Q791" i="4"/>
  <c r="P791" i="4"/>
  <c r="Q790" i="4"/>
  <c r="P790" i="4"/>
  <c r="Q789" i="4"/>
  <c r="P789" i="4"/>
  <c r="Q788" i="4"/>
  <c r="P788" i="4"/>
  <c r="Q787" i="4"/>
  <c r="P787" i="4"/>
  <c r="Q782" i="4"/>
  <c r="P782" i="4"/>
  <c r="Q781" i="4"/>
  <c r="P781" i="4"/>
  <c r="Q777" i="4"/>
  <c r="P777" i="4"/>
  <c r="Q764" i="4"/>
  <c r="P764" i="4"/>
  <c r="Q763" i="4"/>
  <c r="P763" i="4"/>
  <c r="Q762" i="4"/>
  <c r="P762" i="4"/>
  <c r="Q761" i="4"/>
  <c r="P761" i="4"/>
  <c r="Q760" i="4"/>
  <c r="P760" i="4"/>
  <c r="Q759" i="4"/>
  <c r="P759" i="4"/>
  <c r="Q758" i="4"/>
  <c r="P758" i="4"/>
  <c r="Q757" i="4"/>
  <c r="P757" i="4"/>
  <c r="Q754" i="4"/>
  <c r="P754" i="4"/>
  <c r="Q753" i="4"/>
  <c r="P753" i="4"/>
  <c r="Q749" i="4"/>
  <c r="P749" i="4"/>
  <c r="Q747" i="4"/>
  <c r="P747" i="4"/>
  <c r="Q746" i="4"/>
  <c r="P746" i="4"/>
  <c r="Q738" i="4"/>
  <c r="P738" i="4"/>
  <c r="Q737" i="4"/>
  <c r="P737" i="4"/>
  <c r="Q736" i="4"/>
  <c r="P736" i="4"/>
  <c r="Q735" i="4"/>
  <c r="P735" i="4"/>
  <c r="Q734" i="4"/>
  <c r="P734" i="4"/>
  <c r="Q730" i="4"/>
  <c r="P730" i="4"/>
  <c r="Q726" i="4"/>
  <c r="P726" i="4"/>
  <c r="Q725" i="4"/>
  <c r="P725" i="4"/>
  <c r="Q724" i="4"/>
  <c r="P724" i="4"/>
  <c r="Q721" i="4"/>
  <c r="P721" i="4"/>
  <c r="Q717" i="4"/>
  <c r="P717" i="4"/>
  <c r="Q715" i="4"/>
  <c r="P715" i="4"/>
  <c r="Q713" i="4"/>
  <c r="P713" i="4"/>
  <c r="Q712" i="4"/>
  <c r="P712" i="4"/>
  <c r="Q709" i="4"/>
  <c r="P709" i="4"/>
  <c r="Q707" i="4"/>
  <c r="P707" i="4"/>
  <c r="Q706" i="4"/>
  <c r="P706" i="4"/>
  <c r="Q693" i="4"/>
  <c r="P693" i="4"/>
  <c r="Q687" i="4"/>
  <c r="P687" i="4"/>
  <c r="Q682" i="4"/>
  <c r="P682" i="4"/>
  <c r="Q667" i="4"/>
  <c r="P667" i="4"/>
  <c r="Q665" i="4"/>
  <c r="P665" i="4"/>
  <c r="Q664" i="4"/>
  <c r="P664" i="4"/>
  <c r="Q652" i="4"/>
  <c r="P652" i="4"/>
  <c r="Q647" i="4"/>
  <c r="P647" i="4"/>
  <c r="Q638" i="4"/>
  <c r="P638" i="4"/>
  <c r="Q636" i="4"/>
  <c r="P636" i="4"/>
  <c r="Q633" i="4"/>
  <c r="P633" i="4"/>
  <c r="Q625" i="4"/>
  <c r="P625" i="4"/>
  <c r="Q619" i="4"/>
  <c r="P619" i="4"/>
  <c r="Q616" i="4"/>
  <c r="P616" i="4"/>
  <c r="Q609" i="4"/>
  <c r="P609" i="4"/>
  <c r="Q602" i="4"/>
  <c r="P602" i="4"/>
  <c r="Q595" i="4"/>
  <c r="P595" i="4"/>
  <c r="Q590" i="4"/>
  <c r="P590" i="4"/>
  <c r="Q584" i="4"/>
  <c r="P584" i="4"/>
  <c r="Q582" i="4"/>
  <c r="P582" i="4"/>
  <c r="Q581" i="4"/>
  <c r="P581" i="4"/>
  <c r="Q567" i="4"/>
  <c r="P567" i="4"/>
  <c r="Q561" i="4"/>
  <c r="P561" i="4"/>
  <c r="Q554" i="4"/>
  <c r="P554" i="4"/>
  <c r="Q549" i="4"/>
  <c r="P549" i="4"/>
  <c r="Q541" i="4"/>
  <c r="P541" i="4"/>
  <c r="Q540" i="4"/>
  <c r="P540" i="4"/>
  <c r="Q538" i="4"/>
  <c r="P538" i="4"/>
  <c r="Q537" i="4"/>
  <c r="P537" i="4"/>
  <c r="Q528" i="4"/>
  <c r="P528" i="4"/>
  <c r="Q522" i="4"/>
  <c r="P522" i="4"/>
  <c r="Q510" i="4"/>
  <c r="P510" i="4"/>
  <c r="Q506" i="4"/>
  <c r="P506" i="4"/>
  <c r="Q505" i="4"/>
  <c r="P505" i="4"/>
  <c r="Q503" i="4"/>
  <c r="P503" i="4"/>
  <c r="Q502" i="4"/>
  <c r="P502" i="4"/>
  <c r="Q495" i="4"/>
  <c r="P495" i="4"/>
  <c r="Q490" i="4"/>
  <c r="P490" i="4"/>
  <c r="Q484" i="4"/>
  <c r="P484" i="4"/>
  <c r="Q480" i="4"/>
  <c r="P480" i="4"/>
  <c r="Q479" i="4"/>
  <c r="P479" i="4"/>
  <c r="Q477" i="4"/>
  <c r="P477" i="4"/>
  <c r="Q476" i="4"/>
  <c r="P476" i="4"/>
  <c r="Q470" i="4"/>
  <c r="P470" i="4"/>
  <c r="Q465" i="4"/>
  <c r="P465" i="4"/>
  <c r="Q461" i="4"/>
  <c r="P461" i="4"/>
  <c r="Q456" i="4"/>
  <c r="P456" i="4"/>
  <c r="Q449" i="4"/>
  <c r="P449" i="4"/>
  <c r="Q448" i="4"/>
  <c r="P448" i="4"/>
  <c r="Q446" i="4"/>
  <c r="P446" i="4"/>
  <c r="Q445" i="4"/>
  <c r="P445" i="4"/>
  <c r="Q441" i="4"/>
  <c r="P441" i="4"/>
  <c r="Q440" i="4"/>
  <c r="P440" i="4"/>
  <c r="Q439" i="4"/>
  <c r="P439" i="4"/>
  <c r="Q431" i="4"/>
  <c r="P431" i="4"/>
  <c r="Q425" i="4"/>
  <c r="P425" i="4"/>
  <c r="Q416" i="4"/>
  <c r="P416" i="4"/>
  <c r="Q413" i="4"/>
  <c r="P413" i="4"/>
  <c r="Q409" i="4"/>
  <c r="P409" i="4"/>
  <c r="Q407" i="4"/>
  <c r="P407" i="4"/>
  <c r="Q406" i="4"/>
  <c r="P406" i="4"/>
  <c r="Q392" i="4"/>
  <c r="P392" i="4"/>
  <c r="Q391" i="4"/>
  <c r="P391" i="4"/>
  <c r="Q382" i="4"/>
  <c r="P382" i="4"/>
  <c r="Q377" i="4"/>
  <c r="P377" i="4"/>
  <c r="Q372" i="4"/>
  <c r="P372" i="4"/>
  <c r="Q368" i="4"/>
  <c r="P368" i="4"/>
  <c r="Q364" i="4"/>
  <c r="P364" i="4"/>
  <c r="Q360" i="4"/>
  <c r="P360" i="4"/>
  <c r="Q359" i="4"/>
  <c r="P359" i="4"/>
  <c r="Q350" i="4"/>
  <c r="P350" i="4"/>
  <c r="Q339" i="4"/>
  <c r="P339" i="4"/>
  <c r="Q338" i="4"/>
  <c r="P338" i="4"/>
  <c r="Q331" i="4"/>
  <c r="P331" i="4"/>
  <c r="Q327" i="4"/>
  <c r="P327" i="4"/>
  <c r="Q323" i="4"/>
  <c r="P323" i="4"/>
  <c r="Q318" i="4"/>
  <c r="P318" i="4"/>
  <c r="Q315" i="4"/>
  <c r="P315" i="4"/>
  <c r="Q314" i="4"/>
  <c r="P314" i="4"/>
  <c r="Q308" i="4"/>
  <c r="P308" i="4"/>
  <c r="Q307" i="4"/>
  <c r="P307" i="4"/>
  <c r="Q295" i="4"/>
  <c r="P295" i="4"/>
  <c r="Q292" i="4"/>
  <c r="P292" i="4"/>
  <c r="Q288" i="4"/>
  <c r="P288" i="4"/>
  <c r="Q287" i="4"/>
  <c r="P287" i="4"/>
  <c r="Q284" i="4"/>
  <c r="P284" i="4"/>
  <c r="Q281" i="4"/>
  <c r="P281" i="4"/>
  <c r="Q272" i="4"/>
  <c r="P272" i="4"/>
  <c r="Q271" i="4"/>
  <c r="P271" i="4"/>
  <c r="Q263" i="4"/>
  <c r="P263" i="4"/>
  <c r="Q262" i="4"/>
  <c r="P262" i="4"/>
  <c r="Q259" i="4"/>
  <c r="P259" i="4"/>
  <c r="Q254" i="4"/>
  <c r="P254" i="4"/>
  <c r="Q251" i="4"/>
  <c r="P251" i="4"/>
  <c r="Q250" i="4"/>
  <c r="P250" i="4"/>
  <c r="Q234" i="4"/>
  <c r="P234" i="4"/>
  <c r="Q208" i="4"/>
  <c r="P208" i="4"/>
  <c r="Q201" i="4"/>
  <c r="P201" i="4"/>
  <c r="Q192" i="4"/>
  <c r="P192" i="4"/>
  <c r="Q172" i="4"/>
  <c r="P172" i="4"/>
  <c r="Q145" i="4"/>
  <c r="P145" i="4"/>
  <c r="Q125" i="4"/>
  <c r="P125" i="4"/>
  <c r="Q105" i="4"/>
  <c r="P105" i="4"/>
  <c r="Q77" i="4"/>
  <c r="P77" i="4"/>
  <c r="Q55" i="4"/>
  <c r="P55" i="4"/>
  <c r="Q35" i="4"/>
  <c r="P35" i="4"/>
  <c r="Q32" i="4"/>
  <c r="P32" i="4"/>
  <c r="Q25" i="4"/>
  <c r="P25" i="4"/>
  <c r="Q14" i="4"/>
  <c r="P14" i="4"/>
  <c r="Q12" i="4"/>
  <c r="P12" i="4"/>
  <c r="Q7" i="4"/>
  <c r="P7" i="4"/>
  <c r="P834" i="4"/>
  <c r="Q830" i="4"/>
  <c r="P831" i="4"/>
  <c r="Q6" i="4"/>
  <c r="P6" i="4"/>
  <c r="O17" i="9"/>
  <c r="O18" i="9"/>
  <c r="O19" i="9"/>
  <c r="O20" i="9"/>
  <c r="O21" i="9"/>
  <c r="O22" i="9"/>
  <c r="O23" i="9"/>
  <c r="O24" i="9"/>
  <c r="O25" i="9"/>
  <c r="O26" i="9"/>
  <c r="O27" i="9"/>
  <c r="O16" i="9"/>
  <c r="O15" i="9"/>
  <c r="O14" i="9"/>
  <c r="O13" i="9"/>
  <c r="O12" i="9"/>
  <c r="N12" i="9"/>
  <c r="O11" i="9"/>
  <c r="N11" i="9"/>
  <c r="O10" i="9"/>
  <c r="N10" i="9"/>
  <c r="O9" i="9"/>
  <c r="N9" i="9"/>
  <c r="O8" i="9"/>
  <c r="N8" i="9"/>
  <c r="O7" i="9"/>
  <c r="N7" i="9"/>
  <c r="O6" i="9"/>
  <c r="N6" i="9"/>
  <c r="K1" i="7" l="1"/>
  <c r="I163" i="7"/>
  <c r="I164" i="7"/>
  <c r="I165" i="7"/>
  <c r="I162" i="7"/>
  <c r="J892" i="4"/>
  <c r="J891" i="4"/>
  <c r="J797" i="4"/>
  <c r="G1" i="5"/>
  <c r="F4" i="5"/>
  <c r="F3" i="5"/>
  <c r="G1" i="6"/>
  <c r="F4" i="6"/>
  <c r="F3" i="6"/>
  <c r="M159" i="3" l="1"/>
  <c r="M158" i="3"/>
  <c r="M157" i="3"/>
  <c r="N159" i="3" l="1"/>
  <c r="E154" i="7" l="1"/>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37" i="7"/>
  <c r="D38" i="7"/>
  <c r="D39" i="7"/>
  <c r="D40" i="7"/>
  <c r="D15" i="7"/>
  <c r="D16" i="7"/>
  <c r="D17" i="7"/>
  <c r="D18" i="7"/>
  <c r="D19" i="7"/>
  <c r="D20" i="7"/>
  <c r="D21" i="7"/>
  <c r="D22" i="7"/>
  <c r="D23" i="7"/>
  <c r="D24" i="7"/>
  <c r="D25" i="7"/>
  <c r="D26" i="7"/>
  <c r="D27" i="7"/>
  <c r="D28" i="7"/>
  <c r="D29" i="7"/>
  <c r="D30" i="7"/>
  <c r="D31" i="7"/>
  <c r="D32" i="7"/>
  <c r="D33" i="7"/>
  <c r="D34" i="7"/>
  <c r="D35" i="7"/>
  <c r="D36" i="7"/>
  <c r="D146" i="6"/>
  <c r="D147" i="6"/>
  <c r="D148" i="6"/>
  <c r="D149" i="6"/>
  <c r="D150" i="6"/>
  <c r="D151" i="6"/>
  <c r="D152" i="6"/>
  <c r="D153" i="6"/>
  <c r="D154" i="6"/>
  <c r="D155" i="6"/>
  <c r="D156" i="6"/>
  <c r="D157" i="6"/>
  <c r="C146" i="6"/>
  <c r="C147" i="6"/>
  <c r="C148" i="6"/>
  <c r="C149" i="6"/>
  <c r="C150" i="6"/>
  <c r="C151" i="6"/>
  <c r="C152" i="6"/>
  <c r="C153" i="6"/>
  <c r="C154" i="6"/>
  <c r="C155" i="6"/>
  <c r="C156" i="6"/>
  <c r="C157" i="6"/>
  <c r="D144" i="6"/>
  <c r="D145" i="6"/>
  <c r="C144" i="6"/>
  <c r="C145"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C153" i="5"/>
  <c r="C154" i="5"/>
  <c r="C155" i="5"/>
  <c r="C156" i="5"/>
  <c r="C157" i="5"/>
  <c r="C146" i="5"/>
  <c r="C147" i="5"/>
  <c r="C148" i="5"/>
  <c r="C149" i="5"/>
  <c r="C150" i="5"/>
  <c r="C151" i="5"/>
  <c r="C152" i="5"/>
  <c r="C144" i="5"/>
  <c r="C145" i="5"/>
  <c r="C137" i="5"/>
  <c r="C138" i="5"/>
  <c r="C139" i="5"/>
  <c r="C140" i="5"/>
  <c r="C141" i="5"/>
  <c r="C142" i="5"/>
  <c r="C143" i="5"/>
  <c r="C122" i="5"/>
  <c r="C123" i="5"/>
  <c r="C124" i="5"/>
  <c r="C125" i="5"/>
  <c r="C126" i="5"/>
  <c r="C127" i="5"/>
  <c r="C128" i="5"/>
  <c r="C129" i="5"/>
  <c r="C130" i="5"/>
  <c r="C131" i="5"/>
  <c r="C132" i="5"/>
  <c r="C133" i="5"/>
  <c r="C134" i="5"/>
  <c r="C135" i="5"/>
  <c r="C136" i="5"/>
  <c r="C114" i="5"/>
  <c r="C115" i="5"/>
  <c r="C116" i="5"/>
  <c r="C117" i="5"/>
  <c r="C118" i="5"/>
  <c r="C119" i="5"/>
  <c r="C120" i="5"/>
  <c r="C121" i="5"/>
  <c r="C106" i="5"/>
  <c r="C107" i="5"/>
  <c r="C108" i="5"/>
  <c r="C109" i="5"/>
  <c r="C110" i="5"/>
  <c r="C111" i="5"/>
  <c r="C112" i="5"/>
  <c r="C113" i="5"/>
  <c r="C100" i="5"/>
  <c r="C101" i="5"/>
  <c r="C102" i="5"/>
  <c r="C103" i="5"/>
  <c r="C104" i="5"/>
  <c r="C105" i="5"/>
  <c r="C91" i="5"/>
  <c r="C92" i="5"/>
  <c r="C93" i="5"/>
  <c r="C94" i="5"/>
  <c r="C95" i="5"/>
  <c r="C96" i="5"/>
  <c r="C97" i="5"/>
  <c r="C98" i="5"/>
  <c r="C99" i="5"/>
  <c r="C90" i="5"/>
  <c r="C87" i="5"/>
  <c r="C88" i="5"/>
  <c r="C89"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K724" i="4"/>
  <c r="J724" i="4"/>
  <c r="W1" i="8" l="1"/>
  <c r="E158" i="7"/>
  <c r="E159" i="7"/>
  <c r="E157" i="7"/>
  <c r="D162" i="6"/>
  <c r="D163" i="6"/>
  <c r="D161" i="6"/>
  <c r="M85" i="3" l="1"/>
  <c r="M77" i="3"/>
  <c r="M141" i="3"/>
  <c r="M132" i="3"/>
  <c r="V7" i="8"/>
  <c r="O158" i="3" l="1"/>
  <c r="O159" i="3"/>
  <c r="J831" i="4"/>
  <c r="K831" i="4"/>
  <c r="K824" i="4"/>
  <c r="K823" i="4"/>
  <c r="J824" i="4"/>
  <c r="J823" i="4"/>
  <c r="K817" i="4"/>
  <c r="K816" i="4"/>
  <c r="K815" i="4"/>
  <c r="K814" i="4"/>
  <c r="K813" i="4"/>
  <c r="K812" i="4"/>
  <c r="J817" i="4"/>
  <c r="J816" i="4"/>
  <c r="J815" i="4"/>
  <c r="J814" i="4"/>
  <c r="J813" i="4"/>
  <c r="J812" i="4"/>
  <c r="K811" i="4"/>
  <c r="J811" i="4"/>
  <c r="K737" i="4"/>
  <c r="K736" i="4"/>
  <c r="J737" i="4"/>
  <c r="J736" i="4"/>
  <c r="K725" i="4"/>
  <c r="J725" i="4"/>
  <c r="K633" i="4"/>
  <c r="J633" i="4"/>
  <c r="J636" i="4"/>
  <c r="J511" i="4"/>
  <c r="D162" i="5"/>
  <c r="D163" i="5"/>
  <c r="D161" i="5"/>
  <c r="C161" i="5"/>
  <c r="D164" i="6"/>
  <c r="C161" i="6"/>
  <c r="D157" i="7"/>
  <c r="D164" i="5" l="1"/>
  <c r="M117" i="3" l="1"/>
  <c r="M109" i="3"/>
  <c r="M101" i="3"/>
  <c r="M95" i="3"/>
  <c r="M71" i="3"/>
  <c r="M63" i="3"/>
  <c r="M55" i="3"/>
  <c r="M47" i="3"/>
  <c r="M39" i="3"/>
  <c r="M12" i="3"/>
  <c r="W7" i="8"/>
  <c r="N47" i="3" l="1"/>
  <c r="N39" i="3"/>
  <c r="D159" i="7" l="1"/>
  <c r="D158" i="7"/>
  <c r="C163" i="6"/>
  <c r="C162" i="6"/>
  <c r="C163" i="5"/>
  <c r="C162" i="5"/>
  <c r="N77" i="3" l="1"/>
  <c r="O77" i="3" s="1"/>
  <c r="N141" i="3"/>
  <c r="N132" i="3"/>
  <c r="P141" i="3"/>
  <c r="P132" i="3"/>
  <c r="P117" i="3"/>
  <c r="N117" i="3"/>
  <c r="O117" i="3"/>
  <c r="M7" i="8"/>
  <c r="C10" i="7" l="1"/>
  <c r="B1" i="8" l="1"/>
  <c r="C1" i="8"/>
  <c r="D1" i="8"/>
  <c r="E1" i="8"/>
  <c r="F1" i="8"/>
  <c r="G1" i="8"/>
  <c r="H1" i="8"/>
  <c r="I1" i="8"/>
  <c r="J1" i="8"/>
  <c r="K1" i="8"/>
  <c r="L1" i="8"/>
  <c r="M1" i="8"/>
  <c r="N1" i="8"/>
  <c r="O1" i="8"/>
  <c r="P1" i="8"/>
  <c r="Q1" i="8"/>
  <c r="R1" i="8"/>
  <c r="S1" i="8"/>
  <c r="T1" i="8"/>
  <c r="U1" i="8"/>
  <c r="V1" i="8"/>
  <c r="X1" i="8"/>
  <c r="Y1" i="8"/>
  <c r="A1" i="8"/>
  <c r="B7" i="8"/>
  <c r="D7" i="8"/>
  <c r="E7" i="8"/>
  <c r="C7" i="8"/>
  <c r="F7" i="8"/>
  <c r="A7" i="8" l="1"/>
  <c r="D14" i="7"/>
  <c r="E14" i="7"/>
  <c r="D17" i="6" l="1"/>
  <c r="D158" i="6" s="1"/>
  <c r="C17" i="6"/>
  <c r="B7" i="6"/>
  <c r="D17" i="5"/>
  <c r="D158" i="5" s="1"/>
  <c r="C17" i="5"/>
  <c r="R834" i="4" l="1"/>
  <c r="Q834" i="4"/>
  <c r="Y7" i="8"/>
  <c r="U7" i="8"/>
  <c r="O7" i="8"/>
  <c r="Q7" i="8"/>
  <c r="P7" i="8"/>
  <c r="K7" i="8"/>
  <c r="S7" i="8"/>
  <c r="X7" i="8"/>
  <c r="J7" i="8"/>
  <c r="R7" i="8"/>
  <c r="T7" i="8"/>
  <c r="K747" i="4" l="1"/>
  <c r="K746" i="4"/>
  <c r="K738" i="4"/>
  <c r="K735" i="4"/>
  <c r="K734" i="4"/>
  <c r="K730" i="4"/>
  <c r="K726" i="4"/>
  <c r="K721" i="4"/>
  <c r="K717" i="4"/>
  <c r="K715" i="4"/>
  <c r="K713" i="4"/>
  <c r="K712" i="4"/>
  <c r="K709" i="4"/>
  <c r="K707" i="4"/>
  <c r="K706" i="4"/>
  <c r="K693" i="4"/>
  <c r="K687" i="4"/>
  <c r="K682" i="4"/>
  <c r="K667" i="4"/>
  <c r="K665" i="4"/>
  <c r="K664" i="4"/>
  <c r="K652" i="4"/>
  <c r="K647" i="4"/>
  <c r="K638" i="4"/>
  <c r="K636" i="4"/>
  <c r="K625" i="4"/>
  <c r="K619" i="4"/>
  <c r="K616" i="4"/>
  <c r="K609" i="4"/>
  <c r="K602" i="4"/>
  <c r="K595" i="4"/>
  <c r="K590" i="4"/>
  <c r="K584" i="4"/>
  <c r="K582" i="4"/>
  <c r="K581" i="4"/>
  <c r="K567" i="4"/>
  <c r="K561" i="4"/>
  <c r="K554" i="4"/>
  <c r="K549" i="4"/>
  <c r="K541" i="4"/>
  <c r="K540" i="4"/>
  <c r="K538" i="4"/>
  <c r="K537" i="4"/>
  <c r="K528" i="4"/>
  <c r="K522" i="4"/>
  <c r="K510" i="4"/>
  <c r="K506" i="4"/>
  <c r="K505" i="4"/>
  <c r="K503" i="4"/>
  <c r="K502" i="4"/>
  <c r="K495" i="4"/>
  <c r="K490" i="4"/>
  <c r="K484" i="4"/>
  <c r="K480" i="4"/>
  <c r="K479" i="4"/>
  <c r="K477" i="4"/>
  <c r="K476" i="4"/>
  <c r="K470" i="4"/>
  <c r="K465" i="4"/>
  <c r="K461" i="4"/>
  <c r="K456" i="4"/>
  <c r="K449" i="4"/>
  <c r="K448" i="4"/>
  <c r="K446" i="4"/>
  <c r="K445" i="4"/>
  <c r="K441" i="4"/>
  <c r="K440" i="4"/>
  <c r="K439" i="4"/>
  <c r="K431" i="4"/>
  <c r="K425" i="4"/>
  <c r="K416" i="4"/>
  <c r="K413" i="4"/>
  <c r="K409" i="4"/>
  <c r="K407" i="4"/>
  <c r="K406" i="4"/>
  <c r="K392" i="4"/>
  <c r="K391" i="4"/>
  <c r="K382" i="4"/>
  <c r="K377" i="4"/>
  <c r="K372" i="4"/>
  <c r="K368" i="4"/>
  <c r="K364" i="4"/>
  <c r="K360" i="4"/>
  <c r="K359" i="4"/>
  <c r="K350" i="4"/>
  <c r="K339" i="4"/>
  <c r="K338" i="4"/>
  <c r="K331" i="4"/>
  <c r="K327" i="4"/>
  <c r="K323" i="4"/>
  <c r="K318" i="4"/>
  <c r="K315" i="4"/>
  <c r="K314" i="4"/>
  <c r="K308" i="4"/>
  <c r="K307" i="4"/>
  <c r="K295" i="4"/>
  <c r="K292" i="4"/>
  <c r="K288" i="4"/>
  <c r="K287" i="4"/>
  <c r="K284" i="4"/>
  <c r="K281" i="4"/>
  <c r="K272" i="4"/>
  <c r="K271" i="4"/>
  <c r="K263" i="4"/>
  <c r="K262" i="4"/>
  <c r="K259" i="4"/>
  <c r="K254" i="4"/>
  <c r="K251" i="4"/>
  <c r="K250" i="4"/>
  <c r="K234" i="4"/>
  <c r="K208" i="4"/>
  <c r="K201" i="4"/>
  <c r="K192" i="4"/>
  <c r="K172" i="4"/>
  <c r="K145" i="4"/>
  <c r="K125" i="4"/>
  <c r="K105" i="4"/>
  <c r="K77" i="4"/>
  <c r="K55" i="4"/>
  <c r="K35" i="4"/>
  <c r="K32" i="4"/>
  <c r="K25" i="4"/>
  <c r="K14" i="4"/>
  <c r="K12" i="4"/>
  <c r="K7" i="4"/>
  <c r="K6" i="4"/>
  <c r="J209" i="4" l="1"/>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4" i="4"/>
  <c r="J635"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6" i="4"/>
  <c r="J727" i="4"/>
  <c r="J728" i="4"/>
  <c r="J729" i="4"/>
  <c r="J730" i="4"/>
  <c r="J731" i="4"/>
  <c r="J732" i="4"/>
  <c r="J733" i="4"/>
  <c r="J734" i="4"/>
  <c r="J735"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J798" i="4"/>
  <c r="J799" i="4"/>
  <c r="J800" i="4"/>
  <c r="J801" i="4"/>
  <c r="J802" i="4"/>
  <c r="J803" i="4"/>
  <c r="J804" i="4"/>
  <c r="J805" i="4"/>
  <c r="J806" i="4"/>
  <c r="J807" i="4"/>
  <c r="J808" i="4"/>
  <c r="J809" i="4"/>
  <c r="J810" i="4"/>
  <c r="J818" i="4"/>
  <c r="J819" i="4"/>
  <c r="J820" i="4"/>
  <c r="J821" i="4"/>
  <c r="J822" i="4"/>
  <c r="J825" i="4"/>
  <c r="J826" i="4"/>
  <c r="J827" i="4"/>
  <c r="J828" i="4"/>
  <c r="J829" i="4"/>
  <c r="J830" i="4"/>
  <c r="J832"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6" i="4"/>
  <c r="J983" i="4" l="1"/>
  <c r="K826" i="4"/>
  <c r="K827" i="4"/>
  <c r="K828" i="4"/>
  <c r="K829" i="4"/>
  <c r="K830" i="4"/>
  <c r="K832" i="4"/>
  <c r="K825" i="4"/>
  <c r="K818" i="4"/>
  <c r="K808" i="4"/>
  <c r="K805" i="4"/>
  <c r="K804" i="4"/>
  <c r="K798" i="4"/>
  <c r="K799" i="4"/>
  <c r="K800" i="4"/>
  <c r="K801" i="4"/>
  <c r="K802" i="4"/>
  <c r="K797" i="4"/>
  <c r="K788" i="4"/>
  <c r="K789" i="4"/>
  <c r="K790" i="4"/>
  <c r="K791" i="4"/>
  <c r="K792" i="4"/>
  <c r="K793" i="4"/>
  <c r="K794" i="4"/>
  <c r="K795" i="4"/>
  <c r="K787" i="4"/>
  <c r="K782" i="4"/>
  <c r="K781" i="4"/>
  <c r="K777" i="4"/>
  <c r="K758" i="4"/>
  <c r="K759" i="4"/>
  <c r="K760" i="4"/>
  <c r="K761" i="4"/>
  <c r="K762" i="4"/>
  <c r="K763" i="4"/>
  <c r="K764" i="4"/>
  <c r="K757" i="4"/>
  <c r="K754" i="4"/>
  <c r="K753" i="4"/>
  <c r="K749" i="4"/>
  <c r="O157" i="3" l="1"/>
  <c r="P77" i="3" l="1"/>
  <c r="P85" i="3"/>
  <c r="J833" i="4" l="1"/>
  <c r="K1" i="4" s="1"/>
  <c r="P109" i="3"/>
  <c r="N109" i="3"/>
  <c r="P101" i="3"/>
  <c r="N101" i="3"/>
  <c r="P95" i="3"/>
  <c r="N95" i="3"/>
  <c r="P71" i="3"/>
  <c r="N71" i="3"/>
  <c r="P63" i="3"/>
  <c r="N63" i="3"/>
  <c r="O63" i="3" s="1"/>
  <c r="P55" i="3"/>
  <c r="N55" i="3"/>
  <c r="P47" i="3"/>
  <c r="O47" i="3"/>
  <c r="P39" i="3"/>
  <c r="P12" i="3"/>
  <c r="N12" i="3"/>
  <c r="I7" i="8"/>
  <c r="N7" i="8"/>
  <c r="L7" i="8"/>
  <c r="H7" i="8"/>
  <c r="O12" i="3" l="1"/>
  <c r="M1" i="3" s="1"/>
  <c r="E3" i="4"/>
  <c r="O95" i="3"/>
  <c r="O55" i="3"/>
  <c r="O109" i="3"/>
  <c r="O132" i="3"/>
  <c r="O101" i="3"/>
  <c r="O141" i="3"/>
  <c r="O71" i="3"/>
  <c r="O39" i="3"/>
  <c r="G7" i="8"/>
  <c r="B5" i="3" l="1"/>
</calcChain>
</file>

<file path=xl/sharedStrings.xml><?xml version="1.0" encoding="utf-8"?>
<sst xmlns="http://schemas.openxmlformats.org/spreadsheetml/2006/main" count="1527" uniqueCount="1144">
  <si>
    <t>◀ 判定</t>
    <rPh sb="2" eb="4">
      <t>ハンテイ</t>
    </rPh>
    <phoneticPr fontId="8"/>
  </si>
  <si>
    <t>【新旧対照表】</t>
    <rPh sb="1" eb="3">
      <t>シンキュウ</t>
    </rPh>
    <rPh sb="3" eb="6">
      <t>タイショウヒョウ</t>
    </rPh>
    <phoneticPr fontId="8"/>
  </si>
  <si>
    <t>指定科目</t>
  </si>
  <si>
    <t>授業科目名</t>
    <rPh sb="4" eb="5">
      <t>メイ</t>
    </rPh>
    <phoneticPr fontId="8"/>
  </si>
  <si>
    <t>単位数</t>
    <phoneticPr fontId="8"/>
  </si>
  <si>
    <t>審査基準</t>
    <rPh sb="0" eb="2">
      <t>シンサ</t>
    </rPh>
    <rPh sb="2" eb="4">
      <t>キジュン</t>
    </rPh>
    <phoneticPr fontId="8"/>
  </si>
  <si>
    <t>単 位 数</t>
  </si>
  <si>
    <t>（判定）</t>
    <rPh sb="1" eb="3">
      <t>ハンテイ</t>
    </rPh>
    <phoneticPr fontId="8"/>
  </si>
  <si>
    <t>公衆衛生学</t>
  </si>
  <si>
    <t>医用工学概論</t>
  </si>
  <si>
    <t>血液検査学</t>
  </si>
  <si>
    <t>病理検査学</t>
  </si>
  <si>
    <t>尿・糞便等一般検査学</t>
  </si>
  <si>
    <t>医用工学概論</t>
    <rPh sb="0" eb="2">
      <t>イヨウ</t>
    </rPh>
    <rPh sb="2" eb="4">
      <t>コウガク</t>
    </rPh>
    <rPh sb="4" eb="6">
      <t>ガイロン</t>
    </rPh>
    <phoneticPr fontId="8"/>
  </si>
  <si>
    <t>生化学検査学</t>
  </si>
  <si>
    <t>免疫検査学</t>
  </si>
  <si>
    <t>遺伝子関連・染色体検査学</t>
  </si>
  <si>
    <t>輸血・移植検査学</t>
  </si>
  <si>
    <t>微生物検査学</t>
  </si>
  <si>
    <t>生理検査学</t>
  </si>
  <si>
    <t>臨床検査総合管理学</t>
  </si>
  <si>
    <t>医療安全管理学</t>
  </si>
  <si>
    <t>臨地実習</t>
    <rPh sb="0" eb="2">
      <t>リンチ</t>
    </rPh>
    <rPh sb="2" eb="4">
      <t>ジッシュウ</t>
    </rPh>
    <phoneticPr fontId="8"/>
  </si>
  <si>
    <t>指定科目</t>
    <rPh sb="0" eb="2">
      <t>シテイ</t>
    </rPh>
    <rPh sb="2" eb="4">
      <t>カモク</t>
    </rPh>
    <phoneticPr fontId="8"/>
  </si>
  <si>
    <t>教科内容（審査基準）</t>
    <rPh sb="0" eb="2">
      <t>キョウカ</t>
    </rPh>
    <rPh sb="2" eb="4">
      <t>ナイヨウ</t>
    </rPh>
    <rPh sb="5" eb="7">
      <t>シンサ</t>
    </rPh>
    <rPh sb="7" eb="9">
      <t>キジュン</t>
    </rPh>
    <phoneticPr fontId="8"/>
  </si>
  <si>
    <t>審査
基準</t>
    <rPh sb="0" eb="2">
      <t>シンサ</t>
    </rPh>
    <rPh sb="3" eb="5">
      <t>キジュン</t>
    </rPh>
    <phoneticPr fontId="8"/>
  </si>
  <si>
    <t>該当する
授業科目名</t>
    <rPh sb="0" eb="2">
      <t>ガイトウ</t>
    </rPh>
    <rPh sb="5" eb="7">
      <t>ジュギョウ</t>
    </rPh>
    <rPh sb="7" eb="9">
      <t>カモク</t>
    </rPh>
    <rPh sb="9" eb="10">
      <t>メイ</t>
    </rPh>
    <phoneticPr fontId="8"/>
  </si>
  <si>
    <t>シラバス
記載
ページ</t>
    <rPh sb="5" eb="7">
      <t>キサイ</t>
    </rPh>
    <phoneticPr fontId="8"/>
  </si>
  <si>
    <t xml:space="preserve"> </t>
    <phoneticPr fontId="8"/>
  </si>
  <si>
    <t>病態学</t>
    <rPh sb="0" eb="2">
      <t>ビョウタイ</t>
    </rPh>
    <rPh sb="2" eb="3">
      <t>ガク</t>
    </rPh>
    <phoneticPr fontId="8"/>
  </si>
  <si>
    <t xml:space="preserve">Ⅰ　臨床病態学 </t>
  </si>
  <si>
    <t>◎</t>
  </si>
  <si>
    <t>２０単位</t>
    <rPh sb="2" eb="4">
      <t>タンイ</t>
    </rPh>
    <phoneticPr fontId="8"/>
  </si>
  <si>
    <t>（１）疾病の原因</t>
  </si>
  <si>
    <t>（２）疾病の症候</t>
  </si>
  <si>
    <t>（３）疾病の経過と転帰</t>
  </si>
  <si>
    <t>（４）検査診断学総論</t>
  </si>
  <si>
    <t>（６）患者心理</t>
  </si>
  <si>
    <t>（１）循環器疾患</t>
    <phoneticPr fontId="8"/>
  </si>
  <si>
    <t>（２）呼吸器疾患</t>
    <phoneticPr fontId="8"/>
  </si>
  <si>
    <t>（３）消化管疾患</t>
    <phoneticPr fontId="8"/>
  </si>
  <si>
    <t>（４）肝・胆・膵疾患</t>
  </si>
  <si>
    <t>（５）感染症</t>
  </si>
  <si>
    <t>（６）血液・造血器疾患</t>
  </si>
  <si>
    <t>（８）腎・尿路・生殖器疾患</t>
  </si>
  <si>
    <t>（９）代謝・栄養障害</t>
  </si>
  <si>
    <t>（10）内分泌疾患</t>
    <phoneticPr fontId="8"/>
  </si>
  <si>
    <t>（12）運動器疾患</t>
    <phoneticPr fontId="8"/>
  </si>
  <si>
    <t>（13）感覚器疾患</t>
  </si>
  <si>
    <t>（14）皮膚疾患</t>
  </si>
  <si>
    <t>（15）乳腺疾患</t>
  </si>
  <si>
    <t>（16）中毒</t>
  </si>
  <si>
    <t>（17）染色体・遺伝子異常症</t>
  </si>
  <si>
    <t>（人体の構造と機能に関する科目）</t>
  </si>
  <si>
    <t>１　人体の発生</t>
  </si>
  <si>
    <t>２　細胞と組織</t>
  </si>
  <si>
    <t>（１）細胞の特徴</t>
  </si>
  <si>
    <t>（２）各組織の構造</t>
    <phoneticPr fontId="8"/>
  </si>
  <si>
    <t>３　器官系統の解剖及び組織</t>
  </si>
  <si>
    <t>（１）骨格</t>
    <phoneticPr fontId="8"/>
  </si>
  <si>
    <t>（２）筋</t>
    <phoneticPr fontId="8"/>
  </si>
  <si>
    <t>（３）循環器</t>
    <phoneticPr fontId="8"/>
  </si>
  <si>
    <t>（４）呼吸器</t>
    <phoneticPr fontId="8"/>
  </si>
  <si>
    <t>（５）消化器</t>
    <phoneticPr fontId="8"/>
  </si>
  <si>
    <t>（６）内分泌器</t>
    <phoneticPr fontId="8"/>
  </si>
  <si>
    <t>（７）泌尿器</t>
    <phoneticPr fontId="8"/>
  </si>
  <si>
    <t>（８）生殖器</t>
    <phoneticPr fontId="8"/>
  </si>
  <si>
    <t>（９）神経</t>
    <phoneticPr fontId="8"/>
  </si>
  <si>
    <t>（10）感覚器</t>
    <phoneticPr fontId="8"/>
  </si>
  <si>
    <t>４　学内実習</t>
  </si>
  <si>
    <t>（２）正常組織の顕微鏡による観察</t>
    <phoneticPr fontId="8"/>
  </si>
  <si>
    <t>１　生理機能</t>
  </si>
  <si>
    <t>（１）神経</t>
  </si>
  <si>
    <t>（３）感覚</t>
    <phoneticPr fontId="8"/>
  </si>
  <si>
    <t>（４）運動</t>
    <phoneticPr fontId="8"/>
  </si>
  <si>
    <t>（５）体液</t>
    <phoneticPr fontId="8"/>
  </si>
  <si>
    <t>（６）循環</t>
    <phoneticPr fontId="8"/>
  </si>
  <si>
    <t>（７）呼吸</t>
    <phoneticPr fontId="8"/>
  </si>
  <si>
    <t>（８）消化</t>
    <phoneticPr fontId="8"/>
  </si>
  <si>
    <t>（９）代謝・栄養</t>
    <phoneticPr fontId="8"/>
  </si>
  <si>
    <t>（10）排泄</t>
    <phoneticPr fontId="8"/>
  </si>
  <si>
    <t>（11）体温</t>
    <phoneticPr fontId="8"/>
  </si>
  <si>
    <t>（12）内分泌器系</t>
    <phoneticPr fontId="8"/>
  </si>
  <si>
    <t>（13）生殖</t>
    <phoneticPr fontId="8"/>
  </si>
  <si>
    <t>（14）防御機構</t>
    <phoneticPr fontId="8"/>
  </si>
  <si>
    <t>２　学内実習</t>
  </si>
  <si>
    <t>（１）循環</t>
    <phoneticPr fontId="8"/>
  </si>
  <si>
    <t>（２）呼吸</t>
    <phoneticPr fontId="8"/>
  </si>
  <si>
    <t>（３）筋</t>
    <phoneticPr fontId="8"/>
  </si>
  <si>
    <t>（４）神経</t>
    <phoneticPr fontId="8"/>
  </si>
  <si>
    <t>１　生体物質の構造と代謝</t>
  </si>
  <si>
    <t>（１）糖質</t>
    <phoneticPr fontId="8"/>
  </si>
  <si>
    <t>（２）たんぱく質</t>
    <phoneticPr fontId="8"/>
  </si>
  <si>
    <t>（３）脂質</t>
    <phoneticPr fontId="8"/>
  </si>
  <si>
    <t>（４）無機質</t>
    <phoneticPr fontId="8"/>
  </si>
  <si>
    <t>（５）酵素</t>
    <phoneticPr fontId="8"/>
  </si>
  <si>
    <t>（６）ビタミン</t>
    <phoneticPr fontId="8"/>
  </si>
  <si>
    <t>（７）ホルモン</t>
    <phoneticPr fontId="8"/>
  </si>
  <si>
    <t>（８）生体色素</t>
    <phoneticPr fontId="8"/>
  </si>
  <si>
    <t>（９）核酸</t>
    <phoneticPr fontId="8"/>
  </si>
  <si>
    <t>２　器官の生化学</t>
  </si>
  <si>
    <t>（１）血液</t>
    <phoneticPr fontId="8"/>
  </si>
  <si>
    <t>（２）肺</t>
    <phoneticPr fontId="8"/>
  </si>
  <si>
    <t>（３）腎</t>
    <phoneticPr fontId="8"/>
  </si>
  <si>
    <t>（４）肝</t>
    <phoneticPr fontId="8"/>
  </si>
  <si>
    <t>（５）骨</t>
    <phoneticPr fontId="8"/>
  </si>
  <si>
    <t>（６）筋</t>
    <phoneticPr fontId="8"/>
  </si>
  <si>
    <t>（７）その他の器官</t>
    <phoneticPr fontId="8"/>
  </si>
  <si>
    <t>３　遺伝の生化学</t>
  </si>
  <si>
    <t xml:space="preserve">（６）その他(遺伝子) </t>
    <phoneticPr fontId="8"/>
  </si>
  <si>
    <t>１　食事と栄養</t>
  </si>
  <si>
    <t>２　栄養素の働き</t>
  </si>
  <si>
    <t>（１）糖質</t>
  </si>
  <si>
    <t>（２）脂質</t>
  </si>
  <si>
    <t>（３）蛋白質、アミノ酸</t>
  </si>
  <si>
    <t>（４）ビタミン</t>
  </si>
  <si>
    <t>（５）ミネラル</t>
  </si>
  <si>
    <t>（６）食物繊維</t>
  </si>
  <si>
    <t>（７）水</t>
  </si>
  <si>
    <t>３　食物の消化と栄養素の吸収・代謝</t>
  </si>
  <si>
    <t>（１）食物の消化</t>
  </si>
  <si>
    <t>（２）栄養素の吸収</t>
  </si>
  <si>
    <t>（３）栄養素の代謝</t>
  </si>
  <si>
    <t>（４）栄養素の排泄</t>
  </si>
  <si>
    <t>４．食事と食品</t>
  </si>
  <si>
    <t>（１）食文化</t>
    <phoneticPr fontId="8"/>
  </si>
  <si>
    <t>（２）食事摂取基準</t>
  </si>
  <si>
    <t>（３）食品と栄養素</t>
  </si>
  <si>
    <t>◎※１</t>
    <phoneticPr fontId="8"/>
  </si>
  <si>
    <t>１　薬の作用機序と生体内動態</t>
  </si>
  <si>
    <t>（１）薬の作用機序</t>
  </si>
  <si>
    <t>（２）薬の生体内動態</t>
  </si>
  <si>
    <t>２　生理活性物質</t>
  </si>
  <si>
    <t>（１）神経性アミノ酸</t>
  </si>
  <si>
    <t>（２）生理活性アミン</t>
  </si>
  <si>
    <t>（４）生理活性ペプチド</t>
  </si>
  <si>
    <t>（６）サイトカインとケモカイン</t>
  </si>
  <si>
    <t>（７）ビタミン</t>
  </si>
  <si>
    <t>（１）細胞における情報の受容</t>
  </si>
  <si>
    <t>（２）細胞内情報伝達</t>
  </si>
  <si>
    <t>（３）遺伝子制御</t>
  </si>
  <si>
    <t>（４）イオンチャネル</t>
  </si>
  <si>
    <t>（５）トランスポーター</t>
  </si>
  <si>
    <t>（臨床検査の基礎とその疾病との関連に関する科目）</t>
  </si>
  <si>
    <t>１　器官・組織・細胞の病理学的変化</t>
  </si>
  <si>
    <t>（１）病理学の概要</t>
  </si>
  <si>
    <t>（２）物質代謝障害</t>
    <phoneticPr fontId="8"/>
  </si>
  <si>
    <t>（３）循環障害</t>
    <phoneticPr fontId="8"/>
  </si>
  <si>
    <t>（４）退行性病変</t>
    <phoneticPr fontId="8"/>
  </si>
  <si>
    <t>（５）炎症</t>
    <phoneticPr fontId="8"/>
  </si>
  <si>
    <t>（６）新生物</t>
    <phoneticPr fontId="8"/>
  </si>
  <si>
    <t>２　器官別各種疾患と病理学的変化</t>
  </si>
  <si>
    <t>（１）循環器系</t>
    <phoneticPr fontId="8"/>
  </si>
  <si>
    <t>（２）呼吸器系</t>
    <phoneticPr fontId="8"/>
  </si>
  <si>
    <t>（３）消化器系</t>
    <phoneticPr fontId="8"/>
  </si>
  <si>
    <t>（４）内分泌系</t>
    <phoneticPr fontId="8"/>
  </si>
  <si>
    <t>（５）泌尿器系</t>
    <phoneticPr fontId="8"/>
  </si>
  <si>
    <t>（６）生殖器系</t>
    <phoneticPr fontId="8"/>
  </si>
  <si>
    <t>（７）造血器系</t>
    <phoneticPr fontId="8"/>
  </si>
  <si>
    <t>（８）神経系</t>
    <phoneticPr fontId="8"/>
  </si>
  <si>
    <t>（９）感覚器系</t>
    <phoneticPr fontId="8"/>
  </si>
  <si>
    <t>（10）運動器系</t>
  </si>
  <si>
    <t>（11）皮膚系</t>
  </si>
  <si>
    <t>3　学内実習</t>
  </si>
  <si>
    <t>（１）固定</t>
  </si>
  <si>
    <t>（２）脱灰</t>
    <phoneticPr fontId="8"/>
  </si>
  <si>
    <t>（３）包埋</t>
    <phoneticPr fontId="8"/>
  </si>
  <si>
    <t>（４）薄切</t>
    <phoneticPr fontId="8"/>
  </si>
  <si>
    <t>（５）染色</t>
    <phoneticPr fontId="8"/>
  </si>
  <si>
    <t>１　微生物の分類・病原性と感染症</t>
  </si>
  <si>
    <t>（１）微生物学の概要</t>
    <phoneticPr fontId="8"/>
  </si>
  <si>
    <t>（２）分類</t>
    <phoneticPr fontId="8"/>
  </si>
  <si>
    <t>（３）微細構造と機能</t>
    <phoneticPr fontId="8"/>
  </si>
  <si>
    <t>（４）遺伝子操作法</t>
    <phoneticPr fontId="8"/>
  </si>
  <si>
    <t>（５）変異と遺伝</t>
    <phoneticPr fontId="8"/>
  </si>
  <si>
    <t>（６）耐性と感受性</t>
    <phoneticPr fontId="8"/>
  </si>
  <si>
    <t>（７）化学療法剤</t>
    <phoneticPr fontId="8"/>
  </si>
  <si>
    <t>（８）ワクチン</t>
    <phoneticPr fontId="8"/>
  </si>
  <si>
    <t>（９）感染と免疫</t>
    <phoneticPr fontId="8"/>
  </si>
  <si>
    <t>（10）滅菌と消毒</t>
    <phoneticPr fontId="8"/>
  </si>
  <si>
    <t>（11）培養と培地</t>
    <phoneticPr fontId="8"/>
  </si>
  <si>
    <t>2　学内実習</t>
  </si>
  <si>
    <t>（１）消毒滅菌</t>
    <phoneticPr fontId="8"/>
  </si>
  <si>
    <t>（２）染色</t>
    <phoneticPr fontId="8"/>
  </si>
  <si>
    <t>（３）培地の作製</t>
    <phoneticPr fontId="8"/>
  </si>
  <si>
    <t>（４）培養</t>
    <phoneticPr fontId="8"/>
  </si>
  <si>
    <t>（５）菌検索</t>
    <phoneticPr fontId="8"/>
  </si>
  <si>
    <t>１　ライフステージと栄養</t>
  </si>
  <si>
    <t>（１）乳幼児期の栄養</t>
  </si>
  <si>
    <t>（２）学童期・思春期・青年期の栄養</t>
  </si>
  <si>
    <t>（３）成人期の栄養</t>
  </si>
  <si>
    <t>（４）妊娠期・授乳期の栄養</t>
  </si>
  <si>
    <t>（５）更年期の栄養</t>
  </si>
  <si>
    <t>（６）高齢期の栄養</t>
  </si>
  <si>
    <t>２　疾患と栄養</t>
  </si>
  <si>
    <t>◎</t>
    <phoneticPr fontId="8"/>
  </si>
  <si>
    <t>（２）栄養状態の評価と判定</t>
  </si>
  <si>
    <t>（３）疾患・症状別食事療法</t>
  </si>
  <si>
    <t>（４）病院食</t>
  </si>
  <si>
    <t>（５）栄養補給法</t>
  </si>
  <si>
    <t>（６）健康づくりと食生活</t>
  </si>
  <si>
    <t>1　薬物の動態と有効性・安全性</t>
  </si>
  <si>
    <t>（１）臨床薬物動態学</t>
  </si>
  <si>
    <t>（２）薬理遺伝学</t>
  </si>
  <si>
    <t>（３）薬物相互作用</t>
  </si>
  <si>
    <t>（４）薬の有効性と安全性</t>
  </si>
  <si>
    <t>２　器官別薬理と作用機序</t>
  </si>
  <si>
    <t>（１）神経系作用薬</t>
  </si>
  <si>
    <t>（２）循環器作用薬</t>
  </si>
  <si>
    <t>（３）泌尿器・生殖器作用薬</t>
  </si>
  <si>
    <t>（４）免疫・アレルギー・炎症作用薬</t>
  </si>
  <si>
    <t>（５）呼吸器作用薬</t>
  </si>
  <si>
    <t>（６）消化器作用薬</t>
  </si>
  <si>
    <t>（７）感覚器作用薬</t>
  </si>
  <si>
    <t>（８）ホルモン・内分泌系治療薬</t>
  </si>
  <si>
    <t>（９）代謝系作用薬</t>
  </si>
  <si>
    <t>（10）抗感染症薬</t>
    <phoneticPr fontId="8"/>
  </si>
  <si>
    <t>（11）抗悪性腫瘍薬</t>
    <phoneticPr fontId="8"/>
  </si>
  <si>
    <t>（12）抗認知症薬</t>
    <phoneticPr fontId="8"/>
  </si>
  <si>
    <t>（13） その他</t>
    <phoneticPr fontId="8"/>
  </si>
  <si>
    <t>３　薬物と臨床検査</t>
  </si>
  <si>
    <t>（２）生理検査に影響を及ぼす薬物</t>
  </si>
  <si>
    <t>（３）各種検査に用いられる薬剤</t>
  </si>
  <si>
    <t>１　認知症検査の注意事項</t>
  </si>
  <si>
    <t>（１）検査の注意事項</t>
  </si>
  <si>
    <t>（２）患者の心理と対応</t>
  </si>
  <si>
    <t>２　認知機能の評価尺度</t>
  </si>
  <si>
    <t>（１）総合的評価尺度</t>
  </si>
  <si>
    <t>（２）記憶機能の評価尺度</t>
  </si>
  <si>
    <t>（３）言語機能の評価尺度</t>
  </si>
  <si>
    <t>（４）視空間認知機能の評価尺度</t>
  </si>
  <si>
    <t>（５）前頭葉機能の評価尺度</t>
  </si>
  <si>
    <t>３　行動・心理症状の評価尺度</t>
  </si>
  <si>
    <t>（１）総合的評価尺度</t>
    <phoneticPr fontId="8"/>
  </si>
  <si>
    <t>（２）行動症状の評価尺度</t>
    <phoneticPr fontId="8"/>
  </si>
  <si>
    <t>（３）心理症状の評価尺度</t>
    <phoneticPr fontId="8"/>
  </si>
  <si>
    <t>４　検査結果の解析と評価</t>
  </si>
  <si>
    <t>公衆衛生学</t>
    <rPh sb="0" eb="2">
      <t>コウシュウ</t>
    </rPh>
    <rPh sb="2" eb="5">
      <t>エイセイガク</t>
    </rPh>
    <phoneticPr fontId="8"/>
  </si>
  <si>
    <t>４単位</t>
    <rPh sb="1" eb="3">
      <t>タンイ</t>
    </rPh>
    <phoneticPr fontId="8"/>
  </si>
  <si>
    <t>（１）公衆衛生の定義</t>
  </si>
  <si>
    <t>（２）健康・疾病・予防</t>
  </si>
  <si>
    <t>（臨地実習の単位については別に定める）</t>
    <phoneticPr fontId="8"/>
  </si>
  <si>
    <t>（１）健康指標</t>
    <phoneticPr fontId="8"/>
  </si>
  <si>
    <t>（２）人口静態統計</t>
    <phoneticPr fontId="8"/>
  </si>
  <si>
    <t>（３）人口動態統計</t>
  </si>
  <si>
    <t>（４）疾病・障害統計</t>
  </si>
  <si>
    <t>（１）疫学の考え方</t>
    <phoneticPr fontId="8"/>
  </si>
  <si>
    <t>（２）疫学指標</t>
    <phoneticPr fontId="8"/>
  </si>
  <si>
    <t>（３）疫学的分析法</t>
    <phoneticPr fontId="8"/>
  </si>
  <si>
    <t>（１）地球環境</t>
    <phoneticPr fontId="8"/>
  </si>
  <si>
    <t>（２）生活環境</t>
    <phoneticPr fontId="8"/>
  </si>
  <si>
    <t>（３）生物環境</t>
    <phoneticPr fontId="8"/>
  </si>
  <si>
    <t>（４）物理環境</t>
    <phoneticPr fontId="8"/>
  </si>
  <si>
    <t>（５）化学環境</t>
    <phoneticPr fontId="8"/>
  </si>
  <si>
    <t>（６）環境のリスク評価</t>
    <phoneticPr fontId="8"/>
  </si>
  <si>
    <t>（７）環境検査法</t>
    <phoneticPr fontId="8"/>
  </si>
  <si>
    <t>（１）予防医学</t>
    <phoneticPr fontId="8"/>
  </si>
  <si>
    <t>（２）健康保持増進</t>
    <phoneticPr fontId="8"/>
  </si>
  <si>
    <t>（３）主な疾病の予防</t>
    <phoneticPr fontId="8"/>
  </si>
  <si>
    <t>（４）栄養保健</t>
    <phoneticPr fontId="8"/>
  </si>
  <si>
    <t>（５）食品安全及び食品衛生</t>
    <phoneticPr fontId="8"/>
  </si>
  <si>
    <t>（６）母子保健</t>
    <phoneticPr fontId="8"/>
  </si>
  <si>
    <t>（７）学校保健</t>
    <phoneticPr fontId="8"/>
  </si>
  <si>
    <t>（８）成人保健</t>
    <phoneticPr fontId="8"/>
  </si>
  <si>
    <t>（９）高齢者保健</t>
    <phoneticPr fontId="8"/>
  </si>
  <si>
    <t>（10）在宅医療</t>
    <phoneticPr fontId="8"/>
  </si>
  <si>
    <t>（11）精神保健</t>
    <phoneticPr fontId="8"/>
  </si>
  <si>
    <t>（12）産業保健</t>
    <phoneticPr fontId="8"/>
  </si>
  <si>
    <t>（１）衛生行政</t>
    <phoneticPr fontId="8"/>
  </si>
  <si>
    <t>（２）医療制度</t>
    <phoneticPr fontId="8"/>
  </si>
  <si>
    <t>（５）社会保険</t>
    <phoneticPr fontId="8"/>
  </si>
  <si>
    <t>（６）社会福祉</t>
    <phoneticPr fontId="8"/>
  </si>
  <si>
    <t>（７）その他</t>
    <phoneticPr fontId="8"/>
  </si>
  <si>
    <t>（１）国際機関・医療協力</t>
  </si>
  <si>
    <t>（２）世界の保健状況</t>
  </si>
  <si>
    <t>（１）法律の種類</t>
  </si>
  <si>
    <t>（２）臨床検査技師等に関する法律</t>
  </si>
  <si>
    <t>（３）医事法規</t>
  </si>
  <si>
    <t>（４）薬事法規</t>
  </si>
  <si>
    <t>（５）保健衛生法規</t>
  </si>
  <si>
    <t>（６）予防衛生法規</t>
  </si>
  <si>
    <t>（７）環境衛生法規</t>
  </si>
  <si>
    <t>（８）労働衛生法規</t>
  </si>
  <si>
    <t>（９）社会保障・福祉関連法規</t>
  </si>
  <si>
    <t>９　臨地実習＊</t>
  </si>
  <si>
    <t>１　医学概論</t>
  </si>
  <si>
    <t>（１）医学の歴史的変遷</t>
  </si>
  <si>
    <t>（２）検査技術の歴史</t>
  </si>
  <si>
    <t>（３）医療従事者の倫理</t>
  </si>
  <si>
    <t>（４）将来の展望</t>
  </si>
  <si>
    <t>医用工学概論</t>
    <phoneticPr fontId="8"/>
  </si>
  <si>
    <t>（１）医用工学の基礎</t>
    <phoneticPr fontId="8"/>
  </si>
  <si>
    <t>（２）臨床検査での医用工学</t>
  </si>
  <si>
    <t>（１）増幅</t>
  </si>
  <si>
    <t>（２）記録</t>
  </si>
  <si>
    <t>（３）電源</t>
  </si>
  <si>
    <t xml:space="preserve">（４）その他の電子回路 </t>
  </si>
  <si>
    <t>（１）生体物性</t>
  </si>
  <si>
    <t>（２）電極</t>
  </si>
  <si>
    <t>（３）変換装置</t>
  </si>
  <si>
    <t>（１）電撃の人的安全</t>
  </si>
  <si>
    <t>（２）電気機器の安全基準</t>
  </si>
  <si>
    <t>（３）施設の電気的安全対策</t>
  </si>
  <si>
    <t>（１）電子機器の取扱い方</t>
  </si>
  <si>
    <t>（２）増幅素子の特性</t>
    <phoneticPr fontId="8"/>
  </si>
  <si>
    <t>（３）変換装置の特性</t>
    <phoneticPr fontId="8"/>
  </si>
  <si>
    <t>（４）増幅器の総合特性</t>
  </si>
  <si>
    <t xml:space="preserve">（５）電気的安全性の測定 </t>
  </si>
  <si>
    <t>（１）秤量装置</t>
    <phoneticPr fontId="8"/>
  </si>
  <si>
    <t>（２）分離装置</t>
    <phoneticPr fontId="8"/>
  </si>
  <si>
    <t>（３）撹拌装置</t>
    <phoneticPr fontId="8"/>
  </si>
  <si>
    <t>（４）恒温装置</t>
    <phoneticPr fontId="8"/>
  </si>
  <si>
    <t>（５）保冷装置</t>
    <phoneticPr fontId="8"/>
  </si>
  <si>
    <t>（６）消毒・滅菌装置</t>
    <phoneticPr fontId="8"/>
  </si>
  <si>
    <t>（７）測光装置</t>
    <phoneticPr fontId="8"/>
  </si>
  <si>
    <t>（８）顕微装置</t>
    <phoneticPr fontId="8"/>
  </si>
  <si>
    <t>（９）写真装置</t>
    <phoneticPr fontId="8"/>
  </si>
  <si>
    <t>（10）電気化学装置</t>
    <phoneticPr fontId="8"/>
  </si>
  <si>
    <t>（１）血液学的検査用機器</t>
  </si>
  <si>
    <t>（２）病理学的検査用機器</t>
  </si>
  <si>
    <t>（３）生化学的検査用機器</t>
  </si>
  <si>
    <t>（４）輸血・免疫学的検査用機器</t>
  </si>
  <si>
    <t>（５）微生物学的検査用機器</t>
  </si>
  <si>
    <t>（６）生理学的検査用機器</t>
  </si>
  <si>
    <t>（７）遺伝子関連・染色体検査用機器</t>
  </si>
  <si>
    <t>（１）情報の概念</t>
    <phoneticPr fontId="8"/>
  </si>
  <si>
    <t>（２）情報収集と情報処理</t>
    <phoneticPr fontId="8"/>
  </si>
  <si>
    <t>（３）電子計算機</t>
    <phoneticPr fontId="8"/>
  </si>
  <si>
    <t>（１）臨床検査情報システム</t>
    <phoneticPr fontId="8"/>
  </si>
  <si>
    <t>（２）病院情報システム</t>
    <phoneticPr fontId="8"/>
  </si>
  <si>
    <t>（３）医療情報システム</t>
    <phoneticPr fontId="8"/>
  </si>
  <si>
    <t>（１）ネットワークの構成</t>
    <phoneticPr fontId="8"/>
  </si>
  <si>
    <t>（２）通信プロトコール</t>
    <phoneticPr fontId="8"/>
  </si>
  <si>
    <t>（３）ネットワークのセキュリティ</t>
    <phoneticPr fontId="8"/>
  </si>
  <si>
    <t>（１）個人情報保護</t>
    <phoneticPr fontId="8"/>
  </si>
  <si>
    <t>（２）情報の秘匿・暗号</t>
    <phoneticPr fontId="8"/>
  </si>
  <si>
    <t>（３）情報の一次利用と二次利用</t>
    <phoneticPr fontId="8"/>
  </si>
  <si>
    <t>血液検査学</t>
    <phoneticPr fontId="8"/>
  </si>
  <si>
    <t>（１）血液の成分</t>
  </si>
  <si>
    <t>（２）血液の機能</t>
  </si>
  <si>
    <t>（３）血球の産生と崩壊</t>
  </si>
  <si>
    <t>（４）血栓・止血機構</t>
  </si>
  <si>
    <t>（１）血球算定に関する検査</t>
    <phoneticPr fontId="8"/>
  </si>
  <si>
    <t>（３）血管機能及び血小板機能検査</t>
    <phoneticPr fontId="8"/>
  </si>
  <si>
    <t>（４）血栓・止血検査</t>
    <phoneticPr fontId="8"/>
  </si>
  <si>
    <t>（５）赤血球系疾患の検査</t>
    <phoneticPr fontId="8"/>
  </si>
  <si>
    <t>（６）白血球系疾患の検査</t>
  </si>
  <si>
    <t>（７）造血器腫瘍の検査</t>
  </si>
  <si>
    <t>（８）血栓・止血異常疾患の検査</t>
  </si>
  <si>
    <t>（１）検体の取扱い方</t>
    <phoneticPr fontId="8"/>
  </si>
  <si>
    <t>（２）検査の基礎技術</t>
    <phoneticPr fontId="8"/>
  </si>
  <si>
    <t>（３）赤血球の数と形態に関する検査</t>
    <phoneticPr fontId="8"/>
  </si>
  <si>
    <t>（４）白血球の数と形態に関する検査</t>
    <phoneticPr fontId="8"/>
  </si>
  <si>
    <t>（５）血小板の数と形態に関する検査</t>
    <phoneticPr fontId="8"/>
  </si>
  <si>
    <t>（６）造血器腫瘍に関する検査</t>
    <phoneticPr fontId="8"/>
  </si>
  <si>
    <t>（７）赤血球溶血に関する検査</t>
    <phoneticPr fontId="8"/>
  </si>
  <si>
    <t>（８）血管機能に関する検査</t>
    <phoneticPr fontId="8"/>
  </si>
  <si>
    <t>（９）止血に関する検査</t>
    <phoneticPr fontId="8"/>
  </si>
  <si>
    <t>（10）血栓に関する検査</t>
    <phoneticPr fontId="8"/>
  </si>
  <si>
    <t>（11）血小板機能に関する検査</t>
    <phoneticPr fontId="8"/>
  </si>
  <si>
    <t>（12）赤血球沈降速度検査</t>
    <phoneticPr fontId="8"/>
  </si>
  <si>
    <t>（14）検査結果の解析と評価</t>
    <phoneticPr fontId="8"/>
  </si>
  <si>
    <t>病理検査学</t>
    <phoneticPr fontId="8"/>
  </si>
  <si>
    <t>（１）病理学的検査の意義と流れ</t>
    <phoneticPr fontId="8"/>
  </si>
  <si>
    <t>５単位</t>
    <rPh sb="1" eb="3">
      <t>タンイ</t>
    </rPh>
    <phoneticPr fontId="8"/>
  </si>
  <si>
    <t>（２）細胞診検査の意義と流れ</t>
    <phoneticPr fontId="8"/>
  </si>
  <si>
    <t>（３）迅速検査の意義と標本作成法</t>
    <phoneticPr fontId="8"/>
  </si>
  <si>
    <t>（４）病理遺伝子解析の意義</t>
    <phoneticPr fontId="8"/>
  </si>
  <si>
    <t>（６）組織検査・細胞診検査の標準化</t>
    <phoneticPr fontId="8"/>
  </si>
  <si>
    <t>（１）病理解剖</t>
    <phoneticPr fontId="8"/>
  </si>
  <si>
    <t>（３）臓器・組織別の取扱い法</t>
    <phoneticPr fontId="8"/>
  </si>
  <si>
    <t>（５）組織標本染色法</t>
    <phoneticPr fontId="8"/>
  </si>
  <si>
    <t>（６）組織標本観察法</t>
    <phoneticPr fontId="8"/>
  </si>
  <si>
    <t>（７）組織標本評価法</t>
    <phoneticPr fontId="8"/>
  </si>
  <si>
    <t>（８）分子病理組織検査法</t>
    <phoneticPr fontId="8"/>
  </si>
  <si>
    <t>（１）材料別細胞診検査法</t>
    <phoneticPr fontId="8"/>
  </si>
  <si>
    <t>（２）細胞診標本作成法</t>
    <phoneticPr fontId="8"/>
  </si>
  <si>
    <t>（３）細胞診標本染色法</t>
    <phoneticPr fontId="8"/>
  </si>
  <si>
    <t>（４）細胞診標本観察法</t>
    <phoneticPr fontId="8"/>
  </si>
  <si>
    <t>（５）細胞診標本評価法</t>
    <phoneticPr fontId="8"/>
  </si>
  <si>
    <t xml:space="preserve">（２）ヘマトキシリンエオジン染色  </t>
    <phoneticPr fontId="8"/>
  </si>
  <si>
    <t>（３）特殊染色</t>
    <phoneticPr fontId="8"/>
  </si>
  <si>
    <t>（４）免疫染色</t>
    <phoneticPr fontId="8"/>
  </si>
  <si>
    <t xml:space="preserve">（７）精度管理と標準化 </t>
    <phoneticPr fontId="8"/>
  </si>
  <si>
    <t>（８）検査結果の解析と評価</t>
    <phoneticPr fontId="8"/>
  </si>
  <si>
    <t>（１）検体の観察と処理・保存</t>
    <phoneticPr fontId="8"/>
  </si>
  <si>
    <t>（２）細胞診標本作製</t>
    <phoneticPr fontId="8"/>
  </si>
  <si>
    <t>（３）細胞観察と判定</t>
    <phoneticPr fontId="8"/>
  </si>
  <si>
    <t>（４）精度管理と標準化</t>
    <phoneticPr fontId="8"/>
  </si>
  <si>
    <t>（５）検査結果の解析と評価</t>
    <phoneticPr fontId="8"/>
  </si>
  <si>
    <t>６　臨地実習＊</t>
  </si>
  <si>
    <t>尿・糞便等一般検査学</t>
    <phoneticPr fontId="8"/>
  </si>
  <si>
    <t>Ⅰ　尿・糞便など一般検査</t>
    <phoneticPr fontId="8"/>
  </si>
  <si>
    <t>３単位</t>
    <rPh sb="1" eb="3">
      <t>タンイ</t>
    </rPh>
    <phoneticPr fontId="8"/>
  </si>
  <si>
    <t>（１）尿の生成と組成</t>
  </si>
  <si>
    <t>（２）一般的性状</t>
  </si>
  <si>
    <t>（３）化学的検査法</t>
  </si>
  <si>
    <t>（４）尿沈渣検査</t>
  </si>
  <si>
    <t>（５）尿自動分析装置</t>
  </si>
  <si>
    <t>（６）腎機能検査</t>
  </si>
  <si>
    <t>（１）髄液の生成と組成</t>
    <phoneticPr fontId="8"/>
  </si>
  <si>
    <t>（２）一般的性状</t>
    <phoneticPr fontId="8"/>
  </si>
  <si>
    <t>（３）化学的検査法</t>
    <phoneticPr fontId="8"/>
  </si>
  <si>
    <t>（４）細胞学的検査法</t>
  </si>
  <si>
    <t>（１）糞便の生成と組成</t>
  </si>
  <si>
    <t>（３）糞便検査法</t>
  </si>
  <si>
    <t>（１）喀痰検査</t>
  </si>
  <si>
    <t>（２）精液検査</t>
  </si>
  <si>
    <t>（３）穿刺液検査</t>
  </si>
  <si>
    <t>（４）その他</t>
  </si>
  <si>
    <t>（１）尿検査</t>
  </si>
  <si>
    <t>（２）脳脊髄液検査</t>
  </si>
  <si>
    <t>（３）糞便検査</t>
  </si>
  <si>
    <t>（４）喀痰検査</t>
  </si>
  <si>
    <t>（５）その他の検査</t>
  </si>
  <si>
    <t>（１）寄生虫症の疫学</t>
  </si>
  <si>
    <t>（２）寄生虫の生活と疾患</t>
  </si>
  <si>
    <t>（３）寄生虫の生殖と発育</t>
  </si>
  <si>
    <t>（１）線虫類</t>
    <phoneticPr fontId="8"/>
  </si>
  <si>
    <t>（２）吸虫類</t>
    <phoneticPr fontId="8"/>
  </si>
  <si>
    <t>（３）条虫類</t>
    <phoneticPr fontId="8"/>
  </si>
  <si>
    <t>（４）原虫類</t>
    <phoneticPr fontId="8"/>
  </si>
  <si>
    <t>（５）衛生動物</t>
    <phoneticPr fontId="8"/>
  </si>
  <si>
    <t>（１）検査材料の採取と保存</t>
    <phoneticPr fontId="8"/>
  </si>
  <si>
    <t>（２）糞便の検査</t>
    <phoneticPr fontId="8"/>
  </si>
  <si>
    <t>（３）血液の検査</t>
    <phoneticPr fontId="8"/>
  </si>
  <si>
    <t>（４）その他の検査</t>
  </si>
  <si>
    <t>（１）検体の取扱方法</t>
    <phoneticPr fontId="8"/>
  </si>
  <si>
    <t>（２）線虫類の検査</t>
    <phoneticPr fontId="8"/>
  </si>
  <si>
    <t>（３）吸虫類の検査</t>
    <phoneticPr fontId="8"/>
  </si>
  <si>
    <t>（４）条虫類の検査</t>
    <phoneticPr fontId="8"/>
  </si>
  <si>
    <t>（５）原虫類の検査</t>
    <phoneticPr fontId="8"/>
  </si>
  <si>
    <t>（６）その他の検査</t>
  </si>
  <si>
    <t>生化学検査学</t>
    <phoneticPr fontId="8"/>
  </si>
  <si>
    <t>（１）生化学的検査の基礎</t>
  </si>
  <si>
    <t>（２）定量検査法の原理</t>
  </si>
  <si>
    <t>（免疫検査学と合わせて６単位とする。臨地実習の単位については別に定める）</t>
    <phoneticPr fontId="8"/>
  </si>
  <si>
    <t>（３）自動分析法</t>
  </si>
  <si>
    <t>（２）タンパク質</t>
  </si>
  <si>
    <t>（３）脂質</t>
  </si>
  <si>
    <t>（４）無機質</t>
  </si>
  <si>
    <t>（５）酵素</t>
  </si>
  <si>
    <t>（６）非タンパク性窒素</t>
  </si>
  <si>
    <t>（７）ホルモン</t>
  </si>
  <si>
    <t>（８）生体色素</t>
  </si>
  <si>
    <t>（９）薬物･毒物</t>
  </si>
  <si>
    <t>（10）ビタミン</t>
  </si>
  <si>
    <t>（11）疾患マーカー</t>
  </si>
  <si>
    <t>（１）肝・胆道・膵機能検査</t>
  </si>
  <si>
    <t>（２）循環機能検査</t>
  </si>
  <si>
    <t>（３）腎機能検査</t>
  </si>
  <si>
    <t>（４）内分泌機能検査</t>
  </si>
  <si>
    <t>（５）栄養・代謝機能検査</t>
  </si>
  <si>
    <t>（２）タンパク質の検査</t>
  </si>
  <si>
    <t>（３）脂質の検査</t>
  </si>
  <si>
    <t>（４）無機質の検査</t>
  </si>
  <si>
    <t>（５）酵素の検査</t>
  </si>
  <si>
    <t>（６）非タンパク性窒素の検査</t>
  </si>
  <si>
    <t>（７）ホルモンの検査</t>
  </si>
  <si>
    <t>（８）その他の検査</t>
  </si>
  <si>
    <t>（１）放射能・放射線の性質</t>
  </si>
  <si>
    <t>（２）放射線測定法</t>
  </si>
  <si>
    <t>（３）検体検査法</t>
  </si>
  <si>
    <t>（４）生体内検査法</t>
  </si>
  <si>
    <t>（５）安全な取扱いと管理法</t>
  </si>
  <si>
    <t>（６）関連法規</t>
    <phoneticPr fontId="8"/>
  </si>
  <si>
    <t>免疫検査学</t>
    <phoneticPr fontId="8"/>
  </si>
  <si>
    <t>（１）免疫系による生体防御</t>
  </si>
  <si>
    <t>（２）免疫担当器官、組織、細胞</t>
  </si>
  <si>
    <t>（３）免疫の成立と調節</t>
  </si>
  <si>
    <t>（生化学検査学と合わせて６単位とする。臨地実習の単位については別に定める）</t>
    <rPh sb="1" eb="4">
      <t>セイカガク</t>
    </rPh>
    <phoneticPr fontId="8"/>
  </si>
  <si>
    <t>（１）感染防御免疫</t>
    <phoneticPr fontId="8"/>
  </si>
  <si>
    <t>（２）腫瘍免疫</t>
    <phoneticPr fontId="8"/>
  </si>
  <si>
    <t>（３）免疫不全症</t>
    <phoneticPr fontId="8"/>
  </si>
  <si>
    <t>（４）アレルギー疾患</t>
  </si>
  <si>
    <t>（５）自己免疫疾患</t>
    <phoneticPr fontId="8"/>
  </si>
  <si>
    <t>（６）免疫グロブリン異常症</t>
    <phoneticPr fontId="8"/>
  </si>
  <si>
    <t>（１）試験管内抗原抗体反応</t>
  </si>
  <si>
    <t>（２）生体内抗原抗体反応</t>
  </si>
  <si>
    <t>（３）標識抗体法</t>
  </si>
  <si>
    <t>（４）免疫化学的定量法</t>
  </si>
  <si>
    <t>（５）細胞性免疫機能検査</t>
  </si>
  <si>
    <t>（２）免疫化学的定量法</t>
  </si>
  <si>
    <t>（３）感染症の検査</t>
  </si>
  <si>
    <t>（４）炎症と炎症マーカーの検査</t>
  </si>
  <si>
    <t>（５）腫瘍と腫瘍マーカーの検査</t>
  </si>
  <si>
    <t>（６）免疫不全症の検査</t>
  </si>
  <si>
    <t>（７）アレルギー疾患の検査</t>
  </si>
  <si>
    <t>（８）自己免疫疾患の検査</t>
  </si>
  <si>
    <t>（９）免疫グロブリン異常症の検査</t>
  </si>
  <si>
    <t>（10）補体系の検査</t>
  </si>
  <si>
    <t>（11）細胞性免疫機能検査</t>
  </si>
  <si>
    <t>（12）食細胞機能検査</t>
  </si>
  <si>
    <t>（13）リンパ球サブセット検査</t>
  </si>
  <si>
    <t>遺伝子関連・染色体検査学</t>
    <phoneticPr fontId="8"/>
  </si>
  <si>
    <t>（１）遺伝子の構造と機能</t>
  </si>
  <si>
    <t>２単位</t>
    <phoneticPr fontId="8"/>
  </si>
  <si>
    <t>（２）DNAの複製</t>
  </si>
  <si>
    <t>（３）遺伝情報の伝達と発現</t>
  </si>
  <si>
    <t>（４）遺伝子と疾患</t>
  </si>
  <si>
    <t>（５）ゲノム検査と倫理</t>
  </si>
  <si>
    <t>（１）染色体の構造と機能</t>
    <phoneticPr fontId="8"/>
  </si>
  <si>
    <t>（２）分類と命名法</t>
    <phoneticPr fontId="8"/>
  </si>
  <si>
    <t>（３）ヒトの染色体地図</t>
    <phoneticPr fontId="8"/>
  </si>
  <si>
    <t>（４）染色体異常と疾患</t>
  </si>
  <si>
    <t>（１）遺伝子関連検査の種類</t>
  </si>
  <si>
    <t>（２）検体の取扱い</t>
  </si>
  <si>
    <t>（３）核酸抽出</t>
  </si>
  <si>
    <t>（４）遺伝子増幅</t>
  </si>
  <si>
    <t>（５）解析法</t>
  </si>
  <si>
    <t>（６）精度管理</t>
  </si>
  <si>
    <t>（１）細胞培養法</t>
  </si>
  <si>
    <t>（２）標本作製法</t>
  </si>
  <si>
    <t>（３）分染法</t>
  </si>
  <si>
    <t>（４）核型分析</t>
  </si>
  <si>
    <t>（５）FISH法</t>
  </si>
  <si>
    <t>(６) 精度管理</t>
    <phoneticPr fontId="8"/>
  </si>
  <si>
    <t>（１）核酸の抽出</t>
  </si>
  <si>
    <t>（２）PCR法</t>
  </si>
  <si>
    <t>（３）リアルタイムPCR法</t>
  </si>
  <si>
    <t>（４）シークエンス法</t>
  </si>
  <si>
    <t>（５）シークエンス法の代替法</t>
  </si>
  <si>
    <t>（６）染色体検査</t>
  </si>
  <si>
    <t>輸血・移植検査学</t>
    <phoneticPr fontId="8"/>
  </si>
  <si>
    <t>（１）輸血療法</t>
  </si>
  <si>
    <t>４単位</t>
    <phoneticPr fontId="8"/>
  </si>
  <si>
    <t>（２）輸血用血液製剤の種類と特性</t>
  </si>
  <si>
    <t>（３）赤血球血液型と抗体</t>
  </si>
  <si>
    <t>（４）白血球抗原</t>
  </si>
  <si>
    <t>（５）血小板抗原</t>
  </si>
  <si>
    <t>（１）血液型の検査</t>
  </si>
  <si>
    <t>（２）赤血球不規則抗体とその検査</t>
  </si>
  <si>
    <t>（４）血液媒介性感染症の検査</t>
  </si>
  <si>
    <t>（５）血小板抗体検査</t>
  </si>
  <si>
    <t>（６）輸血副作用・合併症</t>
  </si>
  <si>
    <t>（７）自己血輸血</t>
  </si>
  <si>
    <t>（１）血液型不適合妊娠とその検査</t>
  </si>
  <si>
    <t>（１）移植医療と移植免疫</t>
    <phoneticPr fontId="8"/>
  </si>
  <si>
    <t>（２）造血幹細胞移植</t>
    <phoneticPr fontId="8"/>
  </si>
  <si>
    <t>（３）細胞移植</t>
    <phoneticPr fontId="8"/>
  </si>
  <si>
    <t>（４）臓器移植</t>
    <phoneticPr fontId="8"/>
  </si>
  <si>
    <t>（５）その他の移植医療</t>
    <phoneticPr fontId="8"/>
  </si>
  <si>
    <t>（６）拒絶反応とGVHD</t>
    <phoneticPr fontId="8"/>
  </si>
  <si>
    <t>（７）免疫抑制療法と後天性免疫不全</t>
    <phoneticPr fontId="8"/>
  </si>
  <si>
    <t>（８）細胞治療と再生医療</t>
    <phoneticPr fontId="8"/>
  </si>
  <si>
    <t>（１）移植免疫検査</t>
    <phoneticPr fontId="8"/>
  </si>
  <si>
    <t>（４）臓器移植関連検査</t>
  </si>
  <si>
    <t>（１）輸血検査の基本技術</t>
  </si>
  <si>
    <t>（３）不規則抗体検査</t>
  </si>
  <si>
    <t>（４）交差適合試験</t>
  </si>
  <si>
    <t>（５）直接抗グロブリン試験</t>
  </si>
  <si>
    <t>（６）抗体解離試験</t>
  </si>
  <si>
    <t>（７）その他の輸血関連検査</t>
  </si>
  <si>
    <t>（10）混合リンパ球培養試験</t>
  </si>
  <si>
    <t>（11）その他の移植関連検査</t>
  </si>
  <si>
    <t>微生物検査学</t>
    <phoneticPr fontId="8"/>
  </si>
  <si>
    <t>６単位</t>
    <phoneticPr fontId="8"/>
  </si>
  <si>
    <t>（２）グラム陰性球菌、球桿菌</t>
  </si>
  <si>
    <t>（３）通性嫌気性グラム陰性桿菌</t>
  </si>
  <si>
    <t>（４）好気性グラム陰性桿菌</t>
  </si>
  <si>
    <t>（５）微好気性グラム陰性らせん菌</t>
  </si>
  <si>
    <t>（７）偏性嫌気性菌</t>
  </si>
  <si>
    <t>（８）放線菌</t>
  </si>
  <si>
    <t>（９）抗酸菌</t>
  </si>
  <si>
    <t>（10）マイコプラズマ</t>
  </si>
  <si>
    <t>（11）リケッチア</t>
  </si>
  <si>
    <t>（12）クラミジア</t>
  </si>
  <si>
    <t>（13）スピロヘータ</t>
  </si>
  <si>
    <t>（14）レプトスピラ</t>
  </si>
  <si>
    <t>（１）真菌の分類</t>
  </si>
  <si>
    <t>（２）酵母様真菌</t>
  </si>
  <si>
    <t>（３）糸状菌</t>
  </si>
  <si>
    <t>（４）二形性真菌</t>
  </si>
  <si>
    <t>（１）ウイルスの構造と形態</t>
  </si>
  <si>
    <t>（２）ウイルスの分類</t>
  </si>
  <si>
    <t>（３）DNAウイルス</t>
  </si>
  <si>
    <t>（４）RNAウイルス</t>
  </si>
  <si>
    <t>（５）ウイルス検査法　　　</t>
  </si>
  <si>
    <t>（１）微生物学的検査の基本操作</t>
    <phoneticPr fontId="8"/>
  </si>
  <si>
    <t>（２）染色法と顕微鏡検査</t>
    <phoneticPr fontId="8"/>
  </si>
  <si>
    <t>（３）培養環境と培地</t>
    <phoneticPr fontId="8"/>
  </si>
  <si>
    <t>（４）検査材料別検査法</t>
    <phoneticPr fontId="8"/>
  </si>
  <si>
    <t>（５）細菌の鑑別と同定検査</t>
    <phoneticPr fontId="8"/>
  </si>
  <si>
    <t>（６）薬剤感受性検査法</t>
    <phoneticPr fontId="8"/>
  </si>
  <si>
    <t>（７）薬剤耐性菌と検査法</t>
    <phoneticPr fontId="8"/>
  </si>
  <si>
    <t>（８）抗酸菌検査法</t>
    <phoneticPr fontId="8"/>
  </si>
  <si>
    <t>（９）真菌検査法</t>
    <phoneticPr fontId="8"/>
  </si>
  <si>
    <t>（10）遺伝子・蛋白検査法</t>
  </si>
  <si>
    <t>（11）迅速診断技術</t>
    <phoneticPr fontId="8"/>
  </si>
  <si>
    <t>（12）精度管理とサーベイランス</t>
    <phoneticPr fontId="8"/>
  </si>
  <si>
    <t>（13）検査結果の解析と評価</t>
    <phoneticPr fontId="8"/>
  </si>
  <si>
    <t>生理検査学</t>
    <phoneticPr fontId="8"/>
  </si>
  <si>
    <t>（１）検査の目的と技師の役割</t>
  </si>
  <si>
    <t>１０単位</t>
    <phoneticPr fontId="8"/>
  </si>
  <si>
    <t>（２）検査の注意事項</t>
  </si>
  <si>
    <t>（５）機器の構造と取扱い</t>
  </si>
  <si>
    <t>（１）心電図</t>
  </si>
  <si>
    <t>（２）心音図</t>
  </si>
  <si>
    <t>（３）脈管系検査</t>
  </si>
  <si>
    <t>（１）脳波</t>
  </si>
  <si>
    <t>（２）筋電図</t>
  </si>
  <si>
    <t>（１）換気機能検査</t>
  </si>
  <si>
    <t>（２）肺胞機能検査</t>
  </si>
  <si>
    <t>（３）血液ガス・酸塩基平衡</t>
  </si>
  <si>
    <t>（１）超音波の性質</t>
  </si>
  <si>
    <t>（２）臓器別の検査</t>
  </si>
  <si>
    <t>（３）画像解析</t>
  </si>
  <si>
    <t>（１）循環器系の検査</t>
  </si>
  <si>
    <t>（２）神経・筋系の検査</t>
  </si>
  <si>
    <t>（３）呼吸器系の検査</t>
  </si>
  <si>
    <t>（４）超音波検査</t>
  </si>
  <si>
    <t>（５）聴力検査</t>
  </si>
  <si>
    <t>（６）味覚検査</t>
  </si>
  <si>
    <t>（７）嗅覚検査</t>
  </si>
  <si>
    <t>臨床検査総合管理学</t>
    <phoneticPr fontId="8"/>
  </si>
  <si>
    <t>（１）臨床検査技師の業務</t>
  </si>
  <si>
    <t>（２）臨床検査技師の歴史</t>
  </si>
  <si>
    <t>（３）臨床検査技師と接遇</t>
  </si>
  <si>
    <t>（２）臨床検査の守秘義務</t>
  </si>
  <si>
    <t>（３）臨床検査の信頼性</t>
  </si>
  <si>
    <t>（１）血液 血清・血漿</t>
  </si>
  <si>
    <t>（２）尿</t>
  </si>
  <si>
    <t>（３）糞便</t>
  </si>
  <si>
    <t>（４）脳脊髄液</t>
  </si>
  <si>
    <t xml:space="preserve">（５）精液 </t>
  </si>
  <si>
    <t>（６）組織・細胞</t>
  </si>
  <si>
    <t xml:space="preserve">（７）胃液・十二指腸掖 </t>
  </si>
  <si>
    <t>（８）喀痰</t>
  </si>
  <si>
    <t xml:space="preserve">（９）咽頭・鼻腔拭い液  </t>
  </si>
  <si>
    <t>（10）皮膚・膿・口腔粘膜</t>
  </si>
  <si>
    <t>（11）穿刺液・分泌液</t>
    <phoneticPr fontId="8"/>
  </si>
  <si>
    <t>（12）遺伝子</t>
  </si>
  <si>
    <t>（１）検査受付</t>
  </si>
  <si>
    <t>（２）検査前処理</t>
  </si>
  <si>
    <t>（３）検査結果報告</t>
  </si>
  <si>
    <t>（２）精度管理法</t>
  </si>
  <si>
    <t>（３）測定誤差</t>
  </si>
  <si>
    <t>（４）単位</t>
  </si>
  <si>
    <t>（５）標準化</t>
  </si>
  <si>
    <t>医療安全管理学</t>
    <phoneticPr fontId="8"/>
  </si>
  <si>
    <t>（６）法的知識と責任範囲</t>
  </si>
  <si>
    <t xml:space="preserve">（２）採血行為の範囲  </t>
  </si>
  <si>
    <t xml:space="preserve">（３）採血の種類  </t>
  </si>
  <si>
    <t xml:space="preserve">（５）採血の部位と手段  </t>
  </si>
  <si>
    <t>（６）乳幼児の採血</t>
  </si>
  <si>
    <t>（１）皮膚表在組織病変部</t>
  </si>
  <si>
    <t>（２）鼻腔拭い液</t>
  </si>
  <si>
    <t>（３）咽頭拭い液</t>
  </si>
  <si>
    <t>（４）鼻腔吸引液</t>
  </si>
  <si>
    <t>１　生理学的検査</t>
    <rPh sb="2" eb="6">
      <t>セイリガクテキ</t>
    </rPh>
    <rPh sb="6" eb="8">
      <t>ケンサ</t>
    </rPh>
    <phoneticPr fontId="8"/>
  </si>
  <si>
    <t>１２単位</t>
    <phoneticPr fontId="8"/>
  </si>
  <si>
    <t>（１）標準１２誘導心電図検査</t>
    <rPh sb="3" eb="5">
      <t>ヒョウジュン</t>
    </rPh>
    <rPh sb="7" eb="9">
      <t>ユウドウ</t>
    </rPh>
    <rPh sb="9" eb="12">
      <t>シンデンズ</t>
    </rPh>
    <rPh sb="12" eb="14">
      <t>ケンサ</t>
    </rPh>
    <phoneticPr fontId="8"/>
  </si>
  <si>
    <t>２　形態に関する検査</t>
    <rPh sb="2" eb="4">
      <t>ケイタイ</t>
    </rPh>
    <rPh sb="5" eb="6">
      <t>カン</t>
    </rPh>
    <rPh sb="8" eb="10">
      <t>ケンサ</t>
    </rPh>
    <phoneticPr fontId="8"/>
  </si>
  <si>
    <t>（１）末梢血塗抹標本作製</t>
    <rPh sb="3" eb="6">
      <t>マッショウケツ</t>
    </rPh>
    <rPh sb="6" eb="8">
      <t>トマツ</t>
    </rPh>
    <rPh sb="8" eb="10">
      <t>ヒョウホン</t>
    </rPh>
    <rPh sb="10" eb="12">
      <t>サクセイ</t>
    </rPh>
    <phoneticPr fontId="8"/>
  </si>
  <si>
    <t>３　血液型判定</t>
    <rPh sb="2" eb="5">
      <t>ケツエキガタ</t>
    </rPh>
    <rPh sb="5" eb="7">
      <t>ハンテイ</t>
    </rPh>
    <phoneticPr fontId="8"/>
  </si>
  <si>
    <t>（１）ABO血液型検査</t>
    <rPh sb="6" eb="9">
      <t>ケツエキガタ</t>
    </rPh>
    <rPh sb="9" eb="11">
      <t>ケンサ</t>
    </rPh>
    <phoneticPr fontId="8"/>
  </si>
  <si>
    <t>（２）RhD血液型検査</t>
    <rPh sb="6" eb="9">
      <t>ケツエキガタ</t>
    </rPh>
    <rPh sb="9" eb="11">
      <t>ケンサ</t>
    </rPh>
    <phoneticPr fontId="8"/>
  </si>
  <si>
    <t>４　尿沈渣検査</t>
    <rPh sb="2" eb="5">
      <t>ニョウチンサ</t>
    </rPh>
    <rPh sb="5" eb="7">
      <t>ケンサ</t>
    </rPh>
    <phoneticPr fontId="8"/>
  </si>
  <si>
    <t>（２）尿沈渣標本の作製</t>
    <phoneticPr fontId="8"/>
  </si>
  <si>
    <t>（３）鏡検法-顕微鏡操作</t>
    <phoneticPr fontId="8"/>
  </si>
  <si>
    <t>（４）鏡検法-鑑別とカウント</t>
    <phoneticPr fontId="8"/>
  </si>
  <si>
    <t>（３）見学：負荷心電図検査</t>
    <phoneticPr fontId="8"/>
  </si>
  <si>
    <t>（６）見学：脳波検査</t>
    <phoneticPr fontId="8"/>
  </si>
  <si>
    <t>２　検体検査</t>
    <rPh sb="2" eb="4">
      <t>ケンタイ</t>
    </rPh>
    <rPh sb="4" eb="6">
      <t>ケンサ</t>
    </rPh>
    <phoneticPr fontId="8"/>
  </si>
  <si>
    <t>（１）血球計数検査</t>
    <rPh sb="3" eb="5">
      <t>ケッキュウ</t>
    </rPh>
    <rPh sb="5" eb="7">
      <t>ケイスウ</t>
    </rPh>
    <rPh sb="7" eb="9">
      <t>ケンサ</t>
    </rPh>
    <phoneticPr fontId="8"/>
  </si>
  <si>
    <t>（２）血液塗抹標本作成と鏡検</t>
    <phoneticPr fontId="8"/>
  </si>
  <si>
    <t>（３）血栓・止血検査</t>
    <phoneticPr fontId="8"/>
  </si>
  <si>
    <t>（４）尿定性検査</t>
    <phoneticPr fontId="8"/>
  </si>
  <si>
    <t>（５）尿沈渣検査</t>
    <rPh sb="3" eb="6">
      <t>ニョウチンサ</t>
    </rPh>
    <rPh sb="6" eb="8">
      <t>ケンサ</t>
    </rPh>
    <phoneticPr fontId="8"/>
  </si>
  <si>
    <t>（６）血液型検査</t>
    <phoneticPr fontId="8"/>
  </si>
  <si>
    <t>（７）交差適合試験</t>
    <phoneticPr fontId="8"/>
  </si>
  <si>
    <t>（８）不規則抗体検査</t>
    <phoneticPr fontId="8"/>
  </si>
  <si>
    <t>（９）培養・Gram染色検査</t>
    <rPh sb="3" eb="5">
      <t>バイヨウ</t>
    </rPh>
    <rPh sb="10" eb="12">
      <t>センショク</t>
    </rPh>
    <rPh sb="12" eb="14">
      <t>ケンサ</t>
    </rPh>
    <phoneticPr fontId="8"/>
  </si>
  <si>
    <t>（10）同定・薬剤感受性試験</t>
    <phoneticPr fontId="8"/>
  </si>
  <si>
    <t>（12）見学：迅速標本作成から報告</t>
    <phoneticPr fontId="8"/>
  </si>
  <si>
    <t>（13）HE染色や特殊染色検査</t>
    <rPh sb="6" eb="8">
      <t>センショク</t>
    </rPh>
    <rPh sb="9" eb="11">
      <t>トクシュ</t>
    </rPh>
    <rPh sb="11" eb="13">
      <t>センショク</t>
    </rPh>
    <rPh sb="13" eb="15">
      <t>ケンサ</t>
    </rPh>
    <phoneticPr fontId="8"/>
  </si>
  <si>
    <t>（14）病理標本観察</t>
    <phoneticPr fontId="8"/>
  </si>
  <si>
    <t>（15）細胞診標本作成と鏡検</t>
    <phoneticPr fontId="8"/>
  </si>
  <si>
    <t>（16）血液ガス分析検査</t>
    <phoneticPr fontId="8"/>
  </si>
  <si>
    <t>（基準）</t>
    <rPh sb="1" eb="3">
      <t>キジュン</t>
    </rPh>
    <phoneticPr fontId="8"/>
  </si>
  <si>
    <t>（入力）</t>
    <rPh sb="1" eb="3">
      <t>ニュウリョク</t>
    </rPh>
    <phoneticPr fontId="8"/>
  </si>
  <si>
    <t>（２科目） 各１単位以上で、合計６単位</t>
    <rPh sb="2" eb="4">
      <t>カモク</t>
    </rPh>
    <rPh sb="6" eb="7">
      <t>カク</t>
    </rPh>
    <rPh sb="8" eb="10">
      <t>タンイ</t>
    </rPh>
    <rPh sb="10" eb="12">
      <t>イジョウ</t>
    </rPh>
    <rPh sb="14" eb="16">
      <t>ゴウケイ</t>
    </rPh>
    <rPh sb="17" eb="19">
      <t>タンイ</t>
    </rPh>
    <phoneticPr fontId="8"/>
  </si>
  <si>
    <t>臨地実習　　生理検査学</t>
    <rPh sb="0" eb="2">
      <t>リンチ</t>
    </rPh>
    <rPh sb="2" eb="4">
      <t>ジッシュウ</t>
    </rPh>
    <rPh sb="6" eb="8">
      <t>セイリ</t>
    </rPh>
    <rPh sb="8" eb="10">
      <t>ケンサ</t>
    </rPh>
    <rPh sb="10" eb="11">
      <t>ガク</t>
    </rPh>
    <phoneticPr fontId="8"/>
  </si>
  <si>
    <t>臨地実習　　その他</t>
    <rPh sb="0" eb="2">
      <t>リンチ</t>
    </rPh>
    <rPh sb="2" eb="4">
      <t>ジッシュウ</t>
    </rPh>
    <rPh sb="8" eb="9">
      <t>タ</t>
    </rPh>
    <phoneticPr fontId="8"/>
  </si>
  <si>
    <t>※臨地実習については、</t>
    <phoneticPr fontId="8"/>
  </si>
  <si>
    <t>○○○○○○○○</t>
  </si>
  <si>
    <t>令和　年　月　日</t>
  </si>
  <si>
    <t>　　厚生労働省医政局医事課長　殿</t>
  </si>
  <si>
    <t>　本校○○科△△専攻で実施している下記の授業科目によって、標記科目を履修したとみなすことが出来るか協議いたします。</t>
  </si>
  <si>
    <t>相当する授業科目</t>
  </si>
  <si>
    <t>単位数</t>
  </si>
  <si>
    <t>１　履修証明書（様式３）</t>
  </si>
  <si>
    <t>３　教科内容対比表（様式５）</t>
  </si>
  <si>
    <t>履修証明書</t>
  </si>
  <si>
    <t>本籍地</t>
  </si>
  <si>
    <t>氏名</t>
  </si>
  <si>
    <t>生年月日（昭和・平成）　年　月　日生</t>
  </si>
  <si>
    <t>履修科目名</t>
  </si>
  <si>
    <t>履修年度</t>
  </si>
  <si>
    <t>令和　　年度</t>
  </si>
  <si>
    <t>生化学検査学</t>
    <phoneticPr fontId="8"/>
  </si>
  <si>
    <t>免疫検査学</t>
    <phoneticPr fontId="8"/>
  </si>
  <si>
    <t>遺伝子関連・染色体検査学</t>
    <phoneticPr fontId="8"/>
  </si>
  <si>
    <t>輸血・移植検査学</t>
    <phoneticPr fontId="8"/>
  </si>
  <si>
    <t>微生物検査学</t>
    <phoneticPr fontId="8"/>
  </si>
  <si>
    <t>　◀　文書番号</t>
    <rPh sb="3" eb="5">
      <t>ブンショ</t>
    </rPh>
    <rPh sb="5" eb="7">
      <t>バンゴウ</t>
    </rPh>
    <phoneticPr fontId="8"/>
  </si>
  <si>
    <t>　◀　年月日</t>
    <rPh sb="3" eb="6">
      <t>ネンガッピ</t>
    </rPh>
    <phoneticPr fontId="8"/>
  </si>
  <si>
    <t>◎</t>
    <phoneticPr fontId="8"/>
  </si>
  <si>
    <t>　本校○○科△△専攻で実施している下記の授業科目によって、標記科目を履修したとみなすことが出来るか協議いたします。</t>
    <phoneticPr fontId="8"/>
  </si>
  <si>
    <t>（うち、１単位は養成施設における臨地実習前の技能修得到達度評価（臨地実習に必要な技能・態度を備えていることを確認する実技試験及び指導等）を行う。
実習時間の３分の２以上は、病院又は診療所において行う。</t>
    <phoneticPr fontId="8"/>
  </si>
  <si>
    <t>令和　　年　　月　　日</t>
    <rPh sb="0" eb="2">
      <t>レイワ</t>
    </rPh>
    <rPh sb="4" eb="5">
      <t>ネン</t>
    </rPh>
    <rPh sb="7" eb="8">
      <t>ガツ</t>
    </rPh>
    <rPh sb="10" eb="11">
      <t>ニチ</t>
    </rPh>
    <phoneticPr fontId="8"/>
  </si>
  <si>
    <t>（大学の所在地）</t>
    <rPh sb="1" eb="3">
      <t>ダイガク</t>
    </rPh>
    <rPh sb="4" eb="7">
      <t>ショザイチ</t>
    </rPh>
    <phoneticPr fontId="8"/>
  </si>
  <si>
    <t>（学部・学科名）</t>
    <rPh sb="1" eb="3">
      <t>ガクブ</t>
    </rPh>
    <rPh sb="4" eb="7">
      <t>ガッカメイ</t>
    </rPh>
    <phoneticPr fontId="8"/>
  </si>
  <si>
    <t>（大学長の氏名）</t>
    <rPh sb="1" eb="4">
      <t>ダイガクチョウ</t>
    </rPh>
    <rPh sb="5" eb="7">
      <t>シメイ</t>
    </rPh>
    <phoneticPr fontId="8"/>
  </si>
  <si>
    <t>（ 大学の名称 ）</t>
    <rPh sb="2" eb="4">
      <t>ダイガク</t>
    </rPh>
    <rPh sb="5" eb="7">
      <t>メイショウ</t>
    </rPh>
    <phoneticPr fontId="8"/>
  </si>
  <si>
    <t>（作成上の注意）</t>
    <rPh sb="1" eb="4">
      <t>サクセイジョウ</t>
    </rPh>
    <rPh sb="5" eb="7">
      <t>チュウイ</t>
    </rPh>
    <phoneticPr fontId="8"/>
  </si>
  <si>
    <t>１．　用紙の大きさは、A４とすること。</t>
    <rPh sb="3" eb="5">
      <t>ヨウシ</t>
    </rPh>
    <rPh sb="6" eb="7">
      <t>オオ</t>
    </rPh>
    <phoneticPr fontId="8"/>
  </si>
  <si>
    <t>病態学
（薬理学、病態薬理学は除く）</t>
    <phoneticPr fontId="8"/>
  </si>
  <si>
    <t>病態学</t>
    <phoneticPr fontId="8"/>
  </si>
  <si>
    <t xml:space="preserve">　◀　記載の名称と異なる場合は
</t>
    <rPh sb="3" eb="5">
      <t>キサイ</t>
    </rPh>
    <rPh sb="6" eb="8">
      <t>メイショウ</t>
    </rPh>
    <rPh sb="9" eb="10">
      <t>コト</t>
    </rPh>
    <rPh sb="12" eb="14">
      <t>バアイ</t>
    </rPh>
    <phoneticPr fontId="8"/>
  </si>
  <si>
    <t>令和　年　月　日</t>
    <phoneticPr fontId="8"/>
  </si>
  <si>
    <t>　　　直接入力してください</t>
    <rPh sb="3" eb="5">
      <t>チョクセツ</t>
    </rPh>
    <rPh sb="5" eb="7">
      <t>ニュウリョク</t>
    </rPh>
    <phoneticPr fontId="8"/>
  </si>
  <si>
    <t>病態学（新告示第１条は薬理学及び病態薬理学を除く。）</t>
    <phoneticPr fontId="8"/>
  </si>
  <si>
    <t>上記科目における臨地実習</t>
    <rPh sb="0" eb="2">
      <t>ジョウキ</t>
    </rPh>
    <rPh sb="2" eb="4">
      <t>カモク</t>
    </rPh>
    <rPh sb="8" eb="10">
      <t>リンチ</t>
    </rPh>
    <rPh sb="10" eb="12">
      <t>ジッシュウ</t>
    </rPh>
    <phoneticPr fontId="8"/>
  </si>
  <si>
    <t>生理検査学に関する臨地実習</t>
    <rPh sb="0" eb="2">
      <t>セイリ</t>
    </rPh>
    <rPh sb="2" eb="4">
      <t>ケンサ</t>
    </rPh>
    <rPh sb="4" eb="5">
      <t>ガク</t>
    </rPh>
    <rPh sb="6" eb="7">
      <t>カン</t>
    </rPh>
    <rPh sb="9" eb="11">
      <t>リンチ</t>
    </rPh>
    <rPh sb="11" eb="13">
      <t>ジッシュウ</t>
    </rPh>
    <phoneticPr fontId="8"/>
  </si>
  <si>
    <t>生理検査学以外の臨地実習</t>
    <rPh sb="0" eb="2">
      <t>セイリ</t>
    </rPh>
    <rPh sb="2" eb="4">
      <t>ケンサ</t>
    </rPh>
    <rPh sb="4" eb="5">
      <t>ガク</t>
    </rPh>
    <rPh sb="5" eb="7">
      <t>イガイ</t>
    </rPh>
    <rPh sb="8" eb="10">
      <t>リンチ</t>
    </rPh>
    <rPh sb="10" eb="12">
      <t>ジッシュウ</t>
    </rPh>
    <phoneticPr fontId="8"/>
  </si>
  <si>
    <t>合計</t>
    <rPh sb="0" eb="2">
      <t>ゴウケイ</t>
    </rPh>
    <phoneticPr fontId="8"/>
  </si>
  <si>
    <t>その他</t>
    <rPh sb="2" eb="3">
      <t>タ</t>
    </rPh>
    <phoneticPr fontId="8"/>
  </si>
  <si>
    <t>相当する授業科目</t>
    <rPh sb="0" eb="2">
      <t>ソウトウ</t>
    </rPh>
    <rPh sb="4" eb="6">
      <t>ジュギョウ</t>
    </rPh>
    <rPh sb="6" eb="8">
      <t>カモク</t>
    </rPh>
    <phoneticPr fontId="8"/>
  </si>
  <si>
    <t>単位数</t>
    <rPh sb="0" eb="3">
      <t>タンイスウ</t>
    </rPh>
    <phoneticPr fontId="8"/>
  </si>
  <si>
    <t>該当する授業科目</t>
    <rPh sb="0" eb="2">
      <t>ガイトウ</t>
    </rPh>
    <rPh sb="4" eb="6">
      <t>ジュギョウ</t>
    </rPh>
    <rPh sb="6" eb="8">
      <t>カモク</t>
    </rPh>
    <phoneticPr fontId="8"/>
  </si>
  <si>
    <t>履修科目名</t>
    <rPh sb="0" eb="4">
      <t>リシュウカモク</t>
    </rPh>
    <rPh sb="4" eb="5">
      <t>メイ</t>
    </rPh>
    <phoneticPr fontId="8"/>
  </si>
  <si>
    <t>履修年度</t>
    <rPh sb="0" eb="2">
      <t>リシュウ</t>
    </rPh>
    <rPh sb="2" eb="4">
      <t>ネンド</t>
    </rPh>
    <phoneticPr fontId="8"/>
  </si>
  <si>
    <t>授業科目名</t>
    <rPh sb="0" eb="2">
      <t>ジュギョウ</t>
    </rPh>
    <rPh sb="2" eb="5">
      <t>カモクメイ</t>
    </rPh>
    <phoneticPr fontId="8"/>
  </si>
  <si>
    <t>上記科目における
臨地実習</t>
    <rPh sb="0" eb="2">
      <t>ジョウキ</t>
    </rPh>
    <rPh sb="2" eb="4">
      <t>カモク</t>
    </rPh>
    <rPh sb="9" eb="11">
      <t>リンチ</t>
    </rPh>
    <rPh sb="11" eb="13">
      <t>ジッシュウ</t>
    </rPh>
    <phoneticPr fontId="8"/>
  </si>
  <si>
    <t>（うち、８単位は人体の構造と機能に関する科目とし、５単位は臨床検査の基礎とその疾病との関連に関する科目とする。臨地実習の単位については別に定める）
※新告示第１条に規定する科目について記載する場合は、「Ⅵ薬理学」及び「Ⅹ病態薬理学」の項目については空欄で差し支えない。</t>
    <rPh sb="76" eb="77">
      <t>シン</t>
    </rPh>
    <rPh sb="77" eb="79">
      <t>コクジ</t>
    </rPh>
    <rPh sb="79" eb="80">
      <t>ダイ</t>
    </rPh>
    <rPh sb="81" eb="82">
      <t>ジョウ</t>
    </rPh>
    <rPh sb="83" eb="85">
      <t>キテイ</t>
    </rPh>
    <rPh sb="87" eb="89">
      <t>カモク</t>
    </rPh>
    <rPh sb="93" eb="95">
      <t>キサイ</t>
    </rPh>
    <rPh sb="97" eb="99">
      <t>バアイ</t>
    </rPh>
    <rPh sb="103" eb="106">
      <t>ヤクリガク</t>
    </rPh>
    <rPh sb="107" eb="108">
      <t>オヨ</t>
    </rPh>
    <rPh sb="111" eb="113">
      <t>ビョウタイ</t>
    </rPh>
    <rPh sb="113" eb="116">
      <t>ヤクリガク</t>
    </rPh>
    <rPh sb="118" eb="120">
      <t>コウモク</t>
    </rPh>
    <rPh sb="125" eb="127">
      <t>クウラン</t>
    </rPh>
    <rPh sb="128" eb="129">
      <t>サ</t>
    </rPh>
    <rPh sb="130" eb="131">
      <t>ツカ</t>
    </rPh>
    <phoneticPr fontId="8"/>
  </si>
  <si>
    <t>＜厚生労働省告示４９＞</t>
    <phoneticPr fontId="8"/>
  </si>
  <si>
    <t>学校名</t>
    <rPh sb="0" eb="3">
      <t>ガッコウメイ</t>
    </rPh>
    <phoneticPr fontId="8"/>
  </si>
  <si>
    <t>学部名</t>
    <rPh sb="0" eb="2">
      <t>ガクブ</t>
    </rPh>
    <rPh sb="2" eb="3">
      <t>メイ</t>
    </rPh>
    <phoneticPr fontId="8"/>
  </si>
  <si>
    <t>学科名</t>
    <rPh sb="0" eb="2">
      <t>ガッカ</t>
    </rPh>
    <rPh sb="2" eb="3">
      <t>メイ</t>
    </rPh>
    <phoneticPr fontId="8"/>
  </si>
  <si>
    <r>
      <t>学校名入力</t>
    </r>
    <r>
      <rPr>
        <sz val="18"/>
        <rFont val="ＭＳ Ｐゴシック"/>
        <family val="3"/>
        <charset val="128"/>
      </rPr>
      <t>　 （申請学科単位）</t>
    </r>
    <rPh sb="0" eb="3">
      <t>ガッコウメイ</t>
    </rPh>
    <rPh sb="3" eb="5">
      <t>ニュウリョク</t>
    </rPh>
    <rPh sb="8" eb="10">
      <t>シンセイ</t>
    </rPh>
    <rPh sb="10" eb="12">
      <t>ガッカ</t>
    </rPh>
    <rPh sb="12" eb="14">
      <t>タンイ</t>
    </rPh>
    <phoneticPr fontId="8"/>
  </si>
  <si>
    <t>　　　　　　　　　　　　（ワークシート名）</t>
    <rPh sb="19" eb="20">
      <t>メイ</t>
    </rPh>
    <phoneticPr fontId="8"/>
  </si>
  <si>
    <t>　★ 同一学校名で、複数の申請がある場合</t>
    <rPh sb="3" eb="5">
      <t>ドウイツ</t>
    </rPh>
    <rPh sb="5" eb="8">
      <t>ガッコウメイ</t>
    </rPh>
    <rPh sb="10" eb="12">
      <t>フクスウ</t>
    </rPh>
    <rPh sb="13" eb="15">
      <t>シンセイ</t>
    </rPh>
    <rPh sb="18" eb="20">
      <t>バアイ</t>
    </rPh>
    <phoneticPr fontId="8"/>
  </si>
  <si>
    <t>申請種別</t>
    <rPh sb="0" eb="2">
      <t>シンセイ</t>
    </rPh>
    <rPh sb="2" eb="4">
      <t>シュベツ</t>
    </rPh>
    <phoneticPr fontId="8"/>
  </si>
  <si>
    <t>照合コード</t>
    <rPh sb="0" eb="2">
      <t>ショウゴウ</t>
    </rPh>
    <phoneticPr fontId="8"/>
  </si>
  <si>
    <t>◀ ０５判定</t>
    <rPh sb="4" eb="6">
      <t>ハンテイ</t>
    </rPh>
    <phoneticPr fontId="8"/>
  </si>
  <si>
    <t>０６判定</t>
    <rPh sb="2" eb="4">
      <t>ハンテイ</t>
    </rPh>
    <phoneticPr fontId="8"/>
  </si>
  <si>
    <t>コース・専攻等</t>
    <rPh sb="4" eb="6">
      <t>センコウ</t>
    </rPh>
    <rPh sb="6" eb="7">
      <t>トウ</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</si>
  <si>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</si>
  <si>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</si>
  <si>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</si>
  <si>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</si>
  <si>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</si>
  <si>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</si>
  <si>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</si>
  <si>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</si>
  <si>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</si>
  <si>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</si>
  <si>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</si>
  <si>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</si>
  <si>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</si>
  <si>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</si>
  <si>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⑮-1</t>
    <phoneticPr fontId="8"/>
  </si>
  <si>
    <t>⑮-2</t>
    <phoneticPr fontId="8"/>
  </si>
  <si>
    <r>
      <t>　　　"　</t>
    </r>
    <r>
      <rPr>
        <b/>
        <sz val="11"/>
        <color rgb="FFC00000"/>
        <rFont val="ＭＳ Ｐゴシック"/>
        <family val="3"/>
        <charset val="128"/>
      </rPr>
      <t>学校名</t>
    </r>
    <r>
      <rPr>
        <b/>
        <sz val="11"/>
        <color theme="4" tint="-0.249977111117893"/>
        <rFont val="ＭＳ Ｐゴシック"/>
        <family val="3"/>
        <charset val="128"/>
      </rPr>
      <t>　＋　</t>
    </r>
    <r>
      <rPr>
        <b/>
        <sz val="11"/>
        <color rgb="FFC00000"/>
        <rFont val="ＭＳ Ｐゴシック"/>
        <family val="3"/>
        <charset val="128"/>
      </rPr>
      <t>学部名</t>
    </r>
    <r>
      <rPr>
        <b/>
        <sz val="11"/>
        <color theme="4" tint="-0.249977111117893"/>
        <rFont val="ＭＳ Ｐゴシック"/>
        <family val="3"/>
        <charset val="128"/>
      </rPr>
      <t>　＋　</t>
    </r>
    <r>
      <rPr>
        <b/>
        <sz val="11"/>
        <color rgb="FFC00000"/>
        <rFont val="ＭＳ Ｐゴシック"/>
        <family val="3"/>
        <charset val="128"/>
      </rPr>
      <t>学科名</t>
    </r>
    <r>
      <rPr>
        <b/>
        <sz val="11"/>
        <color theme="4" tint="-0.249977111117893"/>
        <rFont val="ＭＳ Ｐゴシック"/>
        <family val="3"/>
        <charset val="128"/>
      </rPr>
      <t>　＋　</t>
    </r>
    <r>
      <rPr>
        <b/>
        <sz val="11"/>
        <color rgb="FFC00000"/>
        <rFont val="ＭＳ Ｐゴシック"/>
        <family val="3"/>
        <charset val="128"/>
      </rPr>
      <t>コース・専攻等</t>
    </r>
    <r>
      <rPr>
        <b/>
        <sz val="11"/>
        <color theme="4" tint="-0.249977111117893"/>
        <rFont val="ＭＳ Ｐゴシック"/>
        <family val="3"/>
        <charset val="128"/>
      </rPr>
      <t>　"　 で、まったく同じにならないよう、入力して下さい。</t>
    </r>
    <rPh sb="5" eb="8">
      <t>ガッコウメイ</t>
    </rPh>
    <rPh sb="11" eb="14">
      <t>ガクブメイ</t>
    </rPh>
    <rPh sb="17" eb="20">
      <t>ガッカメイ</t>
    </rPh>
    <rPh sb="27" eb="29">
      <t>センコウ</t>
    </rPh>
    <rPh sb="29" eb="30">
      <t>トウ</t>
    </rPh>
    <rPh sb="40" eb="41">
      <t>オナ</t>
    </rPh>
    <rPh sb="50" eb="52">
      <t>ニュウリョク</t>
    </rPh>
    <rPh sb="54" eb="55">
      <t>クダ</t>
    </rPh>
    <phoneticPr fontId="8"/>
  </si>
  <si>
    <t>　　変更前</t>
    <rPh sb="2" eb="5">
      <t>ヘンコウマエ</t>
    </rPh>
    <phoneticPr fontId="8"/>
  </si>
  <si>
    <t>臨地実習は、まとめて記載</t>
    <rPh sb="0" eb="2">
      <t>リンチ</t>
    </rPh>
    <rPh sb="2" eb="4">
      <t>ジッシュウ</t>
    </rPh>
    <rPh sb="10" eb="12">
      <t>キサイ</t>
    </rPh>
    <phoneticPr fontId="8"/>
  </si>
  <si>
    <t>　まとめて記載してください。</t>
    <rPh sb="5" eb="7">
      <t>キサイ</t>
    </rPh>
    <phoneticPr fontId="8"/>
  </si>
  <si>
    <t>　また、審査基準◎印の教科については、</t>
    <phoneticPr fontId="8"/>
  </si>
  <si>
    <t>　明示的内容を含めてください。</t>
    <phoneticPr fontId="8"/>
  </si>
  <si>
    <t>シラバス</t>
    <phoneticPr fontId="8"/>
  </si>
  <si>
    <t>科目</t>
    <rPh sb="0" eb="2">
      <t>カモク</t>
    </rPh>
    <phoneticPr fontId="8"/>
  </si>
  <si>
    <t>授業内容</t>
    <rPh sb="0" eb="2">
      <t>ジュギョウ</t>
    </rPh>
    <rPh sb="2" eb="4">
      <t>ナイヨウ</t>
    </rPh>
    <phoneticPr fontId="8"/>
  </si>
  <si>
    <t>ページ</t>
    <phoneticPr fontId="8"/>
  </si>
  <si>
    <t>行819～行864　どこも入力なし</t>
    <rPh sb="0" eb="1">
      <t>ギョウ</t>
    </rPh>
    <rPh sb="5" eb="6">
      <t>ギョウ</t>
    </rPh>
    <rPh sb="13" eb="15">
      <t>ニュウリョク</t>
    </rPh>
    <phoneticPr fontId="8"/>
  </si>
  <si>
    <t>①
病態学</t>
    <phoneticPr fontId="8"/>
  </si>
  <si>
    <t>②
公衆衛生学</t>
    <phoneticPr fontId="8"/>
  </si>
  <si>
    <t>③
医用工学概論</t>
    <phoneticPr fontId="8"/>
  </si>
  <si>
    <t>④
血液検査学</t>
    <phoneticPr fontId="8"/>
  </si>
  <si>
    <t>⑤
病理検査学</t>
    <phoneticPr fontId="8"/>
  </si>
  <si>
    <t>⑥
尿・糞便等一般検査学</t>
    <phoneticPr fontId="8"/>
  </si>
  <si>
    <t>⑦
生化学検査学</t>
    <phoneticPr fontId="8"/>
  </si>
  <si>
    <t>⑧
免疫検査学</t>
    <phoneticPr fontId="8"/>
  </si>
  <si>
    <t>⑨
遺伝子関連・染色体検査学</t>
    <phoneticPr fontId="8"/>
  </si>
  <si>
    <t>⑩
輸血・移植検査学</t>
    <phoneticPr fontId="8"/>
  </si>
  <si>
    <t>⑪
微生物検査学</t>
    <phoneticPr fontId="8"/>
  </si>
  <si>
    <t>⑫
生理検査学</t>
    <phoneticPr fontId="8"/>
  </si>
  <si>
    <t>⑬
臨床検査総合管理学</t>
    <phoneticPr fontId="8"/>
  </si>
  <si>
    <t>⑭
医療安全管理学</t>
    <phoneticPr fontId="8"/>
  </si>
  <si>
    <t>学部名</t>
    <rPh sb="0" eb="3">
      <t>ガクブメイ</t>
    </rPh>
    <phoneticPr fontId="8"/>
  </si>
  <si>
    <t>０５判定</t>
    <rPh sb="2" eb="4">
      <t>ハンテイ</t>
    </rPh>
    <phoneticPr fontId="8"/>
  </si>
  <si>
    <t>申請
単位数</t>
    <rPh sb="0" eb="2">
      <t>シンセイ</t>
    </rPh>
    <rPh sb="3" eb="6">
      <t>タンイスウ</t>
    </rPh>
    <phoneticPr fontId="8"/>
  </si>
  <si>
    <r>
      <t>01</t>
    </r>
    <r>
      <rPr>
        <b/>
        <sz val="10"/>
        <color rgb="FFC00000"/>
        <rFont val="ＭＳ Ｐ明朝"/>
        <family val="1"/>
        <charset val="128"/>
      </rPr>
      <t>（学校名入力）</t>
    </r>
    <phoneticPr fontId="8"/>
  </si>
  <si>
    <t>C7</t>
    <phoneticPr fontId="8"/>
  </si>
  <si>
    <t>C8</t>
    <phoneticPr fontId="8"/>
  </si>
  <si>
    <t>C9</t>
    <phoneticPr fontId="8"/>
  </si>
  <si>
    <t>C10</t>
    <phoneticPr fontId="8"/>
  </si>
  <si>
    <t>D5</t>
    <phoneticPr fontId="8"/>
  </si>
  <si>
    <r>
      <t>05</t>
    </r>
    <r>
      <rPr>
        <b/>
        <sz val="10"/>
        <color rgb="FFC00000"/>
        <rFont val="ＭＳ Ｐ明朝"/>
        <family val="1"/>
        <charset val="128"/>
      </rPr>
      <t>（別紙４様式４）単位・時間数の新旧対照表</t>
    </r>
    <r>
      <rPr>
        <b/>
        <sz val="10"/>
        <color rgb="FFC00000"/>
        <rFont val="Times New Roman"/>
        <family val="1"/>
      </rPr>
      <t xml:space="preserve"> </t>
    </r>
    <phoneticPr fontId="8"/>
  </si>
  <si>
    <t>P1</t>
    <phoneticPr fontId="8"/>
  </si>
  <si>
    <r>
      <t>06</t>
    </r>
    <r>
      <rPr>
        <b/>
        <sz val="10"/>
        <color rgb="FFC00000"/>
        <rFont val="ＭＳ Ｐ明朝"/>
        <family val="1"/>
        <charset val="128"/>
      </rPr>
      <t>（別紙５様式５）教科内容対比表</t>
    </r>
    <phoneticPr fontId="8"/>
  </si>
  <si>
    <t>K1</t>
    <phoneticPr fontId="8"/>
  </si>
  <si>
    <t>P12</t>
  </si>
  <si>
    <t>上記の者は、本学において臨床検査技師等に関する法律施行令第18条第三号及び第四号の規定に基づき厚生労働大臣が定める検体検査、生理学的検査、採血及び検体採取に関する科目第１条に規定する科目として、次のものを修めて卒業したことを証明する。</t>
    <phoneticPr fontId="8"/>
  </si>
  <si>
    <t>上記の者は、本学において臨床検査技師等に関する法律施行令第18条第三号及び第四号の規定に基づき厚生労働大臣が定める検体検査、生理学的検査、採血及び検体採取に関する科目第２条に規定する科目として、次のものを修めて卒業したことを証明する。</t>
    <phoneticPr fontId="8"/>
  </si>
  <si>
    <t>上記の者は、本学において臨床検査技師等に関する法律施行令第18条第三号及び第四号の規定に基づき厚生労働大臣が定める検体検査、生理学的検査、採血及び検体採取に関する科目第○条に規定する科目として、次のものを修めて卒業したことを証明する。</t>
    <phoneticPr fontId="8"/>
  </si>
  <si>
    <t>臨床検査技師等に関する法律施行令第十八条第三号及び第四号の規定に基づき厚生労働大臣が定める
検体検査、生理学的検査、採血及び検体採取に関する科目第○条に規定する科目について</t>
    <phoneticPr fontId="8"/>
  </si>
  <si>
    <t>臨床検査技師等に関する法律施行令第十八条第三号及び第四号の規定に基づき厚生労働大臣が定める
検体検査、生理学的検査、採血及び検体採取に関する科目第１条に規定する科目について</t>
    <phoneticPr fontId="8"/>
  </si>
  <si>
    <t>臨床検査技師等に関する法律施行令第十八条第三号及び第四号の規定に基づき厚生労働大臣が定める
検体検査、生理学的検査、採血及び検体採取に関する科目第２条に規定する科目について</t>
    <phoneticPr fontId="8"/>
  </si>
  <si>
    <t>　◀　学科名、専攻名を入力してください</t>
    <rPh sb="3" eb="6">
      <t>ガッカメイ</t>
    </rPh>
    <rPh sb="7" eb="9">
      <t>センコウ</t>
    </rPh>
    <rPh sb="9" eb="10">
      <t>メイ</t>
    </rPh>
    <rPh sb="11" eb="13">
      <t>ニュウリョク</t>
    </rPh>
    <phoneticPr fontId="8"/>
  </si>
  <si>
    <t>　◀　学科名、専攻名を入力してください</t>
    <rPh sb="11" eb="13">
      <t>ニュウリョク</t>
    </rPh>
    <phoneticPr fontId="8"/>
  </si>
  <si>
    <t>　◀　それぞれ入力してください</t>
    <rPh sb="7" eb="9">
      <t>ニュウリョク</t>
    </rPh>
    <phoneticPr fontId="8"/>
  </si>
  <si>
    <t>生理検査学</t>
    <phoneticPr fontId="8"/>
  </si>
  <si>
    <t>チェック欄</t>
    <rPh sb="4" eb="5">
      <t>ラン</t>
    </rPh>
    <phoneticPr fontId="8"/>
  </si>
  <si>
    <t>臨地実習前評価</t>
    <rPh sb="0" eb="7">
      <t>リンチジッシュウマエヒョウカ</t>
    </rPh>
    <phoneticPr fontId="8"/>
  </si>
  <si>
    <t>◎</t>
    <phoneticPr fontId="8"/>
  </si>
  <si>
    <t>（９）輸血用血液製剤の保存と管理</t>
    <phoneticPr fontId="8"/>
  </si>
  <si>
    <t>（10）輸血検査の精度管理</t>
    <phoneticPr fontId="8"/>
  </si>
  <si>
    <t>８　直腸肛門機能検査</t>
    <phoneticPr fontId="8"/>
  </si>
  <si>
    <t>10　学内実習</t>
    <phoneticPr fontId="8"/>
  </si>
  <si>
    <t>11　臨地実習＊</t>
    <phoneticPr fontId="8"/>
  </si>
  <si>
    <t>（４）直腸肛門機能検査</t>
    <phoneticPr fontId="8"/>
  </si>
  <si>
    <t>（５）持続皮下グルコース測定</t>
    <phoneticPr fontId="8"/>
  </si>
  <si>
    <t xml:space="preserve">５　学内実習 </t>
    <phoneticPr fontId="8"/>
  </si>
  <si>
    <t>６　臨地実習＊</t>
    <phoneticPr fontId="8"/>
  </si>
  <si>
    <t>（９）見学：消化管内視鏡検査</t>
    <rPh sb="3" eb="5">
      <t>ケンガク</t>
    </rPh>
    <rPh sb="6" eb="9">
      <t>ショウカカン</t>
    </rPh>
    <rPh sb="9" eb="12">
      <t>ナイシキョウ</t>
    </rPh>
    <rPh sb="12" eb="14">
      <t>ケンサ</t>
    </rPh>
    <phoneticPr fontId="8"/>
  </si>
  <si>
    <r>
      <t>令第３号の規定に基づき定める科目に関する協議申請の場合は、</t>
    </r>
    <r>
      <rPr>
        <b/>
        <sz val="12"/>
        <color rgb="FFFF0000"/>
        <rFont val="ＭＳ ゴシック"/>
        <family val="3"/>
        <charset val="128"/>
      </rPr>
      <t>文書番号、年月日</t>
    </r>
    <r>
      <rPr>
        <sz val="12"/>
        <rFont val="ＭＳ ゴシック"/>
        <family val="3"/>
        <charset val="128"/>
      </rPr>
      <t>を入力して下さい。</t>
    </r>
    <rPh sb="0" eb="1">
      <t>レイ</t>
    </rPh>
    <rPh sb="25" eb="27">
      <t>バアイ</t>
    </rPh>
    <phoneticPr fontId="8"/>
  </si>
  <si>
    <r>
      <t>令第４号の規定に基づき定める科目に関する協議申請の場合は、</t>
    </r>
    <r>
      <rPr>
        <b/>
        <sz val="12"/>
        <color rgb="FFFF0000"/>
        <rFont val="ＭＳ ゴシック"/>
        <family val="3"/>
        <charset val="128"/>
      </rPr>
      <t>文書番号、年月日</t>
    </r>
    <r>
      <rPr>
        <sz val="12"/>
        <rFont val="ＭＳ ゴシック"/>
        <family val="3"/>
        <charset val="128"/>
      </rPr>
      <t>を入力して下さい。</t>
    </r>
    <rPh sb="0" eb="1">
      <t>レイ</t>
    </rPh>
    <rPh sb="25" eb="27">
      <t>バアイ</t>
    </rPh>
    <phoneticPr fontId="8"/>
  </si>
  <si>
    <r>
      <t xml:space="preserve">履修証明書（見本）
</t>
    </r>
    <r>
      <rPr>
        <b/>
        <sz val="12"/>
        <color rgb="FFFF0000"/>
        <rFont val="ＭＳ ゴシック"/>
        <family val="3"/>
        <charset val="128"/>
      </rPr>
      <t>大学の所在地、名称、学部・学科名、大学長の氏名</t>
    </r>
    <r>
      <rPr>
        <sz val="12"/>
        <rFont val="ＭＳ ゴシック"/>
        <family val="3"/>
        <charset val="128"/>
      </rPr>
      <t>を、それぞれ入力してください</t>
    </r>
    <phoneticPr fontId="8"/>
  </si>
  <si>
    <t>３号：臨床検査技師等に関する法律施行令（以下、令とする。）　第18条第３号の規定に基づき定める科目に関する協議申請</t>
    <rPh sb="1" eb="2">
      <t>ゴウ</t>
    </rPh>
    <rPh sb="3" eb="5">
      <t>リンショウ</t>
    </rPh>
    <rPh sb="5" eb="7">
      <t>ケンサ</t>
    </rPh>
    <rPh sb="7" eb="9">
      <t>ギシ</t>
    </rPh>
    <rPh sb="9" eb="10">
      <t>ナド</t>
    </rPh>
    <rPh sb="11" eb="12">
      <t>カン</t>
    </rPh>
    <rPh sb="14" eb="16">
      <t>ホウリツ</t>
    </rPh>
    <rPh sb="16" eb="19">
      <t>セコウレイ</t>
    </rPh>
    <rPh sb="20" eb="22">
      <t>イカ</t>
    </rPh>
    <rPh sb="23" eb="24">
      <t>レイ</t>
    </rPh>
    <phoneticPr fontId="8"/>
  </si>
  <si>
    <t>４号：令第18条第４号に基づき定める科目に関する協議申請</t>
    <rPh sb="1" eb="2">
      <t>ゴウ</t>
    </rPh>
    <rPh sb="3" eb="4">
      <t>レイ</t>
    </rPh>
    <rPh sb="4" eb="5">
      <t>ダイ</t>
    </rPh>
    <rPh sb="7" eb="8">
      <t>ジョウ</t>
    </rPh>
    <rPh sb="8" eb="9">
      <t>ダイ</t>
    </rPh>
    <rPh sb="10" eb="11">
      <t>ゴウ</t>
    </rPh>
    <rPh sb="12" eb="13">
      <t>モト</t>
    </rPh>
    <rPh sb="15" eb="16">
      <t>サダ</t>
    </rPh>
    <rPh sb="18" eb="20">
      <t>カモク</t>
    </rPh>
    <rPh sb="21" eb="22">
      <t>カン</t>
    </rPh>
    <rPh sb="24" eb="26">
      <t>キョウギ</t>
    </rPh>
    <rPh sb="26" eb="28">
      <t>シンセイ</t>
    </rPh>
    <phoneticPr fontId="8"/>
  </si>
  <si>
    <t>⑮-3</t>
    <phoneticPr fontId="8"/>
  </si>
  <si>
    <t>臨地実習　　臨地実習前評価</t>
    <rPh sb="0" eb="2">
      <t>リンチ</t>
    </rPh>
    <rPh sb="2" eb="4">
      <t>ジッシュウ</t>
    </rPh>
    <rPh sb="6" eb="8">
      <t>リンチ</t>
    </rPh>
    <rPh sb="8" eb="10">
      <t>ジッシュウ</t>
    </rPh>
    <rPh sb="10" eb="11">
      <t>マエ</t>
    </rPh>
    <rPh sb="11" eb="13">
      <t>ヒョウカ</t>
    </rPh>
    <phoneticPr fontId="8"/>
  </si>
  <si>
    <t>（10）見学：運動誘発電位検査</t>
    <phoneticPr fontId="8"/>
  </si>
  <si>
    <t>（11）見学：体性感覚誘発電位検査</t>
    <phoneticPr fontId="8"/>
  </si>
  <si>
    <t>Ⅲ　その他</t>
    <rPh sb="4" eb="5">
      <t>タ</t>
    </rPh>
    <phoneticPr fontId="8"/>
  </si>
  <si>
    <t>（３）見学：検体採取</t>
    <rPh sb="3" eb="5">
      <t>ケンガク</t>
    </rPh>
    <phoneticPr fontId="8"/>
  </si>
  <si>
    <t>臨地実習に関する留意事項について</t>
    <rPh sb="0" eb="2">
      <t>リンチ</t>
    </rPh>
    <rPh sb="2" eb="4">
      <t>ジッシュウ</t>
    </rPh>
    <rPh sb="5" eb="6">
      <t>カン</t>
    </rPh>
    <rPh sb="8" eb="10">
      <t>リュウイ</t>
    </rPh>
    <rPh sb="10" eb="12">
      <t>ジコウ</t>
    </rPh>
    <phoneticPr fontId="8"/>
  </si>
  <si>
    <t>留意事項</t>
    <rPh sb="0" eb="2">
      <t>リュウイ</t>
    </rPh>
    <rPh sb="2" eb="4">
      <t>ジコウ</t>
    </rPh>
    <phoneticPr fontId="8"/>
  </si>
  <si>
    <t>在宅医療、内視鏡検査室で行う実習を除き、以下のいずれの要件も満たす適当な実習指導者を１名以上配置する予定の施設であることを確認し、臨地実習施設としているか。
（１）各指導内容に対する専門的な知識に優れ、臨床検査技師として５年以上の実務経験を有すること。
（２）厚生労働省が定める基準を満たす臨地実習指導者講習会を修了していること。</t>
    <rPh sb="17" eb="18">
      <t>ノゾ</t>
    </rPh>
    <rPh sb="20" eb="22">
      <t>イカ</t>
    </rPh>
    <rPh sb="27" eb="29">
      <t>ヨウケン</t>
    </rPh>
    <rPh sb="30" eb="31">
      <t>ミ</t>
    </rPh>
    <rPh sb="43" eb="44">
      <t>メイ</t>
    </rPh>
    <rPh sb="44" eb="46">
      <t>イジョウ</t>
    </rPh>
    <rPh sb="46" eb="48">
      <t>ハイチ</t>
    </rPh>
    <rPh sb="50" eb="52">
      <t>ヨテイ</t>
    </rPh>
    <rPh sb="53" eb="55">
      <t>シセツ</t>
    </rPh>
    <rPh sb="61" eb="63">
      <t>カクニン</t>
    </rPh>
    <rPh sb="82" eb="83">
      <t>カク</t>
    </rPh>
    <rPh sb="83" eb="85">
      <t>シドウ</t>
    </rPh>
    <rPh sb="85" eb="87">
      <t>ナイヨウ</t>
    </rPh>
    <rPh sb="88" eb="89">
      <t>タイ</t>
    </rPh>
    <rPh sb="91" eb="94">
      <t>センモンテキ</t>
    </rPh>
    <rPh sb="95" eb="97">
      <t>チシキ</t>
    </rPh>
    <rPh sb="98" eb="99">
      <t>スグ</t>
    </rPh>
    <phoneticPr fontId="8"/>
  </si>
  <si>
    <t>実習調整者として専任教員から１名以上が配置されているか。</t>
    <rPh sb="0" eb="2">
      <t>ジッシュウ</t>
    </rPh>
    <rPh sb="2" eb="4">
      <t>チョウセイ</t>
    </rPh>
    <rPh sb="4" eb="5">
      <t>シャ</t>
    </rPh>
    <rPh sb="8" eb="10">
      <t>センニン</t>
    </rPh>
    <rPh sb="10" eb="12">
      <t>キョウイン</t>
    </rPh>
    <rPh sb="15" eb="16">
      <t>メイ</t>
    </rPh>
    <rPh sb="16" eb="18">
      <t>イジョウ</t>
    </rPh>
    <rPh sb="19" eb="21">
      <t>ハイチ</t>
    </rPh>
    <phoneticPr fontId="8"/>
  </si>
  <si>
    <t>P39</t>
    <phoneticPr fontId="8"/>
  </si>
  <si>
    <t>P47</t>
    <phoneticPr fontId="8"/>
  </si>
  <si>
    <t>P55</t>
    <phoneticPr fontId="8"/>
  </si>
  <si>
    <t>P63</t>
    <phoneticPr fontId="8"/>
  </si>
  <si>
    <t>P71</t>
    <phoneticPr fontId="8"/>
  </si>
  <si>
    <t>P77</t>
    <phoneticPr fontId="8"/>
  </si>
  <si>
    <t>P95</t>
    <phoneticPr fontId="8"/>
  </si>
  <si>
    <t>⑮－２
臨地実習
生理検査学</t>
    <rPh sb="4" eb="6">
      <t>リンチ</t>
    </rPh>
    <rPh sb="6" eb="8">
      <t>ジッシュウ</t>
    </rPh>
    <rPh sb="9" eb="14">
      <t>セイリケンサガク</t>
    </rPh>
    <phoneticPr fontId="8"/>
  </si>
  <si>
    <t>⑮－３
臨地実習
その他</t>
    <rPh sb="4" eb="6">
      <t>リンチ</t>
    </rPh>
    <rPh sb="6" eb="8">
      <t>ジッシュウ</t>
    </rPh>
    <rPh sb="11" eb="12">
      <t>タ</t>
    </rPh>
    <phoneticPr fontId="8"/>
  </si>
  <si>
    <t>⑮－２
臨地実習
臨地実習前評価</t>
    <rPh sb="4" eb="6">
      <t>リンチ</t>
    </rPh>
    <rPh sb="6" eb="8">
      <t>ジッシュウ</t>
    </rPh>
    <rPh sb="9" eb="11">
      <t>リンチ</t>
    </rPh>
    <rPh sb="11" eb="13">
      <t>ジッシュウ</t>
    </rPh>
    <rPh sb="13" eb="14">
      <t>マエ</t>
    </rPh>
    <rPh sb="14" eb="16">
      <t>ヒョウカ</t>
    </rPh>
    <phoneticPr fontId="8"/>
  </si>
  <si>
    <t>（３）運動誘発電位検査</t>
    <phoneticPr fontId="8"/>
  </si>
  <si>
    <t>（４）体性感覚誘発電位検査</t>
    <phoneticPr fontId="8"/>
  </si>
  <si>
    <t>P157</t>
    <phoneticPr fontId="8"/>
  </si>
  <si>
    <t>P158</t>
    <phoneticPr fontId="8"/>
  </si>
  <si>
    <t>P159</t>
    <phoneticPr fontId="8"/>
  </si>
  <si>
    <t>P85</t>
    <phoneticPr fontId="8"/>
  </si>
  <si>
    <t>P101</t>
    <phoneticPr fontId="8"/>
  </si>
  <si>
    <t>P109</t>
    <phoneticPr fontId="8"/>
  </si>
  <si>
    <t>P117</t>
    <phoneticPr fontId="8"/>
  </si>
  <si>
    <t>P132</t>
    <phoneticPr fontId="8"/>
  </si>
  <si>
    <t>P141</t>
    <phoneticPr fontId="8"/>
  </si>
  <si>
    <t>※臨地実習の「授業科目名」は、入力不要です。</t>
    <phoneticPr fontId="8"/>
  </si>
  <si>
    <t>※臨地実習前評価１単位、生理検査学３単位以上を含む</t>
    <rPh sb="1" eb="3">
      <t>リンチ</t>
    </rPh>
    <rPh sb="3" eb="5">
      <t>ジッシュウ</t>
    </rPh>
    <rPh sb="5" eb="6">
      <t>マエ</t>
    </rPh>
    <rPh sb="6" eb="8">
      <t>ヒョウカ</t>
    </rPh>
    <rPh sb="9" eb="11">
      <t>タンイ</t>
    </rPh>
    <rPh sb="12" eb="14">
      <t>セイリ</t>
    </rPh>
    <rPh sb="14" eb="16">
      <t>ケンサ</t>
    </rPh>
    <rPh sb="16" eb="17">
      <t>ガク</t>
    </rPh>
    <rPh sb="18" eb="20">
      <t>タンイ</t>
    </rPh>
    <rPh sb="20" eb="22">
      <t>イジョウ</t>
    </rPh>
    <rPh sb="23" eb="24">
      <t>フク</t>
    </rPh>
    <phoneticPr fontId="8"/>
  </si>
  <si>
    <t>　計12単位</t>
    <phoneticPr fontId="8"/>
  </si>
  <si>
    <t>（臨地実習）臨地実習前評価  １単位、生理検査学 ３単位以上を含む</t>
    <rPh sb="1" eb="3">
      <t>リンチ</t>
    </rPh>
    <rPh sb="3" eb="5">
      <t>ジッシュウ</t>
    </rPh>
    <rPh sb="19" eb="21">
      <t>セイリ</t>
    </rPh>
    <rPh sb="21" eb="23">
      <t>ケンサ</t>
    </rPh>
    <rPh sb="23" eb="24">
      <t>ガク</t>
    </rPh>
    <rPh sb="26" eb="28">
      <t>タンイ</t>
    </rPh>
    <rPh sb="28" eb="30">
      <t>イジョウ</t>
    </rPh>
    <rPh sb="31" eb="32">
      <t>フク</t>
    </rPh>
    <phoneticPr fontId="8"/>
  </si>
  <si>
    <t>　　　　　　　　計 １２単位</t>
    <phoneticPr fontId="8"/>
  </si>
  <si>
    <t>◀ ０２判定</t>
    <rPh sb="4" eb="6">
      <t>ハンテイ</t>
    </rPh>
    <phoneticPr fontId="8"/>
  </si>
  <si>
    <t>◀ ０１判定</t>
    <rPh sb="4" eb="6">
      <t>ハンテイ</t>
    </rPh>
    <phoneticPr fontId="8"/>
  </si>
  <si>
    <t>▲ ０３判定</t>
    <phoneticPr fontId="8"/>
  </si>
  <si>
    <t>病態学（新告示第１条は薬理学及び病態薬理学を除く。）</t>
    <rPh sb="0" eb="2">
      <t>ビョウタイ</t>
    </rPh>
    <rPh sb="2" eb="3">
      <t>ガク</t>
    </rPh>
    <rPh sb="4" eb="5">
      <t>シン</t>
    </rPh>
    <rPh sb="5" eb="7">
      <t>コクジ</t>
    </rPh>
    <rPh sb="7" eb="8">
      <t>ダイ</t>
    </rPh>
    <rPh sb="9" eb="10">
      <t>ジョウ</t>
    </rPh>
    <rPh sb="11" eb="14">
      <t>ヤクリガク</t>
    </rPh>
    <rPh sb="14" eb="15">
      <t>オヨ</t>
    </rPh>
    <rPh sb="16" eb="18">
      <t>ビョウタイ</t>
    </rPh>
    <rPh sb="18" eb="21">
      <t>ヤクリガク</t>
    </rPh>
    <rPh sb="22" eb="23">
      <t>ノゾ</t>
    </rPh>
    <phoneticPr fontId="8"/>
  </si>
  <si>
    <t>血液検査学</t>
    <rPh sb="0" eb="2">
      <t>ケツエキ</t>
    </rPh>
    <rPh sb="2" eb="4">
      <t>ケンサ</t>
    </rPh>
    <rPh sb="4" eb="5">
      <t>ガク</t>
    </rPh>
    <phoneticPr fontId="8"/>
  </si>
  <si>
    <t>病理検査学</t>
    <rPh sb="0" eb="2">
      <t>ビョウリ</t>
    </rPh>
    <rPh sb="2" eb="4">
      <t>ケンサ</t>
    </rPh>
    <rPh sb="4" eb="5">
      <t>ガク</t>
    </rPh>
    <phoneticPr fontId="8"/>
  </si>
  <si>
    <t>尿・糞便等一般検査学</t>
    <rPh sb="0" eb="1">
      <t>ニョウ</t>
    </rPh>
    <rPh sb="2" eb="5">
      <t>フンベンナド</t>
    </rPh>
    <rPh sb="5" eb="7">
      <t>イッパン</t>
    </rPh>
    <rPh sb="7" eb="9">
      <t>ケンサ</t>
    </rPh>
    <rPh sb="9" eb="10">
      <t>ガク</t>
    </rPh>
    <phoneticPr fontId="8"/>
  </si>
  <si>
    <t>上記科目における
臨地実習</t>
    <phoneticPr fontId="8"/>
  </si>
  <si>
    <t>２　単位数の新旧対照表（様式４）</t>
    <rPh sb="8" eb="10">
      <t>タイショウ</t>
    </rPh>
    <phoneticPr fontId="8"/>
  </si>
  <si>
    <r>
      <rPr>
        <b/>
        <sz val="12"/>
        <color rgb="FFFF0000"/>
        <rFont val="ＭＳ ゴシック"/>
        <family val="3"/>
        <charset val="128"/>
      </rPr>
      <t>07</t>
    </r>
    <r>
      <rPr>
        <sz val="12"/>
        <rFont val="ＭＳ ゴシック"/>
        <family val="3"/>
        <charset val="128"/>
      </rPr>
      <t>（様式６）臨地実習確認表</t>
    </r>
    <rPh sb="7" eb="9">
      <t>リンチ</t>
    </rPh>
    <rPh sb="9" eb="11">
      <t>ジッシュウ</t>
    </rPh>
    <rPh sb="11" eb="14">
      <t>カクニンヒョウ</t>
    </rPh>
    <phoneticPr fontId="8"/>
  </si>
  <si>
    <t>４　臨地実習確認表（様式６）</t>
    <rPh sb="2" eb="6">
      <t>リンチジッシュウ</t>
    </rPh>
    <rPh sb="6" eb="9">
      <t>カクニンヒョウ</t>
    </rPh>
    <rPh sb="10" eb="12">
      <t>ヨウシキ</t>
    </rPh>
    <phoneticPr fontId="8"/>
  </si>
  <si>
    <r>
      <t>参考</t>
    </r>
    <r>
      <rPr>
        <sz val="10.5"/>
        <color rgb="FF000000"/>
        <rFont val="ＭＳ 明朝"/>
        <family val="1"/>
        <charset val="128"/>
      </rPr>
      <t>資料</t>
    </r>
    <phoneticPr fontId="8"/>
  </si>
  <si>
    <r>
      <t>　　変更後　　</t>
    </r>
    <r>
      <rPr>
        <b/>
        <sz val="14"/>
        <color rgb="FFFF0000"/>
        <rFont val="ＭＳ 明朝"/>
        <family val="1"/>
        <charset val="128"/>
      </rPr>
      <t>新規の場合も、下表に入力して下さい</t>
    </r>
    <rPh sb="2" eb="5">
      <t>ヘンコウゴ</t>
    </rPh>
    <rPh sb="7" eb="9">
      <t>シンキ</t>
    </rPh>
    <rPh sb="10" eb="12">
      <t>バアイ</t>
    </rPh>
    <rPh sb="14" eb="16">
      <t>カヒョウ</t>
    </rPh>
    <rPh sb="17" eb="19">
      <t>ニュウリョク</t>
    </rPh>
    <rPh sb="21" eb="22">
      <t>クダ</t>
    </rPh>
    <phoneticPr fontId="8"/>
  </si>
  <si>
    <r>
      <t xml:space="preserve">授業内容
（シラバス記載の授業計画
にある各講義タイトル）
</t>
    </r>
    <r>
      <rPr>
        <b/>
        <sz val="11"/>
        <color rgb="FFFF0000"/>
        <rFont val="ＭＳ 明朝"/>
        <family val="1"/>
        <charset val="128"/>
      </rPr>
      <t>※明示的にわかるタイトルとして記載</t>
    </r>
    <rPh sb="0" eb="2">
      <t>ジュギョウ</t>
    </rPh>
    <rPh sb="2" eb="4">
      <t>ナイヨウ</t>
    </rPh>
    <rPh sb="10" eb="12">
      <t>キサイ</t>
    </rPh>
    <rPh sb="13" eb="15">
      <t>ジュギョウ</t>
    </rPh>
    <rPh sb="15" eb="17">
      <t>ケイカク</t>
    </rPh>
    <rPh sb="21" eb="22">
      <t>カク</t>
    </rPh>
    <rPh sb="22" eb="24">
      <t>コウギ</t>
    </rPh>
    <rPh sb="31" eb="34">
      <t>メイジテキ</t>
    </rPh>
    <rPh sb="45" eb="47">
      <t>キサイ</t>
    </rPh>
    <phoneticPr fontId="8"/>
  </si>
  <si>
    <t>２　臓器別疾病の原因・症候と検査
　　診断学</t>
    <phoneticPr fontId="8"/>
  </si>
  <si>
    <t>（７）アレルギー性疾患・膠原病・
　　免疫病</t>
    <phoneticPr fontId="8"/>
  </si>
  <si>
    <t>（１）人体又は人体模型による各部分
　　の観察</t>
    <phoneticPr fontId="8"/>
  </si>
  <si>
    <t>（３）生理活性ヌクレオチド・ヌク
　　レオシド</t>
    <phoneticPr fontId="8"/>
  </si>
  <si>
    <t>（５）エイコサノイドとその他の脂質
　　メディエーター</t>
    <phoneticPr fontId="8"/>
  </si>
  <si>
    <t>３　生体内情報伝達機構とチャネル・
　　トランスポーター</t>
    <phoneticPr fontId="8"/>
  </si>
  <si>
    <t>（５）薬物療法の個別化－TDMと薬物
　　投与設計</t>
    <phoneticPr fontId="8"/>
  </si>
  <si>
    <t>（１）臨床検査の測定値に影響を
　　及ぼす薬物</t>
    <phoneticPr fontId="8"/>
  </si>
  <si>
    <t>（４）地域保健（地域包括ケアシス
　　テムを含む）</t>
    <phoneticPr fontId="8"/>
  </si>
  <si>
    <t>１　臨床検査で用いられる医用工学
　　の基礎と応用</t>
    <phoneticPr fontId="8"/>
  </si>
  <si>
    <t>２　生体検査に使用される医用電子
　　技術</t>
    <phoneticPr fontId="8"/>
  </si>
  <si>
    <t>３　医用電子機器による生体からの
　　情報収集</t>
    <phoneticPr fontId="8"/>
  </si>
  <si>
    <t>１　臨床検査で使用する共通機器の
　　原理・使用方法と注意事項</t>
    <phoneticPr fontId="8"/>
  </si>
  <si>
    <t>２　各種臨床検査で使用する機器の
　　原理・使用方法と注意事項</t>
    <phoneticPr fontId="8"/>
  </si>
  <si>
    <t>（13）ゲノム検査（遺伝子関連・
　　染色体検査を含む）</t>
    <phoneticPr fontId="8"/>
  </si>
  <si>
    <t xml:space="preserve">１　組織検査・細胞診検査の意義と
　　検査法 </t>
    <phoneticPr fontId="8"/>
  </si>
  <si>
    <t>（５）組織検査・細胞診検査の精度
　　管理</t>
    <phoneticPr fontId="8"/>
  </si>
  <si>
    <t>（２）臓器肉眼的観察・写真撮影と
　　記録</t>
    <phoneticPr fontId="8"/>
  </si>
  <si>
    <t>（４）組織標本作成法（凍結標本
　　含む）</t>
    <phoneticPr fontId="8"/>
  </si>
  <si>
    <t>（１）固定・切出し・脱灰・脱脂・
　　包埋・薄切（凍結標本含む）</t>
    <phoneticPr fontId="8"/>
  </si>
  <si>
    <t>（５）ゲノム検査（遺伝子・染色体
　　検査を含む）</t>
    <phoneticPr fontId="8"/>
  </si>
  <si>
    <t>（６）標本の観察と評価法（切出し
　　を含む）</t>
    <phoneticPr fontId="8"/>
  </si>
  <si>
    <t>２　各種寄生虫の生態・鑑別と疾患
　　との関係</t>
    <phoneticPr fontId="8"/>
  </si>
  <si>
    <t>１　生化学的検査の基礎と定量検査法
　　の原理</t>
    <phoneticPr fontId="8"/>
  </si>
  <si>
    <t>２　各種生体物質の測定法と臨床的
　　意義</t>
    <phoneticPr fontId="8"/>
  </si>
  <si>
    <t>（４）抗原・抗体（免疫グロブ
　　リン）・補体</t>
    <phoneticPr fontId="8"/>
  </si>
  <si>
    <t>（１）免疫検査の基礎技術（検体採取
　　と保存）</t>
    <phoneticPr fontId="8"/>
  </si>
  <si>
    <t>１　輸血療法・輸血検査と輸血用
　　血液製剤</t>
    <phoneticPr fontId="8"/>
  </si>
  <si>
    <t>（３）自動機器による輸血検査
　　（カラム凝集法を含む）</t>
    <phoneticPr fontId="8"/>
  </si>
  <si>
    <t>（３）細胞治療・造血幹細胞移植関連
　　検査</t>
    <phoneticPr fontId="8"/>
  </si>
  <si>
    <t>（２）赤血球血液型検査（ABO, RhD
　　血液型検査）</t>
    <phoneticPr fontId="8"/>
  </si>
  <si>
    <t>（８）単核球・リンパ球の分離・
　　調整法</t>
    <phoneticPr fontId="8"/>
  </si>
  <si>
    <t>（９）HLAタイピング検査（DNAタイ
　　ピング）</t>
    <phoneticPr fontId="8"/>
  </si>
  <si>
    <t>１　細菌の分類・病原性と同定検査・
　　薬剤感受性検査</t>
    <phoneticPr fontId="8"/>
  </si>
  <si>
    <t>（１）好気性、通性嫌気性グラム陽性
　　球菌</t>
    <phoneticPr fontId="8"/>
  </si>
  <si>
    <t>（６）好気性、通性嫌気性グラム陽性
　　桿菌</t>
    <phoneticPr fontId="8"/>
  </si>
  <si>
    <t>２　真菌の分類・病原性と同定検査・
　　薬剤感受性検査</t>
    <phoneticPr fontId="8"/>
  </si>
  <si>
    <t>１　生理学的検査の役割と測定意義・
　　安全対策・感染対策</t>
    <phoneticPr fontId="8"/>
  </si>
  <si>
    <t>（４）外来、病棟、手術室など医療
　　現場における多様なニーズ</t>
    <phoneticPr fontId="8"/>
  </si>
  <si>
    <t>（６）安全対策・感染対策・患者急変
　　時の対応</t>
    <phoneticPr fontId="8"/>
  </si>
  <si>
    <t>（７）手術室などでの生体情報モニタ
　　リング</t>
    <phoneticPr fontId="8"/>
  </si>
  <si>
    <t>２　臨床検査技師の職業倫理と守秘
　　義務</t>
    <phoneticPr fontId="8"/>
  </si>
  <si>
    <t>（３）臨床検査部門の機器管理と物品
　　管理</t>
    <phoneticPr fontId="8"/>
  </si>
  <si>
    <t>（４）臨床検査部門の人事管理と安全
　　管理</t>
    <phoneticPr fontId="8"/>
  </si>
  <si>
    <t>（２）衛生検査所(検診センター)の
　　役割と業務</t>
    <phoneticPr fontId="8"/>
  </si>
  <si>
    <t>１　医療倫理・医療安全と患者急変時
　　の対応</t>
    <phoneticPr fontId="8"/>
  </si>
  <si>
    <t>Ⅰ養成施設において臨地実習前の技能
　修得到達度評価</t>
    <phoneticPr fontId="8"/>
  </si>
  <si>
    <t>（２）末梢血塗抹標本の観察（白血球
　　分画）</t>
    <rPh sb="3" eb="6">
      <t>マッショウケツ</t>
    </rPh>
    <rPh sb="6" eb="8">
      <t>トマツ</t>
    </rPh>
    <rPh sb="8" eb="10">
      <t>ヒョウホン</t>
    </rPh>
    <rPh sb="11" eb="13">
      <t>カンサツ</t>
    </rPh>
    <rPh sb="14" eb="17">
      <t>ハッケッキュウ</t>
    </rPh>
    <rPh sb="20" eb="22">
      <t>ブンカク</t>
    </rPh>
    <phoneticPr fontId="8"/>
  </si>
  <si>
    <t>Ⅱ　臨地実習において学生に実施
　　させるべき行為等</t>
    <phoneticPr fontId="8"/>
  </si>
  <si>
    <t>（２）見学：ホルター心電図検査の
　　ための検査器具装着</t>
    <phoneticPr fontId="8"/>
  </si>
  <si>
    <t>（２）肺機能検査（スパイロメト
　　リー）</t>
    <rPh sb="3" eb="4">
      <t>ハイ</t>
    </rPh>
    <rPh sb="4" eb="6">
      <t>キノウ</t>
    </rPh>
    <rPh sb="6" eb="8">
      <t>ケンサ</t>
    </rPh>
    <phoneticPr fontId="8"/>
  </si>
  <si>
    <t>（４）肺機能検査（スパイロメト
　　リー）</t>
    <phoneticPr fontId="8"/>
  </si>
  <si>
    <t>（５）見学：肺機能検査（スパイロ
　　メトリーを除く）</t>
    <rPh sb="3" eb="5">
      <t>ケンガク</t>
    </rPh>
    <phoneticPr fontId="8"/>
  </si>
  <si>
    <t>（７）見学：超音波検査（心臓、
　　腹部）</t>
    <phoneticPr fontId="8"/>
  </si>
  <si>
    <t>（11）見学：臓器切り出しと臓器写真
　　撮影</t>
    <rPh sb="4" eb="6">
      <t>ケンガク</t>
    </rPh>
    <phoneticPr fontId="8"/>
  </si>
  <si>
    <t>（17）見学：精度管理（免疫学的
　　検査、血液学的検査、病理学的
　　検査、生化学的検査、尿・糞便等
　　一般検査、輸血・移植検査）</t>
    <phoneticPr fontId="8"/>
  </si>
  <si>
    <t>（18）見学：メンテナンス作業（免疫
　　学的検査、血液学的検査、生化学
　　的検査、尿・糞便等一般検査）</t>
    <phoneticPr fontId="8"/>
  </si>
  <si>
    <t>（１）見学：検査前の患者への説明
　　（検査手順を含む。）</t>
    <rPh sb="3" eb="5">
      <t>ケンガク</t>
    </rPh>
    <rPh sb="6" eb="8">
      <t>ケンサ</t>
    </rPh>
    <rPh sb="8" eb="9">
      <t>マエ</t>
    </rPh>
    <rPh sb="10" eb="12">
      <t>カンジャ</t>
    </rPh>
    <rPh sb="14" eb="16">
      <t>セツメイ</t>
    </rPh>
    <rPh sb="20" eb="22">
      <t>ケンサ</t>
    </rPh>
    <rPh sb="22" eb="24">
      <t>テジュン</t>
    </rPh>
    <rPh sb="25" eb="26">
      <t>フク</t>
    </rPh>
    <phoneticPr fontId="8"/>
  </si>
  <si>
    <t>（２）見学：チーム医療（栄養サポー
　　ト、感染制御、糖尿病療養指導）</t>
    <rPh sb="3" eb="5">
      <t>ケンガク</t>
    </rPh>
    <phoneticPr fontId="8"/>
  </si>
  <si>
    <t>（４）その他採血室業務（採血行為
　　を除く）</t>
    <phoneticPr fontId="8"/>
  </si>
  <si>
    <t>実施させる行為</t>
    <rPh sb="0" eb="2">
      <t>ジッシ</t>
    </rPh>
    <rPh sb="5" eb="7">
      <t>コウイ</t>
    </rPh>
    <phoneticPr fontId="8"/>
  </si>
  <si>
    <t>シラバス
記載ページ</t>
    <rPh sb="5" eb="7">
      <t>キサイ</t>
    </rPh>
    <phoneticPr fontId="8"/>
  </si>
  <si>
    <t>チェック
欄</t>
    <rPh sb="5" eb="6">
      <t>ラン</t>
    </rPh>
    <phoneticPr fontId="8"/>
  </si>
  <si>
    <t>分類</t>
    <rPh sb="0" eb="2">
      <t>ブンルイ</t>
    </rPh>
    <phoneticPr fontId="8"/>
  </si>
  <si>
    <t>生理学的検査</t>
    <rPh sb="0" eb="4">
      <t>セイリガクテキ</t>
    </rPh>
    <rPh sb="4" eb="6">
      <t>ケンサ</t>
    </rPh>
    <phoneticPr fontId="8"/>
  </si>
  <si>
    <t>標準12誘導心電図検査</t>
    <rPh sb="0" eb="2">
      <t>ヒョウジュン</t>
    </rPh>
    <rPh sb="4" eb="6">
      <t>ユウドウ</t>
    </rPh>
    <rPh sb="6" eb="9">
      <t>シンデンズ</t>
    </rPh>
    <rPh sb="9" eb="11">
      <t>ケンサ</t>
    </rPh>
    <phoneticPr fontId="8"/>
  </si>
  <si>
    <t>肺機能検査（スパイロメトリー）</t>
    <rPh sb="0" eb="1">
      <t>ハイ</t>
    </rPh>
    <rPh sb="1" eb="3">
      <t>キノウ</t>
    </rPh>
    <rPh sb="3" eb="5">
      <t>ケンサ</t>
    </rPh>
    <phoneticPr fontId="8"/>
  </si>
  <si>
    <t>検体検査</t>
    <rPh sb="0" eb="2">
      <t>ケンタイ</t>
    </rPh>
    <rPh sb="2" eb="4">
      <t>ケンサ</t>
    </rPh>
    <phoneticPr fontId="8"/>
  </si>
  <si>
    <t>血球計数検査</t>
    <rPh sb="0" eb="2">
      <t>ケッキュウ</t>
    </rPh>
    <rPh sb="2" eb="4">
      <t>ケイスウ</t>
    </rPh>
    <rPh sb="4" eb="6">
      <t>ケンサ</t>
    </rPh>
    <phoneticPr fontId="8"/>
  </si>
  <si>
    <t>血液塗抹標本作成と鏡検</t>
    <rPh sb="0" eb="2">
      <t>ケツエキ</t>
    </rPh>
    <rPh sb="2" eb="4">
      <t>トマツ</t>
    </rPh>
    <rPh sb="4" eb="6">
      <t>ヒョウホン</t>
    </rPh>
    <rPh sb="6" eb="8">
      <t>サクセイ</t>
    </rPh>
    <rPh sb="9" eb="10">
      <t>カガミ</t>
    </rPh>
    <rPh sb="10" eb="11">
      <t>ケン</t>
    </rPh>
    <phoneticPr fontId="8"/>
  </si>
  <si>
    <t>尿定性検査</t>
    <rPh sb="0" eb="1">
      <t>ニョウ</t>
    </rPh>
    <rPh sb="1" eb="3">
      <t>テイセイ</t>
    </rPh>
    <rPh sb="3" eb="5">
      <t>ケンサ</t>
    </rPh>
    <phoneticPr fontId="8"/>
  </si>
  <si>
    <t>血液型検査</t>
    <rPh sb="0" eb="3">
      <t>ケツエキガタ</t>
    </rPh>
    <rPh sb="3" eb="5">
      <t>ケンサ</t>
    </rPh>
    <phoneticPr fontId="8"/>
  </si>
  <si>
    <t>培養・Gram染色検査</t>
    <rPh sb="0" eb="2">
      <t>バイヨウ</t>
    </rPh>
    <rPh sb="7" eb="9">
      <t>センショク</t>
    </rPh>
    <rPh sb="9" eb="11">
      <t>ケンサ</t>
    </rPh>
    <phoneticPr fontId="8"/>
  </si>
  <si>
    <t>見学させる行為</t>
    <rPh sb="0" eb="2">
      <t>ケンガク</t>
    </rPh>
    <rPh sb="5" eb="7">
      <t>コウイ</t>
    </rPh>
    <phoneticPr fontId="8"/>
  </si>
  <si>
    <t>ホルター心電図検査のための検査器具装着</t>
    <rPh sb="4" eb="7">
      <t>シンデンズ</t>
    </rPh>
    <rPh sb="7" eb="9">
      <t>ケンサ</t>
    </rPh>
    <rPh sb="13" eb="15">
      <t>ケンサ</t>
    </rPh>
    <rPh sb="15" eb="17">
      <t>キグ</t>
    </rPh>
    <rPh sb="17" eb="19">
      <t>ソウチャク</t>
    </rPh>
    <phoneticPr fontId="8"/>
  </si>
  <si>
    <t>肺機能検査（スパイロメトリーを除く）</t>
    <rPh sb="0" eb="1">
      <t>ハイ</t>
    </rPh>
    <rPh sb="1" eb="3">
      <t>キノウ</t>
    </rPh>
    <rPh sb="3" eb="5">
      <t>ケンサ</t>
    </rPh>
    <rPh sb="15" eb="16">
      <t>ノゾ</t>
    </rPh>
    <phoneticPr fontId="8"/>
  </si>
  <si>
    <t>脳波検査</t>
    <rPh sb="0" eb="2">
      <t>ノウハ</t>
    </rPh>
    <rPh sb="2" eb="4">
      <t>ケンサ</t>
    </rPh>
    <phoneticPr fontId="8"/>
  </si>
  <si>
    <t>負荷心電図検査</t>
    <rPh sb="0" eb="2">
      <t>フカ</t>
    </rPh>
    <rPh sb="2" eb="5">
      <t>シンデンズ</t>
    </rPh>
    <rPh sb="5" eb="7">
      <t>ケンサ</t>
    </rPh>
    <phoneticPr fontId="8"/>
  </si>
  <si>
    <t>超音波検査（心臓、腹部）</t>
    <rPh sb="0" eb="3">
      <t>チョウオンパ</t>
    </rPh>
    <rPh sb="3" eb="5">
      <t>ケンサ</t>
    </rPh>
    <rPh sb="6" eb="8">
      <t>シンゾウ</t>
    </rPh>
    <rPh sb="9" eb="11">
      <t>フクブ</t>
    </rPh>
    <phoneticPr fontId="8"/>
  </si>
  <si>
    <t>足関節上腕血圧比（ABI）検査</t>
    <rPh sb="0" eb="1">
      <t>アシ</t>
    </rPh>
    <rPh sb="1" eb="3">
      <t>カンセツ</t>
    </rPh>
    <rPh sb="3" eb="5">
      <t>ジョウワン</t>
    </rPh>
    <rPh sb="5" eb="7">
      <t>ケツアツ</t>
    </rPh>
    <rPh sb="7" eb="8">
      <t>ヒ</t>
    </rPh>
    <rPh sb="13" eb="15">
      <t>ケンサ</t>
    </rPh>
    <phoneticPr fontId="8"/>
  </si>
  <si>
    <t>精度管理（血液学的検査）</t>
    <rPh sb="0" eb="2">
      <t>セイド</t>
    </rPh>
    <rPh sb="2" eb="4">
      <t>カンリ</t>
    </rPh>
    <rPh sb="5" eb="7">
      <t>ケツエキ</t>
    </rPh>
    <rPh sb="7" eb="9">
      <t>ガクテキ</t>
    </rPh>
    <rPh sb="9" eb="11">
      <t>ケンサ</t>
    </rPh>
    <phoneticPr fontId="8"/>
  </si>
  <si>
    <t>精度管理（病理学的検査）</t>
    <rPh sb="0" eb="2">
      <t>セイド</t>
    </rPh>
    <rPh sb="2" eb="4">
      <t>カンリ</t>
    </rPh>
    <rPh sb="5" eb="7">
      <t>ビョウリ</t>
    </rPh>
    <rPh sb="7" eb="9">
      <t>ガクテキ</t>
    </rPh>
    <rPh sb="9" eb="11">
      <t>ケンサ</t>
    </rPh>
    <phoneticPr fontId="8"/>
  </si>
  <si>
    <t>精度管理（免疫学的検査）</t>
    <rPh sb="0" eb="2">
      <t>セイド</t>
    </rPh>
    <rPh sb="2" eb="4">
      <t>カンリ</t>
    </rPh>
    <rPh sb="5" eb="9">
      <t>メンエキガクテキ</t>
    </rPh>
    <rPh sb="9" eb="11">
      <t>ケンサ</t>
    </rPh>
    <phoneticPr fontId="8"/>
  </si>
  <si>
    <t>精度管理（生化学的検査）</t>
    <rPh sb="0" eb="2">
      <t>セイド</t>
    </rPh>
    <rPh sb="2" eb="4">
      <t>カンリ</t>
    </rPh>
    <rPh sb="5" eb="9">
      <t>セイカガクテキ</t>
    </rPh>
    <rPh sb="9" eb="11">
      <t>ケンサ</t>
    </rPh>
    <phoneticPr fontId="8"/>
  </si>
  <si>
    <t>精度管理（尿・糞便等一般検査）</t>
    <rPh sb="0" eb="2">
      <t>セイド</t>
    </rPh>
    <rPh sb="2" eb="4">
      <t>カンリ</t>
    </rPh>
    <rPh sb="5" eb="6">
      <t>ニョウ</t>
    </rPh>
    <rPh sb="7" eb="9">
      <t>フンベン</t>
    </rPh>
    <rPh sb="9" eb="10">
      <t>トウ</t>
    </rPh>
    <rPh sb="10" eb="12">
      <t>イッパン</t>
    </rPh>
    <rPh sb="12" eb="14">
      <t>ケンサ</t>
    </rPh>
    <phoneticPr fontId="8"/>
  </si>
  <si>
    <t>精度管理（輸血・移植検査）</t>
    <rPh sb="0" eb="2">
      <t>セイド</t>
    </rPh>
    <rPh sb="2" eb="4">
      <t>カンリ</t>
    </rPh>
    <rPh sb="5" eb="7">
      <t>ユケツ</t>
    </rPh>
    <rPh sb="8" eb="10">
      <t>イショク</t>
    </rPh>
    <rPh sb="10" eb="12">
      <t>ケンサ</t>
    </rPh>
    <phoneticPr fontId="8"/>
  </si>
  <si>
    <t>メンテナンス作業（免疫学的検査）</t>
    <rPh sb="6" eb="8">
      <t>サギョウ</t>
    </rPh>
    <rPh sb="9" eb="12">
      <t>メンエキガク</t>
    </rPh>
    <rPh sb="12" eb="13">
      <t>テキ</t>
    </rPh>
    <rPh sb="13" eb="15">
      <t>ケンサ</t>
    </rPh>
    <phoneticPr fontId="8"/>
  </si>
  <si>
    <t>メンテナンス作業（血液学的検査）</t>
    <rPh sb="6" eb="8">
      <t>サギョウ</t>
    </rPh>
    <rPh sb="9" eb="15">
      <t>ケツエキガクテキケンサ</t>
    </rPh>
    <phoneticPr fontId="8"/>
  </si>
  <si>
    <t>メンテナンス作業（生化学的検査）</t>
    <rPh sb="6" eb="8">
      <t>サギョウ</t>
    </rPh>
    <rPh sb="9" eb="13">
      <t>セイカガクテキ</t>
    </rPh>
    <rPh sb="13" eb="15">
      <t>ケンサ</t>
    </rPh>
    <phoneticPr fontId="8"/>
  </si>
  <si>
    <t>メンテナンス作業（尿・糞便等一般検査）</t>
    <rPh sb="6" eb="8">
      <t>サギョウ</t>
    </rPh>
    <rPh sb="9" eb="10">
      <t>ニョウ</t>
    </rPh>
    <rPh sb="11" eb="13">
      <t>フンベン</t>
    </rPh>
    <rPh sb="13" eb="14">
      <t>トウ</t>
    </rPh>
    <rPh sb="14" eb="18">
      <t>イッパンケンサ</t>
    </rPh>
    <phoneticPr fontId="8"/>
  </si>
  <si>
    <t>臓器切り出しと臓器写真撮影</t>
    <rPh sb="0" eb="2">
      <t>ゾウキ</t>
    </rPh>
    <rPh sb="2" eb="3">
      <t>キ</t>
    </rPh>
    <rPh sb="4" eb="5">
      <t>ダ</t>
    </rPh>
    <rPh sb="7" eb="9">
      <t>ゾウキ</t>
    </rPh>
    <rPh sb="9" eb="11">
      <t>シャシン</t>
    </rPh>
    <rPh sb="11" eb="13">
      <t>サツエイ</t>
    </rPh>
    <phoneticPr fontId="8"/>
  </si>
  <si>
    <t>迅速標本作成から報告</t>
    <rPh sb="0" eb="2">
      <t>ジンソク</t>
    </rPh>
    <rPh sb="2" eb="4">
      <t>ヒョウホン</t>
    </rPh>
    <rPh sb="4" eb="6">
      <t>サクセイ</t>
    </rPh>
    <rPh sb="8" eb="10">
      <t>ホウコク</t>
    </rPh>
    <phoneticPr fontId="8"/>
  </si>
  <si>
    <t>検査前の患者への説明（検査手順を含む）</t>
    <rPh sb="0" eb="2">
      <t>ケンサ</t>
    </rPh>
    <rPh sb="2" eb="3">
      <t>マエ</t>
    </rPh>
    <rPh sb="4" eb="6">
      <t>カンジャ</t>
    </rPh>
    <rPh sb="8" eb="10">
      <t>セツメイ</t>
    </rPh>
    <rPh sb="11" eb="13">
      <t>ケンサ</t>
    </rPh>
    <rPh sb="13" eb="15">
      <t>テジュン</t>
    </rPh>
    <rPh sb="16" eb="17">
      <t>フク</t>
    </rPh>
    <phoneticPr fontId="8"/>
  </si>
  <si>
    <t>チーム医療（NST、ICT、糖尿病療養指導）</t>
    <rPh sb="3" eb="5">
      <t>イリョウ</t>
    </rPh>
    <rPh sb="14" eb="17">
      <t>トウニョウビョウ</t>
    </rPh>
    <rPh sb="17" eb="19">
      <t>リョウヨウ</t>
    </rPh>
    <rPh sb="19" eb="21">
      <t>シドウ</t>
    </rPh>
    <phoneticPr fontId="8"/>
  </si>
  <si>
    <t>検体採取</t>
    <rPh sb="0" eb="4">
      <t>ケンタイサイシュ</t>
    </rPh>
    <phoneticPr fontId="8"/>
  </si>
  <si>
    <t>消化管内視鏡検査</t>
    <rPh sb="0" eb="3">
      <t>ショウカカン</t>
    </rPh>
    <rPh sb="3" eb="6">
      <t>ナイシキョウ</t>
    </rPh>
    <rPh sb="6" eb="8">
      <t>ケンサ</t>
    </rPh>
    <phoneticPr fontId="8"/>
  </si>
  <si>
    <t>D列</t>
    <rPh sb="1" eb="2">
      <t>レツ</t>
    </rPh>
    <phoneticPr fontId="8"/>
  </si>
  <si>
    <t>I列</t>
    <rPh sb="1" eb="2">
      <t>レツ</t>
    </rPh>
    <phoneticPr fontId="8"/>
  </si>
  <si>
    <t>E列</t>
    <rPh sb="1" eb="2">
      <t>レツ</t>
    </rPh>
    <phoneticPr fontId="7"/>
  </si>
  <si>
    <t>F列</t>
    <rPh sb="1" eb="2">
      <t>レツ</t>
    </rPh>
    <phoneticPr fontId="7"/>
  </si>
  <si>
    <t>１　疾病の原因・症候と検査診断学</t>
    <phoneticPr fontId="8"/>
  </si>
  <si>
    <t>（５）救急医療</t>
    <phoneticPr fontId="8"/>
  </si>
  <si>
    <t>（11）精神・神経疾患(認知症を含む)</t>
    <phoneticPr fontId="8"/>
  </si>
  <si>
    <t>３　臨地実習＊</t>
    <phoneticPr fontId="8"/>
  </si>
  <si>
    <t>Ⅱ　解剖学</t>
    <phoneticPr fontId="8"/>
  </si>
  <si>
    <t>Ⅲ　生理学</t>
    <phoneticPr fontId="8"/>
  </si>
  <si>
    <t>Ⅳ　生化学</t>
    <phoneticPr fontId="8"/>
  </si>
  <si>
    <t>Ⅴ　栄養学</t>
    <phoneticPr fontId="8"/>
  </si>
  <si>
    <t>Ⅵ　薬理学</t>
    <phoneticPr fontId="8"/>
  </si>
  <si>
    <t>Ⅶ　病理学</t>
    <phoneticPr fontId="8"/>
  </si>
  <si>
    <t>Ⅷ　微生物学</t>
    <phoneticPr fontId="8"/>
  </si>
  <si>
    <t>Ⅸ　臨床栄養学</t>
    <phoneticPr fontId="8"/>
  </si>
  <si>
    <t>（１）栄養サポートチーム</t>
    <phoneticPr fontId="8"/>
  </si>
  <si>
    <t>Ⅹ　病態薬理学</t>
    <phoneticPr fontId="8"/>
  </si>
  <si>
    <t>Ⅺ　認知症の検査</t>
    <phoneticPr fontId="8"/>
  </si>
  <si>
    <t>Ⅰ　公衆衛生学</t>
    <phoneticPr fontId="8"/>
  </si>
  <si>
    <t>１　公衆衛生の意義</t>
    <phoneticPr fontId="8"/>
  </si>
  <si>
    <t>２　人口統計と健康水準</t>
    <phoneticPr fontId="8"/>
  </si>
  <si>
    <t>３　疫学と疫学的分析法</t>
    <phoneticPr fontId="8"/>
  </si>
  <si>
    <t>４　環境と健康</t>
    <phoneticPr fontId="8"/>
  </si>
  <si>
    <t>５　健康の保持増進と予防医学</t>
    <phoneticPr fontId="8"/>
  </si>
  <si>
    <t>６　衛生行政</t>
    <phoneticPr fontId="8"/>
  </si>
  <si>
    <t>（３）多職種連携とチーム医療　</t>
    <phoneticPr fontId="8"/>
  </si>
  <si>
    <t>７　国際保健</t>
    <phoneticPr fontId="8"/>
  </si>
  <si>
    <t>８　関係法規</t>
    <phoneticPr fontId="8"/>
  </si>
  <si>
    <t>Ⅱ　医学概論</t>
    <phoneticPr fontId="8"/>
  </si>
  <si>
    <t>Ⅰ　医用工学概論</t>
    <phoneticPr fontId="8"/>
  </si>
  <si>
    <t>４　医用電子機器使用時の安全対策</t>
    <phoneticPr fontId="8"/>
  </si>
  <si>
    <t>５　学内実習</t>
    <phoneticPr fontId="8"/>
  </si>
  <si>
    <t>Ⅱ　検査機器総論</t>
    <phoneticPr fontId="8"/>
  </si>
  <si>
    <t>Ⅲ　情報科学概論</t>
    <phoneticPr fontId="8"/>
  </si>
  <si>
    <t>１　情報の概念と情報収集・処理</t>
    <phoneticPr fontId="8"/>
  </si>
  <si>
    <t xml:space="preserve">２　医療・臨床検査と情報システム </t>
    <phoneticPr fontId="8"/>
  </si>
  <si>
    <t>３　コンピュータネットワーク</t>
    <phoneticPr fontId="8"/>
  </si>
  <si>
    <t>４　医療情報倫理と医療情報危機管理</t>
    <phoneticPr fontId="8"/>
  </si>
  <si>
    <t>１　血液の成分と機能</t>
    <phoneticPr fontId="8"/>
  </si>
  <si>
    <t>２　血液疾患と血液検査</t>
    <phoneticPr fontId="8"/>
  </si>
  <si>
    <t>（９）血液疾患と遺伝子・染色体検査</t>
    <phoneticPr fontId="8"/>
  </si>
  <si>
    <t>３　学内実習</t>
    <phoneticPr fontId="8"/>
  </si>
  <si>
    <t>４　臨地実習＊</t>
    <phoneticPr fontId="8"/>
  </si>
  <si>
    <t>２　組織検査法　</t>
    <phoneticPr fontId="8"/>
  </si>
  <si>
    <t>３　細胞診検査法　</t>
    <phoneticPr fontId="8"/>
  </si>
  <si>
    <t>４　学内実習(組織検査)</t>
    <phoneticPr fontId="8"/>
  </si>
  <si>
    <t>５　学内実習(細胞診検査)</t>
    <phoneticPr fontId="8"/>
  </si>
  <si>
    <t>１　尿検査</t>
    <phoneticPr fontId="8"/>
  </si>
  <si>
    <t>２　脳脊髄液検査</t>
    <phoneticPr fontId="8"/>
  </si>
  <si>
    <t>３　糞便検査</t>
    <phoneticPr fontId="8"/>
  </si>
  <si>
    <t>４　その他の一般検査</t>
    <phoneticPr fontId="8"/>
  </si>
  <si>
    <t>（６）検査結果の解析と評価</t>
    <phoneticPr fontId="8"/>
  </si>
  <si>
    <t>Ⅱ　寄生虫学</t>
    <phoneticPr fontId="8"/>
  </si>
  <si>
    <t>１　寄生虫の分類と疾患との関係</t>
    <phoneticPr fontId="8"/>
  </si>
  <si>
    <t>３　寄生虫検査法</t>
    <phoneticPr fontId="8"/>
  </si>
  <si>
    <t>４　学内実習</t>
    <phoneticPr fontId="8"/>
  </si>
  <si>
    <t>（７）検査結果の解析と評価</t>
    <phoneticPr fontId="8"/>
  </si>
  <si>
    <t>５　臨地実習＊</t>
    <phoneticPr fontId="8"/>
  </si>
  <si>
    <t>Ⅰ　生化学的検査</t>
    <phoneticPr fontId="8"/>
  </si>
  <si>
    <t>３　各種臓器機能検査法と臨床的意義</t>
    <phoneticPr fontId="8"/>
  </si>
  <si>
    <t>（９）検査結果の解析と評価</t>
    <phoneticPr fontId="8"/>
  </si>
  <si>
    <t>Ⅱ　放射性同位元素検査技術学</t>
    <phoneticPr fontId="8"/>
  </si>
  <si>
    <t>１　放射性同位元素を用いた臨床検査</t>
    <phoneticPr fontId="8"/>
  </si>
  <si>
    <t>１　免疫の仕組みと生体防御</t>
    <phoneticPr fontId="8"/>
  </si>
  <si>
    <t>2　免疫と疾患の関わり</t>
    <phoneticPr fontId="8"/>
  </si>
  <si>
    <t>３　免疫学的検査法</t>
    <phoneticPr fontId="8"/>
  </si>
  <si>
    <t>１　ゲノムの基礎</t>
    <phoneticPr fontId="8"/>
  </si>
  <si>
    <t>２　染色体の基礎</t>
    <phoneticPr fontId="8"/>
  </si>
  <si>
    <t>３　遺伝子検査法</t>
    <phoneticPr fontId="8"/>
  </si>
  <si>
    <t>４　染色体検査法</t>
    <phoneticPr fontId="8"/>
  </si>
  <si>
    <t>２　輸血検査法</t>
    <phoneticPr fontId="8"/>
  </si>
  <si>
    <t>３　母児免疫と検査</t>
    <phoneticPr fontId="8"/>
  </si>
  <si>
    <t>４　臓器・細胞移植医療と免疫反応</t>
    <phoneticPr fontId="8"/>
  </si>
  <si>
    <t>５　臓器・細胞移植関連検査</t>
    <phoneticPr fontId="8"/>
  </si>
  <si>
    <t>６　学内実習</t>
    <phoneticPr fontId="8"/>
  </si>
  <si>
    <t>（12）検査結果の解析と評価</t>
    <phoneticPr fontId="8"/>
  </si>
  <si>
    <t>７　臨地実習＊</t>
    <phoneticPr fontId="8"/>
  </si>
  <si>
    <t>３　ウイルスの分類・病原性と検査法</t>
    <phoneticPr fontId="8"/>
  </si>
  <si>
    <t>（３）患者の心理と対応</t>
    <phoneticPr fontId="8"/>
  </si>
  <si>
    <t>２　循環器系の検査</t>
    <phoneticPr fontId="8"/>
  </si>
  <si>
    <t>３　神経・筋系の検査</t>
    <phoneticPr fontId="8"/>
  </si>
  <si>
    <t>４　呼吸器系の検査</t>
    <phoneticPr fontId="8"/>
  </si>
  <si>
    <t>６　聴力検査・味覚検査・嗅覚検査</t>
    <phoneticPr fontId="8"/>
  </si>
  <si>
    <t>７　睡眠時無呼吸症候群検査</t>
    <phoneticPr fontId="8"/>
  </si>
  <si>
    <t>１　臨床検査技師の役割と使命</t>
    <phoneticPr fontId="8"/>
  </si>
  <si>
    <t>（１）臨床検査の実施と職業倫理</t>
    <phoneticPr fontId="8"/>
  </si>
  <si>
    <t>３　臨床検査部門の業務と各種管理</t>
    <phoneticPr fontId="8"/>
  </si>
  <si>
    <t>（１）検査体制と業務内容</t>
    <phoneticPr fontId="8"/>
  </si>
  <si>
    <t>（２）臨床検査部門の組織と運営</t>
    <phoneticPr fontId="8"/>
  </si>
  <si>
    <t>（５）臨床検査部門の情報管理</t>
    <phoneticPr fontId="8"/>
  </si>
  <si>
    <t>（６）臨床検査部門の財務管理</t>
    <phoneticPr fontId="8"/>
  </si>
  <si>
    <t xml:space="preserve">４　検体の取扱いと保存 </t>
    <phoneticPr fontId="8"/>
  </si>
  <si>
    <t>５　検査の受付と報告</t>
    <phoneticPr fontId="8"/>
  </si>
  <si>
    <t>６　臨床検査の精度管理と品質保証</t>
    <phoneticPr fontId="8"/>
  </si>
  <si>
    <t>（１）精度管理</t>
    <phoneticPr fontId="8"/>
  </si>
  <si>
    <t>（６）品質保証</t>
    <phoneticPr fontId="8"/>
  </si>
  <si>
    <t>７　予防医学と衛生検査所</t>
    <phoneticPr fontId="8"/>
  </si>
  <si>
    <t>（１）予防医学と健康診断</t>
    <phoneticPr fontId="8"/>
  </si>
  <si>
    <t>８　信頼性評価と認証制度</t>
    <phoneticPr fontId="8"/>
  </si>
  <si>
    <t>（１）技術評価</t>
    <phoneticPr fontId="8"/>
  </si>
  <si>
    <t>（２）検査結果の評価</t>
    <phoneticPr fontId="8"/>
  </si>
  <si>
    <t>（３）外部評価と認証制度</t>
    <phoneticPr fontId="8"/>
  </si>
  <si>
    <t>９　臨地実習＊</t>
    <phoneticPr fontId="8"/>
  </si>
  <si>
    <t>（１）医療倫理</t>
    <phoneticPr fontId="8"/>
  </si>
  <si>
    <t>（２）医療安全</t>
    <phoneticPr fontId="8"/>
  </si>
  <si>
    <t>（３）感染管理</t>
    <phoneticPr fontId="8"/>
  </si>
  <si>
    <t>（４）合併症と医療事故</t>
    <phoneticPr fontId="8"/>
  </si>
  <si>
    <t>（５）患者急変時の対応</t>
    <phoneticPr fontId="8"/>
  </si>
  <si>
    <t xml:space="preserve">２　各種採血法と注意事項・安全管理 </t>
    <phoneticPr fontId="8"/>
  </si>
  <si>
    <t>（１）採血時の安全管理</t>
    <phoneticPr fontId="8"/>
  </si>
  <si>
    <t xml:space="preserve">（４）採血に際しての注意事項 </t>
    <phoneticPr fontId="8"/>
  </si>
  <si>
    <t>（１）採血</t>
    <phoneticPr fontId="8"/>
  </si>
  <si>
    <t>（２）皮膚表在組織病変部からの検体
　　採取</t>
    <phoneticPr fontId="8"/>
  </si>
  <si>
    <t>（３）鼻腔拭い液の採取</t>
    <phoneticPr fontId="8"/>
  </si>
  <si>
    <t>（４）咽頭拭い液の採取</t>
    <phoneticPr fontId="8"/>
  </si>
  <si>
    <t>（５）鼻腔吸引液の採取</t>
    <phoneticPr fontId="8"/>
  </si>
  <si>
    <t>単位数の計算方法について</t>
    <rPh sb="0" eb="3">
      <t>タンイスウ</t>
    </rPh>
    <rPh sb="4" eb="6">
      <t>ケイサン</t>
    </rPh>
    <rPh sb="6" eb="8">
      <t>ホウホウ</t>
    </rPh>
    <phoneticPr fontId="8"/>
  </si>
  <si>
    <t>１単位の授業科目を45時間の学修を必要とする内容をもって構成することを標準とし、授業の方法に応じ、当該授業による教育効果、授業時間外に必要な学修等を考慮して、１単位の授業時間数は、講義及び演習については15時間から30時間、実験、実習及び実技については30時間から45時間の範囲で定めること。</t>
    <rPh sb="1" eb="3">
      <t>タンイ</t>
    </rPh>
    <rPh sb="4" eb="6">
      <t>ジュギョウ</t>
    </rPh>
    <rPh sb="6" eb="8">
      <t>カモク</t>
    </rPh>
    <rPh sb="11" eb="13">
      <t>ジカン</t>
    </rPh>
    <rPh sb="14" eb="16">
      <t>ガクシュウ</t>
    </rPh>
    <rPh sb="17" eb="19">
      <t>ヒツヨウ</t>
    </rPh>
    <rPh sb="22" eb="24">
      <t>ナイヨウ</t>
    </rPh>
    <rPh sb="28" eb="30">
      <t>コウセイ</t>
    </rPh>
    <rPh sb="35" eb="37">
      <t>ヒョウジュン</t>
    </rPh>
    <rPh sb="40" eb="42">
      <t>ジュギョウ</t>
    </rPh>
    <rPh sb="43" eb="45">
      <t>ホウホウ</t>
    </rPh>
    <rPh sb="46" eb="47">
      <t>オウ</t>
    </rPh>
    <rPh sb="49" eb="51">
      <t>トウガイ</t>
    </rPh>
    <rPh sb="51" eb="53">
      <t>ジュギョウ</t>
    </rPh>
    <rPh sb="56" eb="58">
      <t>キョウイク</t>
    </rPh>
    <rPh sb="58" eb="60">
      <t>コウカ</t>
    </rPh>
    <rPh sb="61" eb="63">
      <t>ジュギョウ</t>
    </rPh>
    <rPh sb="63" eb="65">
      <t>ジカン</t>
    </rPh>
    <rPh sb="65" eb="66">
      <t>ガイ</t>
    </rPh>
    <rPh sb="67" eb="69">
      <t>ヒツヨウ</t>
    </rPh>
    <rPh sb="70" eb="72">
      <t>ガクシュウ</t>
    </rPh>
    <rPh sb="72" eb="73">
      <t>トウ</t>
    </rPh>
    <rPh sb="74" eb="76">
      <t>コウリョ</t>
    </rPh>
    <rPh sb="80" eb="82">
      <t>タンイ</t>
    </rPh>
    <rPh sb="83" eb="85">
      <t>ジュギョウ</t>
    </rPh>
    <rPh sb="85" eb="88">
      <t>ジカンスウ</t>
    </rPh>
    <rPh sb="90" eb="92">
      <t>コウギ</t>
    </rPh>
    <rPh sb="92" eb="93">
      <t>オヨ</t>
    </rPh>
    <rPh sb="94" eb="96">
      <t>エンシュウ</t>
    </rPh>
    <rPh sb="103" eb="105">
      <t>ジカン</t>
    </rPh>
    <rPh sb="109" eb="111">
      <t>ジカン</t>
    </rPh>
    <rPh sb="112" eb="114">
      <t>ジッケン</t>
    </rPh>
    <rPh sb="115" eb="117">
      <t>ジッシュウ</t>
    </rPh>
    <rPh sb="117" eb="118">
      <t>オヨ</t>
    </rPh>
    <rPh sb="119" eb="121">
      <t>ジツギ</t>
    </rPh>
    <rPh sb="128" eb="130">
      <t>ジカン</t>
    </rPh>
    <rPh sb="134" eb="136">
      <t>ジカン</t>
    </rPh>
    <rPh sb="137" eb="139">
      <t>ハンイ</t>
    </rPh>
    <rPh sb="140" eb="141">
      <t>サダ</t>
    </rPh>
    <phoneticPr fontId="8"/>
  </si>
  <si>
    <r>
      <t>授業科目名、単位数</t>
    </r>
    <r>
      <rPr>
        <sz val="12"/>
        <rFont val="ＭＳ ゴシック"/>
        <family val="3"/>
        <charset val="128"/>
      </rPr>
      <t>を入力して下さい</t>
    </r>
    <rPh sb="0" eb="2">
      <t>ジュギョウ</t>
    </rPh>
    <rPh sb="2" eb="4">
      <t>カモク</t>
    </rPh>
    <rPh sb="4" eb="5">
      <t>メイ</t>
    </rPh>
    <rPh sb="6" eb="9">
      <t>タンイスウ</t>
    </rPh>
    <rPh sb="10" eb="12">
      <t>ニュウリョク</t>
    </rPh>
    <rPh sb="14" eb="15">
      <t>クダ</t>
    </rPh>
    <phoneticPr fontId="8"/>
  </si>
  <si>
    <r>
      <t>授業科目名、授業内容、シラバス記載ページ、チェック欄</t>
    </r>
    <r>
      <rPr>
        <sz val="12"/>
        <rFont val="ＭＳ ゴシック"/>
        <family val="3"/>
        <charset val="128"/>
      </rPr>
      <t>を入力して下さい</t>
    </r>
    <rPh sb="0" eb="2">
      <t>ジュギョウ</t>
    </rPh>
    <rPh sb="2" eb="4">
      <t>カモク</t>
    </rPh>
    <rPh sb="4" eb="5">
      <t>メイ</t>
    </rPh>
    <rPh sb="6" eb="8">
      <t>ジュギョウ</t>
    </rPh>
    <rPh sb="8" eb="10">
      <t>ナイヨウ</t>
    </rPh>
    <rPh sb="15" eb="17">
      <t>キサイ</t>
    </rPh>
    <rPh sb="25" eb="26">
      <t>ラン</t>
    </rPh>
    <rPh sb="27" eb="29">
      <t>ニュウリョク</t>
    </rPh>
    <rPh sb="31" eb="32">
      <t>クダ</t>
    </rPh>
    <phoneticPr fontId="8"/>
  </si>
  <si>
    <r>
      <t>シラバス記載ページ、チェック欄</t>
    </r>
    <r>
      <rPr>
        <sz val="12"/>
        <rFont val="ＭＳ ゴシック"/>
        <family val="3"/>
        <charset val="128"/>
      </rPr>
      <t>を入力して下さい</t>
    </r>
    <rPh sb="4" eb="6">
      <t>キサイ</t>
    </rPh>
    <rPh sb="14" eb="15">
      <t>ラン</t>
    </rPh>
    <rPh sb="16" eb="18">
      <t>ニュウリョク</t>
    </rPh>
    <rPh sb="20" eb="21">
      <t>クダ</t>
    </rPh>
    <phoneticPr fontId="8"/>
  </si>
  <si>
    <t>ver.R2.0</t>
    <phoneticPr fontId="8"/>
  </si>
  <si>
    <r>
      <rPr>
        <b/>
        <sz val="12"/>
        <color rgb="FFFF0000"/>
        <rFont val="ＭＳ ゴシック"/>
        <family val="3"/>
        <charset val="128"/>
      </rPr>
      <t>02</t>
    </r>
    <r>
      <rPr>
        <sz val="12"/>
        <rFont val="ＭＳ ゴシック"/>
        <family val="3"/>
        <charset val="128"/>
      </rPr>
      <t>（様式１）令第３号の規定に基づき定める科目に関する協議申請書</t>
    </r>
    <phoneticPr fontId="8"/>
  </si>
  <si>
    <r>
      <rPr>
        <b/>
        <sz val="12"/>
        <color rgb="FFFF0000"/>
        <rFont val="ＭＳ ゴシック"/>
        <family val="3"/>
        <charset val="128"/>
      </rPr>
      <t>03</t>
    </r>
    <r>
      <rPr>
        <sz val="12"/>
        <rFont val="ＭＳ ゴシック"/>
        <family val="3"/>
        <charset val="128"/>
      </rPr>
      <t>（様式２）令第４号の規定に基づき定める科目に関する協議申請書</t>
    </r>
    <phoneticPr fontId="8"/>
  </si>
  <si>
    <r>
      <rPr>
        <b/>
        <sz val="12"/>
        <color rgb="FFFF0000"/>
        <rFont val="ＭＳ ゴシック"/>
        <family val="3"/>
        <charset val="128"/>
      </rPr>
      <t>04</t>
    </r>
    <r>
      <rPr>
        <sz val="12"/>
        <rFont val="ＭＳ ゴシック"/>
        <family val="3"/>
        <charset val="128"/>
      </rPr>
      <t>（様式３）履修証明書</t>
    </r>
    <phoneticPr fontId="8"/>
  </si>
  <si>
    <r>
      <rPr>
        <b/>
        <sz val="12"/>
        <color rgb="FFFF0000"/>
        <rFont val="ＭＳ ゴシック"/>
        <family val="3"/>
        <charset val="128"/>
      </rPr>
      <t>05</t>
    </r>
    <r>
      <rPr>
        <sz val="12"/>
        <rFont val="ＭＳ ゴシック"/>
        <family val="3"/>
        <charset val="128"/>
      </rPr>
      <t>（様式４）単位数の新旧対照表</t>
    </r>
    <phoneticPr fontId="8"/>
  </si>
  <si>
    <r>
      <rPr>
        <b/>
        <sz val="12"/>
        <color rgb="FFFF0000"/>
        <rFont val="ＭＳ ゴシック"/>
        <family val="3"/>
        <charset val="128"/>
      </rPr>
      <t>06</t>
    </r>
    <r>
      <rPr>
        <sz val="12"/>
        <rFont val="ＭＳ ゴシック"/>
        <family val="3"/>
        <charset val="128"/>
      </rPr>
      <t>（様式５）教科内容対比表</t>
    </r>
    <rPh sb="7" eb="9">
      <t>キョウカ</t>
    </rPh>
    <rPh sb="9" eb="11">
      <t>ナイヨウ</t>
    </rPh>
    <rPh sb="11" eb="13">
      <t>タイヒ</t>
    </rPh>
    <rPh sb="13" eb="14">
      <t>ヒョウ</t>
    </rPh>
    <phoneticPr fontId="8"/>
  </si>
  <si>
    <t>様式１</t>
    <rPh sb="0" eb="2">
      <t>ヨウシキ</t>
    </rPh>
    <phoneticPr fontId="7"/>
  </si>
  <si>
    <t>８  その他（病態学において、薬理学及び病態薬理学を免ずる場合、科目毎の教科内容に
　　示す範囲の内容であることがわかる資料）</t>
    <phoneticPr fontId="8"/>
  </si>
  <si>
    <t>５　協議概要（様式７）</t>
    <rPh sb="2" eb="4">
      <t>キョウギ</t>
    </rPh>
    <rPh sb="4" eb="6">
      <t>ガイヨウ</t>
    </rPh>
    <rPh sb="7" eb="9">
      <t>ヨウシキ</t>
    </rPh>
    <phoneticPr fontId="8"/>
  </si>
  <si>
    <t>６　対象年度入学生の学生便覧（履修要綱・シラバスを含む）</t>
    <phoneticPr fontId="8"/>
  </si>
  <si>
    <t>７　対象年度入学生の入学試験における学生募集要領</t>
    <phoneticPr fontId="8"/>
  </si>
  <si>
    <t>様式２</t>
    <rPh sb="0" eb="2">
      <t>ヨウシキ</t>
    </rPh>
    <phoneticPr fontId="7"/>
  </si>
  <si>
    <t>８  その他</t>
    <phoneticPr fontId="8"/>
  </si>
  <si>
    <t>様式３</t>
    <rPh sb="0" eb="2">
      <t>ヨウシキ</t>
    </rPh>
    <phoneticPr fontId="7"/>
  </si>
  <si>
    <t>３．　証明は、当該科目を修めて卒業した大学の長が行うこと。</t>
    <phoneticPr fontId="8"/>
  </si>
  <si>
    <t>２.　「履修科目名」欄には、厚生労働省に協議して指定科目に相当すると認められた科目名を記載すること。
　　　また、２科目以上を履修して指定の１科目の履修に相当する場合には、全科目を記載し、それぞれの科目毎
　　　に単位数及び履修年度を記載すること。</t>
    <rPh sb="43" eb="45">
      <t>キサイ</t>
    </rPh>
    <phoneticPr fontId="8"/>
  </si>
  <si>
    <t>５．　現に履修中の者に関する証明は、履修見込証明書として作成すること。</t>
    <phoneticPr fontId="8"/>
  </si>
  <si>
    <t>４．　指定する科目の履修が２箇所以上の大学において行われた場合の証明は、それぞれ履修した大学において
　　　行うこと。</t>
    <phoneticPr fontId="8"/>
  </si>
  <si>
    <t>様式４</t>
    <rPh sb="0" eb="2">
      <t>ヨウシキ</t>
    </rPh>
    <phoneticPr fontId="8"/>
  </si>
  <si>
    <t>様式５
教　科　内　容　対　比　表</t>
    <rPh sb="0" eb="2">
      <t>ヨウシキ</t>
    </rPh>
    <phoneticPr fontId="8"/>
  </si>
  <si>
    <t>様式６</t>
    <rPh sb="0" eb="2">
      <t>ヨウシキ</t>
    </rPh>
    <phoneticPr fontId="8"/>
  </si>
  <si>
    <t>臨　地　実　習　確　認　表</t>
    <rPh sb="0" eb="1">
      <t>リン</t>
    </rPh>
    <rPh sb="2" eb="3">
      <t>チ</t>
    </rPh>
    <rPh sb="4" eb="5">
      <t>ジツ</t>
    </rPh>
    <rPh sb="6" eb="7">
      <t>シュウ</t>
    </rPh>
    <rPh sb="8" eb="9">
      <t>アキラ</t>
    </rPh>
    <rPh sb="10" eb="11">
      <t>ニン</t>
    </rPh>
    <rPh sb="12" eb="13">
      <t>ヒョウ</t>
    </rPh>
    <phoneticPr fontId="8"/>
  </si>
  <si>
    <t>臨地実習施設において、必ず実施又は見学させる行為について、シラバス記載の授業計画に明示的に記載されていること。</t>
    <rPh sb="0" eb="2">
      <t>リンチ</t>
    </rPh>
    <rPh sb="2" eb="4">
      <t>ジッシュウ</t>
    </rPh>
    <rPh sb="4" eb="6">
      <t>シセツ</t>
    </rPh>
    <rPh sb="11" eb="12">
      <t>カナラ</t>
    </rPh>
    <rPh sb="13" eb="15">
      <t>ジッシ</t>
    </rPh>
    <rPh sb="15" eb="16">
      <t>マタ</t>
    </rPh>
    <rPh sb="17" eb="19">
      <t>ケンガク</t>
    </rPh>
    <rPh sb="22" eb="24">
      <t>コウイ</t>
    </rPh>
    <rPh sb="33" eb="35">
      <t>キサイ</t>
    </rPh>
    <rPh sb="36" eb="38">
      <t>ジュギョウ</t>
    </rPh>
    <rPh sb="38" eb="40">
      <t>ケイカク</t>
    </rPh>
    <rPh sb="41" eb="44">
      <t>メイジテキ</t>
    </rPh>
    <rPh sb="45" eb="47">
      <t>キサイ</t>
    </rPh>
    <phoneticPr fontId="8"/>
  </si>
  <si>
    <t>（２）血液細胞形態検査と細胞表面
　　マーカー検査</t>
    <phoneticPr fontId="8"/>
  </si>
  <si>
    <t>（２）組織適合性検査、HLAタイピン
　　グ検査（DNAタイピング)</t>
    <phoneticPr fontId="8"/>
  </si>
  <si>
    <t>（１）JCCLSの指針に基づく標準的
　　手法による</t>
    <rPh sb="9" eb="11">
      <t>シシン</t>
    </rPh>
    <rPh sb="12" eb="13">
      <t>モト</t>
    </rPh>
    <rPh sb="15" eb="18">
      <t>ヒョウジュンテキ</t>
    </rPh>
    <rPh sb="21" eb="23">
      <t>シュホウ</t>
    </rPh>
    <phoneticPr fontId="8"/>
  </si>
  <si>
    <t>（８）見学：足関節上腕血圧比
　　（ABI）検査</t>
    <phoneticPr fontId="8"/>
  </si>
  <si>
    <t>　　臨床検査技師等に関する法律施行令第十八条第三号及び第四号の規定に</t>
    <phoneticPr fontId="8"/>
  </si>
  <si>
    <t>　　基づき厚生労働大臣が定める検体検査、生理学的検査、採血及び検体採取</t>
    <rPh sb="2" eb="3">
      <t>モト</t>
    </rPh>
    <rPh sb="5" eb="7">
      <t>コウセイ</t>
    </rPh>
    <rPh sb="7" eb="9">
      <t>ロウドウ</t>
    </rPh>
    <rPh sb="9" eb="11">
      <t>ダイジン</t>
    </rPh>
    <rPh sb="12" eb="13">
      <t>サダ</t>
    </rPh>
    <rPh sb="15" eb="17">
      <t>ケンタイ</t>
    </rPh>
    <rPh sb="17" eb="19">
      <t>ケンサ</t>
    </rPh>
    <rPh sb="20" eb="24">
      <t>セイリガクテキ</t>
    </rPh>
    <rPh sb="24" eb="26">
      <t>ケンサ</t>
    </rPh>
    <rPh sb="27" eb="29">
      <t>サイケツ</t>
    </rPh>
    <rPh sb="29" eb="30">
      <t>オヨ</t>
    </rPh>
    <rPh sb="31" eb="33">
      <t>ケンタイ</t>
    </rPh>
    <rPh sb="33" eb="35">
      <t>サイシュ</t>
    </rPh>
    <phoneticPr fontId="8"/>
  </si>
  <si>
    <t>に関する科目第１条に規定する科目について（協議）</t>
    <phoneticPr fontId="8"/>
  </si>
  <si>
    <t>に関する科目第２条に規定する科目について（協議）</t>
    <phoneticPr fontId="8"/>
  </si>
  <si>
    <t>（６）経口、経鼻又は気管カニュー
　　レ内部からの喀痰吸引</t>
    <phoneticPr fontId="8"/>
  </si>
  <si>
    <t>（５）喀痰吸引（気管カニューレ
　　内部からの採取も含む）</t>
    <phoneticPr fontId="8"/>
  </si>
  <si>
    <t>（６）消化管内視鏡検査による組織
　　検体の採取</t>
    <phoneticPr fontId="8"/>
  </si>
  <si>
    <t xml:space="preserve">４　各種検査における検体採取と
　　注意事項・安全管理 </t>
    <rPh sb="2" eb="4">
      <t>カクシュ</t>
    </rPh>
    <phoneticPr fontId="8"/>
  </si>
  <si>
    <t>（７）採血に伴う静脈路確保（電解
　　質輸液の注入を含む）</t>
    <phoneticPr fontId="8"/>
  </si>
  <si>
    <t>３　各種検査等の手技に伴う注意
　　事項・安全管理</t>
    <phoneticPr fontId="8"/>
  </si>
  <si>
    <t>（１）静脈路への成分採血装置の
　　接続並びに操作</t>
    <phoneticPr fontId="8"/>
  </si>
  <si>
    <t>（２）運動誘発電位検査・体性感覚
　　誘発電位検査に係る電極装着
　　（針電極含む）・脱着</t>
    <phoneticPr fontId="8"/>
  </si>
  <si>
    <t>（３）超音波検査における静脈路
　　からの造影剤注入</t>
    <phoneticPr fontId="8"/>
  </si>
  <si>
    <t>９　消化管内視鏡検査（組織検体の
　　採取手技を含む）</t>
    <phoneticPr fontId="8"/>
  </si>
  <si>
    <t>５　超音波検査（造影剤注入による
　　ものも含む）</t>
    <phoneticPr fontId="8"/>
  </si>
  <si>
    <t>（８）静脈路への成分採血装置の
　　接続、操作</t>
    <rPh sb="3" eb="5">
      <t>ジョウミャク</t>
    </rPh>
    <rPh sb="5" eb="6">
      <t>ロ</t>
    </rPh>
    <rPh sb="8" eb="10">
      <t>セイブン</t>
    </rPh>
    <rPh sb="10" eb="12">
      <t>サイケツ</t>
    </rPh>
    <rPh sb="12" eb="14">
      <t>ソウチ</t>
    </rPh>
    <rPh sb="18" eb="20">
      <t>セツゾク</t>
    </rPh>
    <rPh sb="21" eb="23">
      <t>ソウサ</t>
    </rPh>
    <phoneticPr fontId="8"/>
  </si>
  <si>
    <t>（１）糖質の検査（持続皮下グル
　　コース測定を含む）</t>
    <rPh sb="9" eb="11">
      <t>ジゾク</t>
    </rPh>
    <rPh sb="11" eb="13">
      <t>ヒカ</t>
    </rPh>
    <rPh sb="21" eb="23">
      <t>ソクテイ</t>
    </rPh>
    <rPh sb="24" eb="25">
      <t>フク</t>
    </rPh>
    <phoneticPr fontId="8"/>
  </si>
  <si>
    <t>（１）糖質（持続皮下グルコース
　　測定を含む）</t>
    <rPh sb="6" eb="8">
      <t>ジゾク</t>
    </rPh>
    <rPh sb="8" eb="10">
      <t>ヒカ</t>
    </rPh>
    <rPh sb="18" eb="20">
      <t>ソクテイ</t>
    </rPh>
    <rPh sb="21" eb="22">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</si>
</sst>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
  </numFmts>
  <fonts count="6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b/>
      <sz val="14"/>
      <color rgb="FFC00000"/>
      <name val="ＭＳ Ｐゴシック"/>
      <family val="3"/>
      <charset val="128"/>
    </font>
    <font>
      <sz val="20"/>
      <color indexed="8"/>
      <name val="ＭＳ 明朝"/>
      <family val="1"/>
      <charset val="128"/>
    </font>
    <font>
      <sz val="14"/>
      <color indexed="8"/>
      <name val="ＭＳ 明朝"/>
      <family val="1"/>
      <charset val="128"/>
    </font>
    <font>
      <sz val="26"/>
      <color indexed="8"/>
      <name val="ＭＳ 明朝"/>
      <family val="1"/>
      <charset val="128"/>
    </font>
    <font>
      <sz val="12"/>
      <color indexed="8"/>
      <name val="ＭＳ 明朝"/>
      <family val="1"/>
      <charset val="128"/>
    </font>
    <font>
      <sz val="16"/>
      <color indexed="8"/>
      <name val="ＭＳ 明朝"/>
      <family val="1"/>
      <charset val="128"/>
    </font>
    <font>
      <sz val="16"/>
      <name val="ＭＳ Ｐゴシック"/>
      <family val="3"/>
      <charset val="128"/>
    </font>
    <font>
      <sz val="16"/>
      <name val="ＭＳ 明朝"/>
      <family val="1"/>
      <charset val="128"/>
    </font>
    <font>
      <b/>
      <sz val="14"/>
      <color theme="4" tint="-0.249977111117893"/>
      <name val="ＭＳ Ｐゴシック"/>
      <family val="3"/>
      <charset val="128"/>
    </font>
    <font>
      <sz val="16"/>
      <color rgb="FF000000"/>
      <name val="ＭＳ 明朝"/>
      <family val="1"/>
      <charset val="128"/>
    </font>
    <font>
      <b/>
      <sz val="11"/>
      <color rgb="FFC00000"/>
      <name val="游ゴシック"/>
      <family val="3"/>
      <charset val="128"/>
      <scheme val="minor"/>
    </font>
    <font>
      <b/>
      <sz val="16"/>
      <color rgb="FFFF0000"/>
      <name val="ＭＳ Ｐゴシック"/>
      <family val="3"/>
      <charset val="128"/>
    </font>
    <font>
      <sz val="14"/>
      <color theme="4" tint="-0.249977111117893"/>
      <name val="ＭＳ Ｐゴシック"/>
      <family val="3"/>
      <charset val="128"/>
    </font>
    <font>
      <sz val="14"/>
      <color theme="4" tint="-0.249977111117893"/>
      <name val="ＭＳ 明朝"/>
      <family val="1"/>
      <charset val="128"/>
    </font>
    <font>
      <b/>
      <sz val="12"/>
      <name val="ＭＳ 明朝"/>
      <family val="1"/>
      <charset val="128"/>
    </font>
    <font>
      <sz val="14"/>
      <name val="ＭＳ 明朝"/>
      <family val="1"/>
      <charset val="128"/>
    </font>
    <font>
      <sz val="16"/>
      <color theme="4" tint="-0.249977111117893"/>
      <name val="ＭＳ 明朝"/>
      <family val="1"/>
      <charset val="128"/>
    </font>
    <font>
      <sz val="12"/>
      <color theme="1"/>
      <name val="ＭＳ 明朝"/>
      <family val="1"/>
      <charset val="128"/>
    </font>
    <font>
      <sz val="12"/>
      <color rgb="FF000000"/>
      <name val="ＭＳ 明朝"/>
      <family val="1"/>
      <charset val="128"/>
    </font>
    <font>
      <sz val="14"/>
      <color rgb="FF000000"/>
      <name val="ＭＳ 明朝"/>
      <family val="1"/>
      <charset val="128"/>
    </font>
    <font>
      <sz val="10.5"/>
      <color rgb="FF000000"/>
      <name val="ＭＳ 明朝"/>
      <family val="1"/>
      <charset val="128"/>
    </font>
    <font>
      <sz val="10.5"/>
      <name val="ＭＳ 明朝"/>
      <family val="1"/>
      <charset val="128"/>
    </font>
    <font>
      <sz val="10.5"/>
      <color theme="1"/>
      <name val="Times New Roman"/>
      <family val="1"/>
    </font>
    <font>
      <sz val="11"/>
      <color rgb="FF000000"/>
      <name val="ＭＳ 明朝"/>
      <family val="1"/>
      <charset val="128"/>
    </font>
    <font>
      <sz val="10.5"/>
      <name val="ＭＳ Ｐゴシック"/>
      <family val="3"/>
      <charset val="128"/>
    </font>
    <font>
      <sz val="12"/>
      <name val="ＭＳ ゴシック"/>
      <family val="3"/>
      <charset val="128"/>
    </font>
    <font>
      <b/>
      <sz val="12"/>
      <color rgb="FFFF0000"/>
      <name val="ＭＳ ゴシック"/>
      <family val="3"/>
      <charset val="128"/>
    </font>
    <font>
      <sz val="11"/>
      <color theme="1"/>
      <name val="ＭＳ 明朝"/>
      <family val="1"/>
      <charset val="128"/>
    </font>
    <font>
      <sz val="12"/>
      <name val="ＭＳ 明朝"/>
      <family val="1"/>
      <charset val="128"/>
    </font>
    <font>
      <sz val="11"/>
      <name val="ＭＳ 明朝"/>
      <family val="1"/>
      <charset val="128"/>
    </font>
    <font>
      <sz val="3"/>
      <name val="ＭＳ Ｐゴシック"/>
      <family val="3"/>
      <charset val="128"/>
    </font>
    <font>
      <sz val="14"/>
      <name val="ＭＳ ゴシック"/>
      <family val="3"/>
      <charset val="128"/>
    </font>
    <font>
      <b/>
      <sz val="14"/>
      <name val="ＭＳ ゴシック"/>
      <family val="3"/>
      <charset val="128"/>
    </font>
    <font>
      <sz val="20"/>
      <name val="ＭＳ ゴシック"/>
      <family val="3"/>
      <charset val="128"/>
    </font>
    <font>
      <b/>
      <sz val="12"/>
      <color theme="4" tint="-0.249977111117893"/>
      <name val="ＭＳ ゴシック"/>
      <family val="3"/>
      <charset val="128"/>
    </font>
    <font>
      <b/>
      <sz val="3"/>
      <color theme="4" tint="-0.249977111117893"/>
      <name val="ＭＳ Ｐゴシック"/>
      <family val="3"/>
      <charset val="128"/>
    </font>
    <font>
      <b/>
      <sz val="11"/>
      <color theme="4" tint="-0.249977111117893"/>
      <name val="ＭＳ Ｐゴシック"/>
      <family val="3"/>
      <charset val="128"/>
    </font>
    <font>
      <sz val="11"/>
      <color theme="4" tint="-0.249977111117893"/>
      <name val="ＭＳ Ｐゴシック"/>
      <family val="3"/>
      <charset val="128"/>
    </font>
    <font>
      <sz val="14"/>
      <name val="HG明朝E"/>
      <family val="1"/>
      <charset val="128"/>
    </font>
    <font>
      <b/>
      <sz val="11"/>
      <color rgb="FFC00000"/>
      <name val="ＭＳ Ｐゴシック"/>
      <family val="3"/>
      <charset val="128"/>
    </font>
    <font>
      <b/>
      <sz val="14"/>
      <color rgb="FFFF0000"/>
      <name val="ＭＳ 明朝"/>
      <family val="1"/>
      <charset val="128"/>
    </font>
    <font>
      <sz val="9"/>
      <name val="ＭＳ Ｐゴシック"/>
      <family val="3"/>
      <charset val="128"/>
    </font>
    <font>
      <sz val="10"/>
      <color theme="1"/>
      <name val="ＭＳ Ｐゴシック"/>
      <family val="3"/>
      <charset val="128"/>
    </font>
    <font>
      <b/>
      <sz val="10"/>
      <color rgb="FFC00000"/>
      <name val="Times New Roman"/>
      <family val="1"/>
    </font>
    <font>
      <b/>
      <sz val="10"/>
      <color theme="4" tint="-0.249977111117893"/>
      <name val="Times New Roman"/>
      <family val="1"/>
    </font>
    <font>
      <sz val="11"/>
      <color theme="1"/>
      <name val="ＭＳ Ｐゴシック"/>
      <family val="3"/>
      <charset val="128"/>
    </font>
    <font>
      <b/>
      <sz val="10"/>
      <color rgb="FFC00000"/>
      <name val="ＭＳ Ｐ明朝"/>
      <family val="1"/>
      <charset val="128"/>
    </font>
    <font>
      <b/>
      <sz val="14"/>
      <name val="ＭＳ Ｐゴシック"/>
      <family val="3"/>
      <charset val="128"/>
    </font>
    <font>
      <b/>
      <sz val="12"/>
      <color rgb="FFC00000"/>
      <name val="游ゴシック"/>
      <family val="3"/>
      <charset val="128"/>
      <scheme val="minor"/>
    </font>
    <font>
      <b/>
      <sz val="14"/>
      <color rgb="FFC00000"/>
      <name val="ＭＳ 明朝"/>
      <family val="1"/>
      <charset val="128"/>
    </font>
    <font>
      <sz val="9"/>
      <name val="ＭＳ 明朝"/>
      <family val="1"/>
      <charset val="128"/>
    </font>
    <font>
      <b/>
      <sz val="11"/>
      <color rgb="FFC00000"/>
      <name val="ＭＳ 明朝"/>
      <family val="1"/>
      <charset val="128"/>
    </font>
    <font>
      <strike/>
      <sz val="11"/>
      <name val="ＭＳ 明朝"/>
      <family val="1"/>
      <charset val="128"/>
    </font>
    <font>
      <b/>
      <sz val="11"/>
      <name val="ＭＳ 明朝"/>
      <family val="1"/>
      <charset val="128"/>
    </font>
    <font>
      <b/>
      <sz val="11"/>
      <color rgb="FFFF0000"/>
      <name val="ＭＳ 明朝"/>
      <family val="1"/>
      <charset val="128"/>
    </font>
    <font>
      <sz val="8"/>
      <name val="ＭＳ 明朝"/>
      <family val="1"/>
      <charset val="128"/>
    </font>
    <font>
      <sz val="11"/>
      <color rgb="FFFF0000"/>
      <name val="ＭＳ 明朝"/>
      <family val="1"/>
      <charset val="128"/>
    </font>
  </fonts>
  <fills count="10">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8"/>
      </right>
      <top style="medium">
        <color indexed="64"/>
      </top>
      <bottom/>
      <diagonal/>
    </border>
    <border>
      <left style="thin">
        <color indexed="64"/>
      </left>
      <right style="thin">
        <color indexed="8"/>
      </right>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8"/>
      </left>
      <right style="thin">
        <color indexed="64"/>
      </right>
      <top style="medium">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medium">
        <color indexed="8"/>
      </bottom>
      <diagonal/>
    </border>
    <border>
      <left style="thin">
        <color indexed="8"/>
      </left>
      <right style="thin">
        <color indexed="64"/>
      </right>
      <top style="thin">
        <color indexed="64"/>
      </top>
      <bottom style="medium">
        <color indexed="8"/>
      </bottom>
      <diagonal/>
    </border>
    <border>
      <left style="thin">
        <color indexed="64"/>
      </left>
      <right style="thin">
        <color indexed="8"/>
      </right>
      <top style="thin">
        <color indexed="64"/>
      </top>
      <bottom/>
      <diagonal/>
    </border>
    <border>
      <left style="thin">
        <color indexed="64"/>
      </left>
      <right style="thin">
        <color indexed="8"/>
      </right>
      <top style="medium">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medium">
        <color indexed="64"/>
      </top>
      <bottom style="thin">
        <color indexed="64"/>
      </bottom>
      <diagonal/>
    </border>
    <border>
      <left style="thin">
        <color indexed="8"/>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8"/>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thin">
        <color auto="1"/>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auto="1"/>
      </left>
      <right style="medium">
        <color indexed="64"/>
      </right>
      <top style="thin">
        <color auto="1"/>
      </top>
      <bottom style="medium">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thin">
        <color indexed="8"/>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6" fillId="0" borderId="0"/>
    <xf numFmtId="0" fontId="5" fillId="0" borderId="0">
      <alignment vertical="center"/>
    </xf>
    <xf numFmtId="0" fontId="4" fillId="0" borderId="0">
      <alignment vertical="center"/>
    </xf>
    <xf numFmtId="0" fontId="6" fillId="0" borderId="0">
      <alignment vertical="center"/>
    </xf>
    <xf numFmtId="0" fontId="2" fillId="0" borderId="0">
      <alignment vertical="center"/>
    </xf>
  </cellStyleXfs>
  <cellXfs count="596">
    <xf numFmtId="0" fontId="0" fillId="0" borderId="0" xfId="0">
      <alignment vertical="center"/>
    </xf>
    <xf numFmtId="0" fontId="0" fillId="0" borderId="0" xfId="0" applyProtection="1">
      <alignment vertical="center"/>
    </xf>
    <xf numFmtId="0" fontId="12" fillId="0" borderId="2"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center" vertical="center"/>
    </xf>
    <xf numFmtId="0" fontId="14" fillId="0" borderId="0" xfId="0" applyFont="1" applyAlignment="1" applyProtection="1">
      <alignment horizontal="justify" vertical="center"/>
    </xf>
    <xf numFmtId="0" fontId="28" fillId="0" borderId="0" xfId="0" applyFont="1" applyAlignment="1" applyProtection="1">
      <alignment vertical="center"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6" fillId="0" borderId="0" xfId="0" applyFont="1" applyAlignment="1" applyProtection="1">
      <alignment horizontal="justify" vertical="center"/>
    </xf>
    <xf numFmtId="0" fontId="18" fillId="0" borderId="0" xfId="0" applyFont="1" applyFill="1" applyAlignment="1" applyProtection="1">
      <alignment horizontal="center" vertical="center" shrinkToFit="1"/>
    </xf>
    <xf numFmtId="0" fontId="0" fillId="0" borderId="0" xfId="0" applyAlignment="1" applyProtection="1">
      <alignment horizontal="center" vertical="center"/>
    </xf>
    <xf numFmtId="0" fontId="12" fillId="0" borderId="0" xfId="0" applyFont="1" applyAlignment="1" applyProtection="1">
      <alignment horizontal="center" vertical="center"/>
    </xf>
    <xf numFmtId="0" fontId="20" fillId="0" borderId="0" xfId="0" applyFont="1" applyAlignment="1" applyProtection="1">
      <alignment horizontal="center" vertical="center"/>
    </xf>
    <xf numFmtId="0" fontId="12" fillId="0" borderId="12" xfId="0" applyFont="1" applyBorder="1" applyAlignment="1" applyProtection="1">
      <alignment horizontal="center" vertical="center"/>
    </xf>
    <xf numFmtId="0" fontId="11" fillId="0" borderId="36" xfId="0" applyFont="1" applyBorder="1" applyAlignment="1" applyProtection="1">
      <alignment vertical="center"/>
    </xf>
    <xf numFmtId="0" fontId="0" fillId="0" borderId="36" xfId="0" applyBorder="1" applyAlignment="1" applyProtection="1">
      <alignment horizontal="center" vertical="center"/>
    </xf>
    <xf numFmtId="0" fontId="0" fillId="0" borderId="18" xfId="0" applyBorder="1" applyAlignment="1" applyProtection="1">
      <alignment horizontal="center" vertical="center"/>
    </xf>
    <xf numFmtId="0" fontId="24" fillId="0" borderId="0" xfId="0" applyFont="1" applyAlignment="1" applyProtection="1">
      <alignment horizontal="center" vertical="center"/>
    </xf>
    <xf numFmtId="0" fontId="17" fillId="0" borderId="4"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0" fillId="0" borderId="0" xfId="0" applyFill="1" applyBorder="1" applyAlignment="1" applyProtection="1">
      <alignment horizontal="center" vertical="center"/>
    </xf>
    <xf numFmtId="0" fontId="25" fillId="0" borderId="0" xfId="0" applyFont="1" applyFill="1" applyBorder="1" applyAlignment="1" applyProtection="1">
      <alignment horizontal="center" vertical="center" wrapText="1" shrinkToFit="1"/>
    </xf>
    <xf numFmtId="0" fontId="24" fillId="0" borderId="0"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17" fillId="0" borderId="0" xfId="0" applyFont="1" applyFill="1" applyBorder="1" applyAlignment="1" applyProtection="1">
      <alignment horizontal="center" vertical="center" shrinkToFit="1"/>
    </xf>
    <xf numFmtId="0" fontId="12" fillId="0" borderId="1" xfId="0" applyFont="1" applyBorder="1" applyAlignment="1" applyProtection="1">
      <alignment horizontal="center" vertical="center"/>
    </xf>
    <xf numFmtId="0" fontId="11" fillId="0" borderId="4" xfId="0" applyFont="1" applyBorder="1" applyAlignment="1" applyProtection="1">
      <alignment vertical="center"/>
    </xf>
    <xf numFmtId="0" fontId="0" fillId="0" borderId="5" xfId="0" applyBorder="1" applyAlignment="1" applyProtection="1">
      <alignment horizontal="center" vertical="center"/>
    </xf>
    <xf numFmtId="0" fontId="24" fillId="0" borderId="0" xfId="0" applyFont="1" applyProtection="1">
      <alignment vertical="center"/>
    </xf>
    <xf numFmtId="0" fontId="11" fillId="0" borderId="33" xfId="0" applyFont="1" applyBorder="1" applyAlignment="1" applyProtection="1">
      <alignment vertical="center"/>
    </xf>
    <xf numFmtId="0" fontId="0" fillId="0" borderId="33" xfId="0" applyBorder="1" applyProtection="1">
      <alignment vertical="center"/>
    </xf>
    <xf numFmtId="0" fontId="0" fillId="0" borderId="16" xfId="0" applyBorder="1" applyProtection="1">
      <alignment vertical="center"/>
    </xf>
    <xf numFmtId="0" fontId="26" fillId="0" borderId="0" xfId="0" applyFont="1" applyBorder="1" applyAlignment="1" applyProtection="1">
      <alignment horizontal="center" wrapText="1"/>
    </xf>
    <xf numFmtId="0" fontId="11" fillId="0" borderId="16" xfId="0" applyFont="1" applyBorder="1" applyProtection="1">
      <alignment vertical="center"/>
    </xf>
    <xf numFmtId="0" fontId="11" fillId="0" borderId="17" xfId="0" applyFont="1" applyBorder="1" applyAlignment="1" applyProtection="1">
      <alignment vertical="center"/>
    </xf>
    <xf numFmtId="0" fontId="0" fillId="0" borderId="0" xfId="0" applyBorder="1" applyProtection="1">
      <alignment vertical="center"/>
    </xf>
    <xf numFmtId="0" fontId="0" fillId="0" borderId="34" xfId="0" applyBorder="1" applyProtection="1">
      <alignment vertical="center"/>
    </xf>
    <xf numFmtId="0" fontId="26" fillId="0" borderId="0" xfId="0" applyFont="1" applyBorder="1" applyAlignment="1" applyProtection="1">
      <alignment horizontal="center" vertical="center"/>
    </xf>
    <xf numFmtId="0" fontId="11" fillId="0" borderId="34" xfId="0" applyFont="1" applyBorder="1" applyProtection="1">
      <alignment vertical="center"/>
    </xf>
    <xf numFmtId="0" fontId="26" fillId="0" borderId="0" xfId="0" applyFont="1" applyBorder="1" applyAlignment="1" applyProtection="1">
      <alignment horizontal="center" vertical="top"/>
    </xf>
    <xf numFmtId="0" fontId="12" fillId="0" borderId="34" xfId="0" applyFont="1" applyBorder="1" applyAlignment="1" applyProtection="1">
      <alignment horizontal="center" vertical="center"/>
    </xf>
    <xf numFmtId="0" fontId="11" fillId="0" borderId="0" xfId="0" applyFont="1" applyBorder="1" applyAlignment="1" applyProtection="1">
      <alignment vertical="center"/>
    </xf>
    <xf numFmtId="0" fontId="26" fillId="0" borderId="0" xfId="0" applyFont="1" applyBorder="1" applyAlignment="1" applyProtection="1">
      <alignment vertical="center"/>
    </xf>
    <xf numFmtId="0" fontId="11" fillId="0" borderId="35" xfId="0" applyFont="1" applyBorder="1" applyAlignment="1" applyProtection="1">
      <alignment vertical="center"/>
    </xf>
    <xf numFmtId="0" fontId="0" fillId="0" borderId="35" xfId="0"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0" xfId="0" applyAlignment="1" applyProtection="1">
      <alignment vertical="center"/>
    </xf>
    <xf numFmtId="0" fontId="20" fillId="0" borderId="4" xfId="0" applyFont="1" applyBorder="1" applyAlignment="1" applyProtection="1">
      <alignment horizontal="center" vertical="center"/>
    </xf>
    <xf numFmtId="0" fontId="11" fillId="0" borderId="0" xfId="0" applyFont="1" applyBorder="1" applyProtection="1">
      <alignment vertical="center"/>
    </xf>
    <xf numFmtId="0" fontId="24" fillId="0" borderId="0" xfId="0" applyFont="1" applyBorder="1" applyProtection="1">
      <alignment vertical="center"/>
    </xf>
    <xf numFmtId="0" fontId="26" fillId="0" borderId="0" xfId="0" applyFont="1" applyBorder="1" applyAlignment="1" applyProtection="1"/>
    <xf numFmtId="0" fontId="17" fillId="0" borderId="0" xfId="0" applyFont="1" applyFill="1" applyBorder="1" applyAlignment="1" applyProtection="1">
      <alignment vertical="center" shrinkToFit="1"/>
    </xf>
    <xf numFmtId="0" fontId="27" fillId="0" borderId="0" xfId="0" applyFont="1" applyProtection="1">
      <alignment vertical="center"/>
    </xf>
    <xf numFmtId="0" fontId="11" fillId="0" borderId="3" xfId="0" applyFont="1" applyBorder="1" applyAlignment="1" applyProtection="1">
      <alignment vertical="center"/>
    </xf>
    <xf numFmtId="0" fontId="5" fillId="0" borderId="0" xfId="2" applyAlignment="1">
      <alignment vertical="center"/>
    </xf>
    <xf numFmtId="0" fontId="5" fillId="0" borderId="0" xfId="2">
      <alignment vertical="center"/>
    </xf>
    <xf numFmtId="0" fontId="5" fillId="0" borderId="0" xfId="2">
      <alignment vertical="center"/>
    </xf>
    <xf numFmtId="0" fontId="30" fillId="0" borderId="0" xfId="2" applyFont="1" applyAlignment="1">
      <alignment horizontal="justify" vertical="center"/>
    </xf>
    <xf numFmtId="0" fontId="30" fillId="0" borderId="0" xfId="2" applyFont="1" applyAlignment="1">
      <alignment vertical="center" wrapText="1"/>
    </xf>
    <xf numFmtId="0" fontId="31" fillId="0" borderId="0" xfId="2" applyFont="1" applyAlignment="1">
      <alignment horizontal="justify" vertical="center"/>
    </xf>
    <xf numFmtId="0" fontId="32" fillId="0" borderId="6" xfId="2" applyFont="1" applyBorder="1" applyAlignment="1">
      <alignment horizontal="center" vertical="center" wrapText="1"/>
    </xf>
    <xf numFmtId="0" fontId="33" fillId="0" borderId="45" xfId="2" applyFont="1" applyBorder="1" applyAlignment="1">
      <alignment horizontal="center" vertical="top" wrapText="1"/>
    </xf>
    <xf numFmtId="0" fontId="32" fillId="0" borderId="45" xfId="2" applyFont="1" applyBorder="1" applyAlignment="1">
      <alignment horizontal="justify" vertical="top" wrapText="1"/>
    </xf>
    <xf numFmtId="0" fontId="34" fillId="0" borderId="0" xfId="2" applyFont="1" applyAlignment="1">
      <alignment vertical="center" wrapText="1"/>
    </xf>
    <xf numFmtId="0" fontId="32" fillId="0" borderId="8" xfId="2" applyFont="1" applyBorder="1" applyAlignment="1">
      <alignment horizontal="center" vertical="center" wrapText="1"/>
    </xf>
    <xf numFmtId="0" fontId="33" fillId="0" borderId="24" xfId="2" applyFont="1" applyBorder="1" applyAlignment="1">
      <alignment horizontal="center" vertical="top" wrapText="1"/>
    </xf>
    <xf numFmtId="0" fontId="31" fillId="0" borderId="0" xfId="2" applyFont="1" applyAlignment="1">
      <alignment horizontal="justify" vertical="center" wrapText="1"/>
    </xf>
    <xf numFmtId="0" fontId="35" fillId="0" borderId="0" xfId="2" applyFont="1" applyAlignment="1">
      <alignment horizontal="justify" vertical="center"/>
    </xf>
    <xf numFmtId="0" fontId="32" fillId="0" borderId="6" xfId="2" applyFont="1" applyBorder="1" applyAlignment="1">
      <alignment horizontal="center" vertical="top" wrapText="1"/>
    </xf>
    <xf numFmtId="0" fontId="32" fillId="0" borderId="8" xfId="2" applyFont="1" applyBorder="1" applyAlignment="1">
      <alignment horizontal="center" vertical="top" wrapText="1"/>
    </xf>
    <xf numFmtId="0" fontId="5" fillId="0" borderId="0" xfId="2" applyAlignment="1">
      <alignment horizontal="center" vertical="center"/>
    </xf>
    <xf numFmtId="0" fontId="33" fillId="0" borderId="14" xfId="2" applyFont="1" applyBorder="1" applyAlignment="1">
      <alignment horizontal="center" vertical="center" wrapText="1"/>
    </xf>
    <xf numFmtId="0" fontId="5" fillId="0" borderId="8" xfId="2" applyBorder="1" applyAlignment="1">
      <alignment horizontal="center" vertical="center" wrapText="1"/>
    </xf>
    <xf numFmtId="0" fontId="33" fillId="0" borderId="0" xfId="2" applyFont="1" applyBorder="1" applyAlignment="1">
      <alignment horizontal="center" vertical="center"/>
    </xf>
    <xf numFmtId="0" fontId="33" fillId="0" borderId="45" xfId="2" applyFont="1" applyBorder="1" applyAlignment="1">
      <alignment horizontal="center" vertical="center" wrapText="1"/>
    </xf>
    <xf numFmtId="0" fontId="32" fillId="0" borderId="45" xfId="2" applyFont="1" applyBorder="1" applyAlignment="1">
      <alignment horizontal="center" vertical="center" wrapText="1"/>
    </xf>
    <xf numFmtId="0" fontId="33" fillId="0" borderId="25" xfId="2" applyFont="1" applyBorder="1" applyAlignment="1">
      <alignment horizontal="center" vertical="center" wrapText="1"/>
    </xf>
    <xf numFmtId="0" fontId="32" fillId="0" borderId="25" xfId="2" applyFont="1" applyBorder="1" applyAlignment="1">
      <alignment horizontal="center" vertical="center" wrapText="1"/>
    </xf>
    <xf numFmtId="0" fontId="5" fillId="0" borderId="24" xfId="2" applyBorder="1" applyAlignment="1">
      <alignment vertical="center" wrapText="1"/>
    </xf>
    <xf numFmtId="0" fontId="32" fillId="0" borderId="24" xfId="2" applyFont="1" applyBorder="1" applyAlignment="1">
      <alignment horizontal="center" vertical="center" wrapText="1"/>
    </xf>
    <xf numFmtId="0" fontId="33" fillId="0" borderId="24" xfId="2" applyFont="1" applyBorder="1" applyAlignment="1">
      <alignment horizontal="left" vertical="center" wrapText="1"/>
    </xf>
    <xf numFmtId="0" fontId="33" fillId="0" borderId="24" xfId="2" applyFont="1" applyBorder="1" applyAlignment="1">
      <alignment horizontal="center" vertical="center" wrapText="1"/>
    </xf>
    <xf numFmtId="0" fontId="33" fillId="0" borderId="46" xfId="2" applyFont="1" applyBorder="1" applyAlignment="1">
      <alignment horizontal="left" vertical="center" wrapText="1"/>
    </xf>
    <xf numFmtId="0" fontId="33" fillId="0" borderId="0" xfId="2" applyFont="1" applyBorder="1" applyAlignment="1">
      <alignment horizontal="left" vertical="center" wrapText="1"/>
    </xf>
    <xf numFmtId="0" fontId="33" fillId="0" borderId="0" xfId="2" applyFont="1" applyBorder="1" applyAlignment="1">
      <alignment horizontal="right" vertical="center" wrapText="1"/>
    </xf>
    <xf numFmtId="0" fontId="5" fillId="0" borderId="0" xfId="2" applyBorder="1" applyAlignment="1">
      <alignment vertical="center"/>
    </xf>
    <xf numFmtId="0" fontId="5" fillId="0" borderId="0" xfId="2" applyAlignment="1">
      <alignment vertical="center"/>
    </xf>
    <xf numFmtId="0" fontId="31" fillId="0" borderId="0" xfId="2" applyFont="1" applyAlignment="1">
      <alignment horizontal="center" vertical="center"/>
    </xf>
    <xf numFmtId="0" fontId="34" fillId="0" borderId="0" xfId="2" applyFont="1" applyAlignment="1">
      <alignment horizontal="center" vertical="center" wrapText="1"/>
    </xf>
    <xf numFmtId="0" fontId="31" fillId="0" borderId="0" xfId="2" applyFont="1" applyAlignment="1">
      <alignment horizontal="center" vertical="center" wrapText="1"/>
    </xf>
    <xf numFmtId="0" fontId="35" fillId="0" borderId="0" xfId="2" applyFont="1" applyAlignment="1">
      <alignment horizontal="center" vertical="center"/>
    </xf>
    <xf numFmtId="0" fontId="30" fillId="0" borderId="0" xfId="2" applyFont="1" applyAlignment="1">
      <alignment vertical="center"/>
    </xf>
    <xf numFmtId="0" fontId="22" fillId="0" borderId="0" xfId="2" applyFont="1" applyAlignment="1">
      <alignment vertical="center"/>
    </xf>
    <xf numFmtId="0" fontId="32" fillId="0" borderId="24" xfId="2" applyFont="1" applyBorder="1" applyAlignment="1">
      <alignment horizontal="center" vertical="top" wrapText="1"/>
    </xf>
    <xf numFmtId="0" fontId="11" fillId="0" borderId="60" xfId="0" applyFont="1" applyBorder="1" applyAlignment="1" applyProtection="1">
      <alignment vertical="center"/>
    </xf>
    <xf numFmtId="176" fontId="33" fillId="0" borderId="24" xfId="2" applyNumberFormat="1" applyFont="1" applyBorder="1" applyAlignment="1">
      <alignment horizontal="left" vertical="center" wrapText="1"/>
    </xf>
    <xf numFmtId="176" fontId="33" fillId="0" borderId="24" xfId="2" applyNumberFormat="1" applyFont="1" applyBorder="1" applyAlignment="1">
      <alignment horizontal="center" vertical="center" wrapText="1"/>
    </xf>
    <xf numFmtId="0" fontId="5" fillId="0" borderId="0" xfId="2" applyAlignment="1">
      <alignment vertical="center"/>
    </xf>
    <xf numFmtId="0" fontId="5" fillId="0" borderId="0" xfId="2" applyAlignment="1">
      <alignment horizontal="center" vertical="center"/>
    </xf>
    <xf numFmtId="0" fontId="5" fillId="0" borderId="0" xfId="2">
      <alignment vertical="center"/>
    </xf>
    <xf numFmtId="0" fontId="17" fillId="4" borderId="41" xfId="0" applyFont="1" applyFill="1" applyBorder="1" applyAlignment="1" applyProtection="1">
      <alignment horizontal="center" vertical="center" shrinkToFit="1"/>
      <protection locked="0"/>
    </xf>
    <xf numFmtId="0" fontId="17" fillId="4" borderId="49" xfId="0" applyFont="1" applyFill="1" applyBorder="1" applyAlignment="1" applyProtection="1">
      <alignment horizontal="center" vertical="center" shrinkToFit="1"/>
      <protection locked="0"/>
    </xf>
    <xf numFmtId="0" fontId="17" fillId="4" borderId="50" xfId="0" applyFont="1" applyFill="1" applyBorder="1" applyAlignment="1" applyProtection="1">
      <alignment horizontal="center" vertical="center" shrinkToFit="1"/>
      <protection locked="0"/>
    </xf>
    <xf numFmtId="0" fontId="17" fillId="4" borderId="51" xfId="0" applyFont="1" applyFill="1" applyBorder="1" applyAlignment="1" applyProtection="1">
      <alignment horizontal="center" vertical="center" shrinkToFit="1"/>
      <protection locked="0"/>
    </xf>
    <xf numFmtId="0" fontId="17" fillId="4" borderId="52" xfId="0" applyFont="1" applyFill="1" applyBorder="1" applyAlignment="1" applyProtection="1">
      <alignment horizontal="center" vertical="center" shrinkToFit="1"/>
      <protection locked="0"/>
    </xf>
    <xf numFmtId="0" fontId="17" fillId="4" borderId="53" xfId="0" applyFont="1" applyFill="1" applyBorder="1" applyAlignment="1" applyProtection="1">
      <alignment horizontal="center" vertical="center" shrinkToFit="1"/>
      <protection locked="0"/>
    </xf>
    <xf numFmtId="0" fontId="17" fillId="4" borderId="12" xfId="0" applyFont="1" applyFill="1" applyBorder="1" applyAlignment="1" applyProtection="1">
      <alignment horizontal="center" vertical="center" shrinkToFit="1"/>
      <protection locked="0"/>
    </xf>
    <xf numFmtId="0" fontId="17" fillId="4" borderId="13" xfId="0" applyFont="1" applyFill="1" applyBorder="1" applyAlignment="1" applyProtection="1">
      <alignment horizontal="center" vertical="center" shrinkToFit="1"/>
      <protection locked="0"/>
    </xf>
    <xf numFmtId="0" fontId="17" fillId="4" borderId="1" xfId="0" applyFont="1" applyFill="1" applyBorder="1" applyAlignment="1" applyProtection="1">
      <alignment horizontal="center" vertical="center" shrinkToFit="1"/>
      <protection locked="0"/>
    </xf>
    <xf numFmtId="0" fontId="17" fillId="4" borderId="9" xfId="0" applyFont="1" applyFill="1" applyBorder="1" applyAlignment="1" applyProtection="1">
      <alignment horizontal="center" vertical="center" shrinkToFit="1"/>
      <protection locked="0"/>
    </xf>
    <xf numFmtId="0" fontId="17" fillId="4" borderId="15" xfId="0" applyFont="1" applyFill="1" applyBorder="1" applyAlignment="1" applyProtection="1">
      <alignment horizontal="center" vertical="center" shrinkToFit="1"/>
      <protection locked="0"/>
    </xf>
    <xf numFmtId="0" fontId="19" fillId="4" borderId="15" xfId="0" applyFont="1" applyFill="1" applyBorder="1" applyAlignment="1" applyProtection="1">
      <alignment horizontal="center" vertical="center"/>
      <protection locked="0"/>
    </xf>
    <xf numFmtId="0" fontId="17" fillId="4" borderId="54" xfId="0" applyFont="1" applyFill="1" applyBorder="1" applyAlignment="1" applyProtection="1">
      <alignment horizontal="center" vertical="center" shrinkToFit="1"/>
      <protection locked="0"/>
    </xf>
    <xf numFmtId="0" fontId="17" fillId="4" borderId="55" xfId="0" applyFont="1" applyFill="1" applyBorder="1" applyAlignment="1" applyProtection="1">
      <alignment horizontal="center" vertical="center" shrinkToFit="1"/>
      <protection locked="0"/>
    </xf>
    <xf numFmtId="0" fontId="17" fillId="4" borderId="22" xfId="0" applyFont="1" applyFill="1" applyBorder="1" applyAlignment="1" applyProtection="1">
      <alignment horizontal="center" vertical="center" shrinkToFit="1"/>
      <protection locked="0"/>
    </xf>
    <xf numFmtId="0" fontId="17" fillId="4" borderId="56" xfId="0" applyFont="1" applyFill="1" applyBorder="1" applyAlignment="1" applyProtection="1">
      <alignment horizontal="center" vertical="center" shrinkToFit="1"/>
      <protection locked="0"/>
    </xf>
    <xf numFmtId="0" fontId="17" fillId="4" borderId="57" xfId="0" applyFont="1" applyFill="1" applyBorder="1" applyAlignment="1" applyProtection="1">
      <alignment horizontal="center" vertical="center" shrinkToFit="1"/>
      <protection locked="0"/>
    </xf>
    <xf numFmtId="0" fontId="17" fillId="4" borderId="58" xfId="0" applyFont="1" applyFill="1" applyBorder="1" applyAlignment="1" applyProtection="1">
      <alignment horizontal="center" vertical="center" shrinkToFit="1"/>
      <protection locked="0"/>
    </xf>
    <xf numFmtId="0" fontId="17" fillId="4" borderId="62" xfId="0" applyFont="1" applyFill="1" applyBorder="1" applyAlignment="1" applyProtection="1">
      <alignment horizontal="center" vertical="center" shrinkToFit="1"/>
      <protection locked="0"/>
    </xf>
    <xf numFmtId="0" fontId="17" fillId="4" borderId="64" xfId="0" applyFont="1" applyFill="1" applyBorder="1" applyAlignment="1" applyProtection="1">
      <alignment horizontal="center" vertical="center" shrinkToFit="1"/>
      <protection locked="0"/>
    </xf>
    <xf numFmtId="0" fontId="5" fillId="0" borderId="0" xfId="2" applyAlignment="1">
      <alignment vertical="center"/>
    </xf>
    <xf numFmtId="0" fontId="0" fillId="0" borderId="0" xfId="0" applyAlignment="1">
      <alignment vertical="center"/>
    </xf>
    <xf numFmtId="0" fontId="32" fillId="0" borderId="45" xfId="2" applyFont="1" applyBorder="1" applyAlignment="1">
      <alignment horizontal="justify" vertical="center" wrapText="1"/>
    </xf>
    <xf numFmtId="0" fontId="32" fillId="0" borderId="25" xfId="2" applyFont="1" applyBorder="1" applyAlignment="1" applyProtection="1">
      <alignment horizontal="justify" vertical="center" wrapText="1"/>
      <protection locked="0"/>
    </xf>
    <xf numFmtId="0" fontId="32" fillId="0" borderId="25" xfId="2" applyFont="1" applyBorder="1" applyAlignment="1">
      <alignment horizontal="justify" vertical="center" wrapText="1"/>
    </xf>
    <xf numFmtId="0" fontId="33" fillId="0" borderId="0" xfId="2" applyFont="1" applyBorder="1" applyAlignment="1">
      <alignment horizontal="center" vertical="center" wrapText="1"/>
    </xf>
    <xf numFmtId="0" fontId="5" fillId="0" borderId="37" xfId="2" applyBorder="1" applyAlignment="1">
      <alignment vertical="center"/>
    </xf>
    <xf numFmtId="0" fontId="5" fillId="0" borderId="38" xfId="2" applyBorder="1" applyAlignment="1">
      <alignment vertical="center"/>
    </xf>
    <xf numFmtId="0" fontId="5" fillId="0" borderId="25" xfId="2" applyBorder="1" applyAlignment="1">
      <alignment vertical="center" wrapText="1"/>
    </xf>
    <xf numFmtId="0" fontId="33" fillId="0" borderId="25" xfId="2" applyFont="1" applyBorder="1" applyAlignment="1">
      <alignment horizontal="left" vertical="center" wrapText="1"/>
    </xf>
    <xf numFmtId="0" fontId="5" fillId="0" borderId="30" xfId="2" applyBorder="1" applyAlignment="1">
      <alignment vertical="center"/>
    </xf>
    <xf numFmtId="0" fontId="33" fillId="0" borderId="23" xfId="2" applyFont="1" applyBorder="1" applyAlignment="1">
      <alignment horizontal="center" vertical="center"/>
    </xf>
    <xf numFmtId="0" fontId="33" fillId="0" borderId="23" xfId="2" applyFont="1" applyBorder="1" applyAlignment="1">
      <alignment horizontal="left" vertical="center" wrapText="1"/>
    </xf>
    <xf numFmtId="0" fontId="33" fillId="0" borderId="23" xfId="2" applyFont="1" applyBorder="1" applyAlignment="1">
      <alignment horizontal="right" vertical="center" wrapText="1"/>
    </xf>
    <xf numFmtId="0" fontId="33" fillId="0" borderId="0" xfId="2" applyFont="1" applyBorder="1" applyAlignment="1">
      <alignment horizontal="left" vertical="center"/>
    </xf>
    <xf numFmtId="0" fontId="32" fillId="0" borderId="0" xfId="2" applyFont="1" applyAlignment="1">
      <alignment vertical="center"/>
    </xf>
    <xf numFmtId="0" fontId="5" fillId="0" borderId="0" xfId="2" applyAlignment="1">
      <alignment horizontal="center" vertical="center"/>
    </xf>
    <xf numFmtId="0" fontId="5" fillId="0" borderId="0" xfId="2">
      <alignment vertical="center"/>
    </xf>
    <xf numFmtId="0" fontId="5" fillId="0" borderId="0" xfId="2" applyAlignment="1">
      <alignment vertical="center"/>
    </xf>
    <xf numFmtId="0" fontId="5" fillId="0" borderId="0" xfId="2" applyAlignment="1">
      <alignment horizontal="center" vertical="center"/>
    </xf>
    <xf numFmtId="0" fontId="5" fillId="0" borderId="0" xfId="2">
      <alignment vertical="center"/>
    </xf>
    <xf numFmtId="176" fontId="33" fillId="0" borderId="0" xfId="2" applyNumberFormat="1" applyFont="1" applyBorder="1" applyAlignment="1">
      <alignment horizontal="left" vertical="center" wrapText="1"/>
    </xf>
    <xf numFmtId="176" fontId="33" fillId="0" borderId="0" xfId="2" applyNumberFormat="1" applyFont="1" applyBorder="1" applyAlignment="1">
      <alignment horizontal="center" vertical="center" wrapText="1"/>
    </xf>
    <xf numFmtId="0" fontId="32" fillId="0" borderId="0" xfId="0" applyFont="1" applyBorder="1" applyAlignment="1" applyProtection="1">
      <alignment horizontal="left" vertical="center" wrapText="1"/>
    </xf>
    <xf numFmtId="176" fontId="33" fillId="0" borderId="46" xfId="2" applyNumberFormat="1" applyFont="1" applyBorder="1" applyAlignment="1">
      <alignment horizontal="left" vertical="center" wrapText="1"/>
    </xf>
    <xf numFmtId="176" fontId="33" fillId="0" borderId="46" xfId="2" applyNumberFormat="1" applyFont="1" applyBorder="1" applyAlignment="1">
      <alignment horizontal="center" vertical="center" wrapText="1"/>
    </xf>
    <xf numFmtId="0" fontId="32" fillId="0" borderId="2" xfId="0" applyFont="1" applyBorder="1" applyAlignment="1" applyProtection="1">
      <alignment horizontal="left" vertical="center" wrapText="1"/>
    </xf>
    <xf numFmtId="176" fontId="33" fillId="0" borderId="2" xfId="2" applyNumberFormat="1" applyFont="1" applyBorder="1" applyAlignment="1">
      <alignment horizontal="center" vertical="center" wrapText="1"/>
    </xf>
    <xf numFmtId="0" fontId="5" fillId="0" borderId="0" xfId="2" applyBorder="1">
      <alignment vertical="center"/>
    </xf>
    <xf numFmtId="0" fontId="31" fillId="0" borderId="0" xfId="2" applyFont="1" applyBorder="1" applyAlignment="1">
      <alignment horizontal="justify" vertical="center" wrapText="1"/>
    </xf>
    <xf numFmtId="0" fontId="35" fillId="0" borderId="43" xfId="2" applyFont="1" applyBorder="1" applyAlignment="1">
      <alignment horizontal="justify" vertical="center"/>
    </xf>
    <xf numFmtId="0" fontId="5" fillId="0" borderId="47" xfId="2" applyBorder="1">
      <alignment vertical="center"/>
    </xf>
    <xf numFmtId="0" fontId="32" fillId="0" borderId="43" xfId="0" applyFont="1" applyBorder="1" applyAlignment="1" applyProtection="1">
      <alignment horizontal="center" vertical="center" wrapText="1"/>
    </xf>
    <xf numFmtId="176" fontId="33" fillId="0" borderId="48" xfId="2" applyNumberFormat="1" applyFont="1" applyBorder="1" applyAlignment="1">
      <alignment horizontal="center" vertical="center" wrapText="1"/>
    </xf>
    <xf numFmtId="176" fontId="33" fillId="0" borderId="2" xfId="2" applyNumberFormat="1" applyFont="1" applyBorder="1" applyAlignment="1">
      <alignment horizontal="left" vertical="center" wrapText="1"/>
    </xf>
    <xf numFmtId="0" fontId="32" fillId="0" borderId="47" xfId="0" applyFont="1" applyBorder="1" applyAlignment="1" applyProtection="1">
      <alignment horizontal="left" vertical="center" wrapText="1"/>
    </xf>
    <xf numFmtId="0" fontId="33" fillId="0" borderId="47" xfId="2" applyFont="1" applyBorder="1" applyAlignment="1">
      <alignment horizontal="left" vertical="center" wrapText="1"/>
    </xf>
    <xf numFmtId="0" fontId="33" fillId="0" borderId="47" xfId="2" applyFont="1" applyBorder="1" applyAlignment="1">
      <alignment horizontal="center" vertical="center" wrapText="1"/>
    </xf>
    <xf numFmtId="0" fontId="33" fillId="0" borderId="2" xfId="2" applyFont="1" applyBorder="1" applyAlignment="1">
      <alignment horizontal="center" vertical="center" wrapText="1"/>
    </xf>
    <xf numFmtId="0" fontId="32" fillId="0" borderId="2" xfId="0" applyFont="1" applyBorder="1" applyAlignment="1" applyProtection="1">
      <alignment horizontal="center" vertical="center" wrapText="1"/>
    </xf>
    <xf numFmtId="0" fontId="0" fillId="0" borderId="48" xfId="0" applyBorder="1" applyProtection="1">
      <alignment vertical="center"/>
    </xf>
    <xf numFmtId="176" fontId="5" fillId="0" borderId="2" xfId="2" applyNumberFormat="1" applyBorder="1">
      <alignment vertical="center"/>
    </xf>
    <xf numFmtId="0" fontId="14" fillId="0" borderId="0" xfId="0"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shrinkToFit="1"/>
    </xf>
    <xf numFmtId="0" fontId="49" fillId="0" borderId="0" xfId="0" applyFont="1" applyProtection="1">
      <alignment vertical="center"/>
    </xf>
    <xf numFmtId="0" fontId="44" fillId="0" borderId="0" xfId="0" applyFont="1" applyAlignment="1" applyProtection="1">
      <alignment horizontal="right" vertical="center" indent="1"/>
    </xf>
    <xf numFmtId="0" fontId="37" fillId="0" borderId="0" xfId="0" applyFont="1" applyProtection="1">
      <alignment vertical="center"/>
    </xf>
    <xf numFmtId="0" fontId="45" fillId="0" borderId="1" xfId="1" applyFont="1" applyBorder="1" applyAlignment="1" applyProtection="1">
      <alignment horizontal="center" vertical="center" wrapText="1"/>
    </xf>
    <xf numFmtId="0" fontId="43" fillId="0" borderId="1" xfId="1" applyFont="1" applyBorder="1" applyAlignment="1" applyProtection="1">
      <alignment horizontal="center" vertical="center" wrapText="1"/>
    </xf>
    <xf numFmtId="0" fontId="46" fillId="0" borderId="0" xfId="1" applyFont="1" applyFill="1" applyBorder="1" applyAlignment="1" applyProtection="1">
      <alignment vertical="center"/>
    </xf>
    <xf numFmtId="0" fontId="6" fillId="0" borderId="0" xfId="0" applyFont="1" applyAlignment="1" applyProtection="1">
      <alignment vertical="center"/>
    </xf>
    <xf numFmtId="0" fontId="47" fillId="0" borderId="0" xfId="0" applyFont="1" applyAlignment="1" applyProtection="1">
      <alignment vertical="center"/>
    </xf>
    <xf numFmtId="0" fontId="42" fillId="0" borderId="0" xfId="0" applyFont="1" applyAlignment="1" applyProtection="1">
      <alignment vertical="center"/>
    </xf>
    <xf numFmtId="0" fontId="42" fillId="0" borderId="0" xfId="0" applyFont="1" applyProtection="1">
      <alignment vertical="center"/>
    </xf>
    <xf numFmtId="0" fontId="48" fillId="0" borderId="0" xfId="0" applyFont="1" applyAlignment="1" applyProtection="1">
      <alignment vertical="center"/>
    </xf>
    <xf numFmtId="0" fontId="37" fillId="0" borderId="0" xfId="0" applyFont="1" applyAlignment="1" applyProtection="1">
      <alignment vertical="center"/>
    </xf>
    <xf numFmtId="0" fontId="44" fillId="4" borderId="1" xfId="0" applyFont="1" applyFill="1" applyBorder="1" applyAlignment="1" applyProtection="1">
      <alignment horizontal="center" vertical="center"/>
      <protection locked="0"/>
    </xf>
    <xf numFmtId="0" fontId="49" fillId="0" borderId="0" xfId="0" applyFont="1" applyAlignment="1" applyProtection="1">
      <alignment horizontal="center" vertical="center"/>
    </xf>
    <xf numFmtId="0" fontId="50" fillId="0" borderId="0" xfId="0" applyFont="1" applyAlignment="1" applyProtection="1">
      <alignment horizontal="center" vertical="center"/>
    </xf>
    <xf numFmtId="0" fontId="15" fillId="0" borderId="3" xfId="0" applyFont="1" applyBorder="1" applyAlignment="1" applyProtection="1">
      <alignment vertical="center"/>
    </xf>
    <xf numFmtId="0" fontId="0" fillId="0" borderId="0" xfId="0" applyAlignment="1" applyProtection="1">
      <alignment horizontal="left" vertical="center" indent="2"/>
    </xf>
    <xf numFmtId="0" fontId="37" fillId="0" borderId="0" xfId="0" applyFont="1" applyAlignment="1" applyProtection="1">
      <alignment horizontal="left" vertical="center" indent="2"/>
    </xf>
    <xf numFmtId="0" fontId="0" fillId="0" borderId="22" xfId="0" applyFont="1" applyBorder="1" applyAlignment="1">
      <alignment vertical="top"/>
    </xf>
    <xf numFmtId="0" fontId="0" fillId="0" borderId="22" xfId="0" applyFont="1" applyBorder="1" applyAlignment="1">
      <alignment horizontal="center" vertical="top"/>
    </xf>
    <xf numFmtId="0" fontId="0" fillId="0" borderId="22" xfId="3" applyFont="1" applyBorder="1" applyAlignment="1">
      <alignment vertical="top" wrapText="1"/>
    </xf>
    <xf numFmtId="0" fontId="0" fillId="0" borderId="0" xfId="3" applyFont="1" applyBorder="1" applyAlignment="1">
      <alignment vertical="top" wrapText="1"/>
    </xf>
    <xf numFmtId="0" fontId="0" fillId="0" borderId="0" xfId="0" applyFont="1" applyBorder="1" applyAlignment="1">
      <alignment vertical="top"/>
    </xf>
    <xf numFmtId="0" fontId="0" fillId="0" borderId="20" xfId="0" applyFont="1" applyBorder="1" applyAlignment="1">
      <alignment vertical="center"/>
    </xf>
    <xf numFmtId="0" fontId="0" fillId="0" borderId="17" xfId="0" applyFont="1" applyBorder="1" applyAlignment="1">
      <alignment vertical="center"/>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0" fillId="0" borderId="65" xfId="3" applyFont="1" applyBorder="1" applyAlignment="1">
      <alignment horizontal="center" vertical="center" wrapText="1"/>
    </xf>
    <xf numFmtId="0" fontId="0" fillId="0" borderId="66" xfId="3" applyFont="1" applyBorder="1" applyAlignment="1">
      <alignment horizontal="center" vertical="center" wrapText="1"/>
    </xf>
    <xf numFmtId="0" fontId="0" fillId="0" borderId="0" xfId="3" applyFont="1" applyBorder="1" applyAlignment="1">
      <alignment vertical="center" wrapText="1"/>
    </xf>
    <xf numFmtId="0" fontId="0" fillId="0" borderId="0" xfId="0" applyFont="1" applyBorder="1">
      <alignment vertical="center"/>
    </xf>
    <xf numFmtId="0" fontId="0" fillId="0" borderId="62" xfId="0" applyFont="1" applyBorder="1" applyAlignment="1">
      <alignment horizontal="center" vertical="center" wrapText="1"/>
    </xf>
    <xf numFmtId="0" fontId="53" fillId="0" borderId="67" xfId="0" applyFont="1"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20" xfId="0" applyFont="1" applyBorder="1" applyAlignment="1">
      <alignment vertical="top"/>
    </xf>
    <xf numFmtId="0" fontId="54" fillId="0" borderId="0" xfId="0" applyFont="1" applyBorder="1" applyAlignment="1">
      <alignment horizontal="center" vertical="center"/>
    </xf>
    <xf numFmtId="0" fontId="55" fillId="0" borderId="0" xfId="4" quotePrefix="1" applyFont="1" applyFill="1" applyBorder="1" applyAlignment="1">
      <alignment vertical="center"/>
    </xf>
    <xf numFmtId="0" fontId="56" fillId="0" borderId="35" xfId="4" applyFont="1" applyFill="1" applyBorder="1" applyAlignment="1">
      <alignment horizontal="center" vertical="center"/>
    </xf>
    <xf numFmtId="0" fontId="57" fillId="5" borderId="12" xfId="0" applyFont="1" applyFill="1" applyBorder="1">
      <alignment vertical="center"/>
    </xf>
    <xf numFmtId="0" fontId="55" fillId="0" borderId="0" xfId="4" applyFont="1" applyFill="1" applyBorder="1" applyAlignment="1">
      <alignment vertical="center"/>
    </xf>
    <xf numFmtId="0" fontId="57" fillId="6" borderId="12" xfId="0" applyFont="1" applyFill="1" applyBorder="1">
      <alignment vertical="center"/>
    </xf>
    <xf numFmtId="0" fontId="37" fillId="0" borderId="0" xfId="0" applyFont="1" applyAlignment="1" applyProtection="1">
      <alignment vertical="center"/>
    </xf>
    <xf numFmtId="0" fontId="3" fillId="0" borderId="0" xfId="2" applyFont="1" applyAlignment="1">
      <alignment vertical="center"/>
    </xf>
    <xf numFmtId="0" fontId="0" fillId="0" borderId="0" xfId="0" applyAlignment="1" applyProtection="1">
      <alignment horizontal="left" vertical="center"/>
    </xf>
    <xf numFmtId="0" fontId="22" fillId="0" borderId="0" xfId="2" applyFont="1" applyAlignment="1">
      <alignment horizontal="left" vertical="center"/>
    </xf>
    <xf numFmtId="0" fontId="22" fillId="0" borderId="0" xfId="2" applyFont="1">
      <alignment vertical="center"/>
    </xf>
    <xf numFmtId="0" fontId="37" fillId="0" borderId="0" xfId="0" applyFont="1" applyAlignment="1" applyProtection="1">
      <alignment horizontal="left" vertical="center" indent="2"/>
    </xf>
    <xf numFmtId="0" fontId="5" fillId="0" borderId="0" xfId="2" applyAlignment="1">
      <alignment vertical="center"/>
    </xf>
    <xf numFmtId="0" fontId="5" fillId="0" borderId="0" xfId="2">
      <alignment vertical="center"/>
    </xf>
    <xf numFmtId="0" fontId="17" fillId="4" borderId="67" xfId="0" applyFont="1" applyFill="1" applyBorder="1" applyAlignment="1" applyProtection="1">
      <alignment horizontal="center" vertical="center" shrinkToFit="1"/>
      <protection locked="0"/>
    </xf>
    <xf numFmtId="0" fontId="19" fillId="0" borderId="0" xfId="0" applyFont="1" applyBorder="1" applyAlignment="1" applyProtection="1">
      <alignment horizontal="center" vertical="center" wrapText="1"/>
    </xf>
    <xf numFmtId="0" fontId="19"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33" fillId="4" borderId="0" xfId="2" applyFont="1" applyFill="1" applyBorder="1" applyAlignment="1">
      <alignment horizontal="left" vertical="center" wrapText="1"/>
    </xf>
    <xf numFmtId="0" fontId="5" fillId="0" borderId="0" xfId="2" applyAlignment="1">
      <alignment vertical="center"/>
    </xf>
    <xf numFmtId="0" fontId="5" fillId="0" borderId="0" xfId="2">
      <alignment vertical="center"/>
    </xf>
    <xf numFmtId="0" fontId="17" fillId="4" borderId="68" xfId="0" applyFont="1" applyFill="1" applyBorder="1" applyAlignment="1" applyProtection="1">
      <alignment horizontal="center" vertical="center" shrinkToFit="1"/>
      <protection locked="0"/>
    </xf>
    <xf numFmtId="0" fontId="17" fillId="4" borderId="66" xfId="0" applyFont="1" applyFill="1" applyBorder="1" applyAlignment="1" applyProtection="1">
      <alignment horizontal="center" vertical="center" shrinkToFit="1"/>
      <protection locked="0"/>
    </xf>
    <xf numFmtId="0" fontId="17" fillId="4" borderId="18" xfId="0" applyFont="1" applyFill="1" applyBorder="1" applyAlignment="1" applyProtection="1">
      <alignment horizontal="center" vertical="center" shrinkToFit="1"/>
      <protection locked="0"/>
    </xf>
    <xf numFmtId="0" fontId="17" fillId="4" borderId="5"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xf>
    <xf numFmtId="0" fontId="21" fillId="0" borderId="0" xfId="0" applyFont="1" applyFill="1" applyBorder="1" applyAlignment="1" applyProtection="1">
      <alignment vertical="center"/>
    </xf>
    <xf numFmtId="0" fontId="0" fillId="0" borderId="0" xfId="0" applyFill="1" applyBorder="1" applyAlignment="1" applyProtection="1">
      <alignment vertical="center" shrinkToFit="1"/>
    </xf>
    <xf numFmtId="0" fontId="21" fillId="0" borderId="0" xfId="0" applyFont="1" applyBorder="1" applyAlignment="1" applyProtection="1">
      <alignment vertical="center" wrapText="1"/>
    </xf>
    <xf numFmtId="0" fontId="0" fillId="0" borderId="0" xfId="0" applyBorder="1" applyAlignment="1" applyProtection="1">
      <alignment vertical="center" shrinkToFit="1"/>
    </xf>
    <xf numFmtId="0" fontId="19" fillId="0" borderId="0" xfId="0" applyFont="1" applyFill="1" applyBorder="1" applyAlignment="1" applyProtection="1">
      <alignment horizontal="center" vertical="center"/>
    </xf>
    <xf numFmtId="0" fontId="27" fillId="0" borderId="0" xfId="0" applyFont="1" applyFill="1" applyBorder="1" applyProtection="1">
      <alignment vertical="center"/>
    </xf>
    <xf numFmtId="0" fontId="41" fillId="0" borderId="0" xfId="0" applyFont="1" applyFill="1" applyBorder="1" applyProtection="1">
      <alignment vertical="center"/>
    </xf>
    <xf numFmtId="0" fontId="5" fillId="0" borderId="0" xfId="2" applyAlignment="1">
      <alignment vertical="center"/>
    </xf>
    <xf numFmtId="0" fontId="5" fillId="0" borderId="0" xfId="2">
      <alignment vertical="center"/>
    </xf>
    <xf numFmtId="0" fontId="17" fillId="4" borderId="69" xfId="0" applyFont="1" applyFill="1" applyBorder="1" applyAlignment="1" applyProtection="1">
      <alignment horizontal="center" vertical="center" shrinkToFit="1"/>
      <protection locked="0"/>
    </xf>
    <xf numFmtId="0" fontId="17" fillId="4" borderId="70" xfId="0" applyFont="1" applyFill="1" applyBorder="1" applyAlignment="1" applyProtection="1">
      <alignment horizontal="center" vertical="center" shrinkToFit="1"/>
      <protection locked="0"/>
    </xf>
    <xf numFmtId="0" fontId="17" fillId="4" borderId="71" xfId="0" applyFont="1" applyFill="1" applyBorder="1" applyAlignment="1" applyProtection="1">
      <alignment horizontal="center" vertical="center" shrinkToFit="1"/>
      <protection locked="0"/>
    </xf>
    <xf numFmtId="0" fontId="17" fillId="4" borderId="72" xfId="0" applyFont="1" applyFill="1" applyBorder="1" applyAlignment="1" applyProtection="1">
      <alignment horizontal="center" vertical="center" shrinkToFit="1"/>
      <protection locked="0"/>
    </xf>
    <xf numFmtId="0" fontId="17" fillId="4" borderId="73" xfId="0" applyFont="1" applyFill="1" applyBorder="1" applyAlignment="1" applyProtection="1">
      <alignment horizontal="center" vertical="center" shrinkToFit="1"/>
      <protection locked="0"/>
    </xf>
    <xf numFmtId="0" fontId="5" fillId="0" borderId="0" xfId="2" applyAlignment="1">
      <alignment vertical="center"/>
    </xf>
    <xf numFmtId="0" fontId="5" fillId="0" borderId="0" xfId="2">
      <alignment vertical="center"/>
    </xf>
    <xf numFmtId="0" fontId="17" fillId="4" borderId="74" xfId="0" applyFont="1" applyFill="1" applyBorder="1" applyAlignment="1" applyProtection="1">
      <alignment horizontal="center" vertical="center" shrinkToFit="1"/>
      <protection locked="0"/>
    </xf>
    <xf numFmtId="0" fontId="37" fillId="0" borderId="0" xfId="0" applyFont="1" applyAlignment="1" applyProtection="1">
      <alignment horizontal="left" vertical="center" indent="2"/>
    </xf>
    <xf numFmtId="0" fontId="37" fillId="0" borderId="0" xfId="0" applyFont="1" applyAlignment="1" applyProtection="1">
      <alignment vertical="center"/>
    </xf>
    <xf numFmtId="0" fontId="38" fillId="0" borderId="0" xfId="0" applyFont="1" applyAlignment="1" applyProtection="1">
      <alignment vertical="center"/>
    </xf>
    <xf numFmtId="0" fontId="5" fillId="0" borderId="0" xfId="2" applyAlignment="1">
      <alignment vertical="center"/>
    </xf>
    <xf numFmtId="0" fontId="5" fillId="0" borderId="0" xfId="2">
      <alignment vertical="center"/>
    </xf>
    <xf numFmtId="0" fontId="18" fillId="0" borderId="0" xfId="0" applyFont="1" applyFill="1" applyBorder="1" applyAlignment="1" applyProtection="1">
      <alignment horizontal="center" vertical="center" shrinkToFit="1"/>
    </xf>
    <xf numFmtId="0" fontId="19" fillId="0" borderId="75" xfId="0" applyFont="1" applyBorder="1" applyProtection="1">
      <alignment vertical="center"/>
    </xf>
    <xf numFmtId="0" fontId="19" fillId="4" borderId="75" xfId="0" applyFont="1" applyFill="1" applyBorder="1" applyAlignment="1" applyProtection="1">
      <alignment horizontal="center" vertical="center"/>
      <protection locked="0"/>
    </xf>
    <xf numFmtId="0" fontId="17" fillId="0" borderId="75" xfId="0" applyFont="1" applyFill="1" applyBorder="1" applyAlignment="1" applyProtection="1">
      <alignment horizontal="left" vertical="center" shrinkToFit="1"/>
    </xf>
    <xf numFmtId="0" fontId="19" fillId="0" borderId="11" xfId="0" applyFont="1" applyBorder="1" applyAlignment="1" applyProtection="1">
      <alignment horizontal="center" vertical="center"/>
    </xf>
    <xf numFmtId="0" fontId="19" fillId="0" borderId="76" xfId="0" applyFont="1" applyBorder="1" applyAlignment="1" applyProtection="1">
      <alignment horizontal="center" vertical="center"/>
    </xf>
    <xf numFmtId="0" fontId="27" fillId="0" borderId="76" xfId="0" applyFont="1" applyBorder="1" applyProtection="1">
      <alignment vertical="center"/>
    </xf>
    <xf numFmtId="0" fontId="27" fillId="0" borderId="13" xfId="0" applyFont="1" applyBorder="1" applyAlignment="1" applyProtection="1">
      <alignment vertical="center" shrinkToFit="1"/>
    </xf>
    <xf numFmtId="0" fontId="19" fillId="0" borderId="78" xfId="0" applyFont="1" applyBorder="1" applyAlignment="1" applyProtection="1">
      <alignment horizontal="center" vertical="center"/>
    </xf>
    <xf numFmtId="0" fontId="19" fillId="0" borderId="80" xfId="0" applyFont="1" applyBorder="1" applyAlignment="1" applyProtection="1">
      <alignment horizontal="left" vertical="center"/>
    </xf>
    <xf numFmtId="0" fontId="19" fillId="4" borderId="80" xfId="0" applyFont="1" applyFill="1" applyBorder="1" applyAlignment="1" applyProtection="1">
      <alignment horizontal="center" vertical="center"/>
      <protection locked="0"/>
    </xf>
    <xf numFmtId="0" fontId="33" fillId="0" borderId="46" xfId="2" applyFont="1" applyBorder="1" applyAlignment="1">
      <alignment horizontal="center" vertical="center" wrapText="1"/>
    </xf>
    <xf numFmtId="177" fontId="33" fillId="0" borderId="24" xfId="2" applyNumberFormat="1" applyFont="1" applyBorder="1" applyAlignment="1">
      <alignment horizontal="center" vertical="center" wrapText="1"/>
    </xf>
    <xf numFmtId="0" fontId="37" fillId="0" borderId="0" xfId="0" applyFont="1" applyAlignment="1" applyProtection="1">
      <alignment vertical="center" wrapText="1"/>
    </xf>
    <xf numFmtId="0" fontId="37" fillId="0" borderId="0" xfId="0" applyFont="1" applyAlignment="1" applyProtection="1">
      <alignment horizontal="left" vertical="center" wrapText="1" indent="2"/>
    </xf>
    <xf numFmtId="0" fontId="0" fillId="0" borderId="0" xfId="0" applyFont="1" applyAlignment="1" applyProtection="1">
      <alignment horizontal="left" vertical="center"/>
    </xf>
    <xf numFmtId="0" fontId="17" fillId="4" borderId="87" xfId="0" applyFont="1" applyFill="1" applyBorder="1" applyAlignment="1" applyProtection="1">
      <alignment horizontal="center" vertical="center" shrinkToFit="1"/>
      <protection locked="0"/>
    </xf>
    <xf numFmtId="0" fontId="17" fillId="4" borderId="88" xfId="0" applyFont="1" applyFill="1" applyBorder="1" applyAlignment="1" applyProtection="1">
      <alignment horizontal="center" vertical="center" shrinkToFit="1"/>
      <protection locked="0"/>
    </xf>
    <xf numFmtId="0" fontId="0" fillId="0" borderId="35" xfId="3" applyFont="1" applyBorder="1" applyAlignment="1">
      <alignment horizontal="center" vertical="center" wrapText="1"/>
    </xf>
    <xf numFmtId="0" fontId="5" fillId="0" borderId="0" xfId="2" applyAlignment="1">
      <alignment vertical="center"/>
    </xf>
    <xf numFmtId="0" fontId="5" fillId="0" borderId="0" xfId="2">
      <alignment vertical="center"/>
    </xf>
    <xf numFmtId="0" fontId="19" fillId="0" borderId="0" xfId="0" applyFont="1" applyFill="1" applyBorder="1" applyAlignment="1" applyProtection="1">
      <alignment horizontal="center" vertical="center" wrapText="1"/>
    </xf>
    <xf numFmtId="0" fontId="17" fillId="4" borderId="89" xfId="0" applyFont="1" applyFill="1" applyBorder="1" applyAlignment="1" applyProtection="1">
      <alignment horizontal="center" vertical="center" shrinkToFit="1"/>
      <protection locked="0"/>
    </xf>
    <xf numFmtId="0" fontId="17" fillId="4" borderId="90" xfId="0" applyFont="1" applyFill="1" applyBorder="1" applyAlignment="1" applyProtection="1">
      <alignment horizontal="center" vertical="center" shrinkToFit="1"/>
      <protection locked="0"/>
    </xf>
    <xf numFmtId="0" fontId="17" fillId="4" borderId="91" xfId="0" applyFont="1" applyFill="1" applyBorder="1" applyAlignment="1" applyProtection="1">
      <alignment horizontal="center" vertical="center" shrinkToFit="1"/>
      <protection locked="0"/>
    </xf>
    <xf numFmtId="0" fontId="19" fillId="0" borderId="92" xfId="0" applyFont="1" applyBorder="1" applyAlignment="1" applyProtection="1">
      <alignment horizontal="center" vertical="center"/>
    </xf>
    <xf numFmtId="0" fontId="14" fillId="0" borderId="0" xfId="0" applyFont="1" applyFill="1" applyBorder="1" applyAlignment="1" applyProtection="1">
      <alignment vertical="center" shrinkToFit="1"/>
      <protection locked="0"/>
    </xf>
    <xf numFmtId="0" fontId="14" fillId="0" borderId="0" xfId="0" applyFont="1" applyFill="1" applyBorder="1" applyAlignment="1" applyProtection="1">
      <alignment vertical="center"/>
      <protection locked="0"/>
    </xf>
    <xf numFmtId="0" fontId="27" fillId="0" borderId="0" xfId="0" applyFont="1" applyAlignment="1" applyProtection="1">
      <alignment horizontal="left" vertical="center"/>
    </xf>
    <xf numFmtId="0" fontId="32" fillId="0" borderId="0" xfId="2" applyFont="1" applyAlignment="1">
      <alignment vertical="center" wrapText="1"/>
    </xf>
    <xf numFmtId="0" fontId="35" fillId="0" borderId="0" xfId="2" applyFont="1" applyAlignment="1">
      <alignment vertical="center" wrapText="1"/>
    </xf>
    <xf numFmtId="0" fontId="30" fillId="0" borderId="0" xfId="2" applyFont="1" applyAlignment="1">
      <alignment vertical="center" wrapText="1"/>
    </xf>
    <xf numFmtId="0" fontId="5" fillId="0" borderId="0" xfId="2" applyAlignment="1">
      <alignment vertical="center"/>
    </xf>
    <xf numFmtId="0" fontId="5" fillId="0" borderId="0" xfId="2" applyAlignment="1">
      <alignment horizontal="left" vertical="center"/>
    </xf>
    <xf numFmtId="0" fontId="32" fillId="0" borderId="0" xfId="2" applyFont="1" applyAlignment="1">
      <alignment horizontal="justify" vertical="center" wrapText="1"/>
    </xf>
    <xf numFmtId="0" fontId="35" fillId="0" borderId="0" xfId="2" applyFont="1" applyAlignment="1">
      <alignment horizontal="justify" vertical="center" wrapText="1"/>
    </xf>
    <xf numFmtId="0" fontId="5" fillId="0" borderId="0" xfId="2">
      <alignment vertical="center"/>
    </xf>
    <xf numFmtId="0" fontId="14" fillId="0" borderId="0" xfId="0" applyFont="1" applyFill="1" applyBorder="1" applyAlignment="1" applyProtection="1">
      <alignment horizontal="left" vertical="center" shrinkToFit="1"/>
      <protection locked="0"/>
    </xf>
    <xf numFmtId="0" fontId="59" fillId="0" borderId="0" xfId="0" applyFont="1" applyAlignment="1" applyProtection="1">
      <alignment horizontal="left" vertical="center"/>
    </xf>
    <xf numFmtId="0" fontId="22" fillId="0" borderId="0" xfId="2" applyFont="1" applyAlignment="1">
      <alignment horizontal="center" vertical="center"/>
    </xf>
    <xf numFmtId="0" fontId="60" fillId="0" borderId="0" xfId="2" applyFont="1" applyAlignment="1">
      <alignment horizontal="center" vertical="center"/>
    </xf>
    <xf numFmtId="0" fontId="1" fillId="0" borderId="0" xfId="2" applyFont="1" applyAlignment="1">
      <alignment vertical="center"/>
    </xf>
    <xf numFmtId="0" fontId="19" fillId="0" borderId="0" xfId="0" applyFont="1" applyBorder="1" applyAlignment="1" applyProtection="1">
      <alignment horizontal="center" vertical="center"/>
    </xf>
    <xf numFmtId="0" fontId="0" fillId="0" borderId="0" xfId="0" applyBorder="1" applyAlignment="1" applyProtection="1">
      <alignment vertical="center"/>
    </xf>
    <xf numFmtId="0" fontId="15" fillId="0" borderId="94" xfId="0" applyFont="1" applyBorder="1" applyAlignment="1" applyProtection="1">
      <alignment vertical="center" wrapText="1"/>
    </xf>
    <xf numFmtId="0" fontId="15" fillId="0" borderId="95" xfId="0" applyFont="1" applyBorder="1" applyAlignment="1" applyProtection="1">
      <alignment horizontal="center" vertical="center" wrapText="1"/>
    </xf>
    <xf numFmtId="0" fontId="15" fillId="0" borderId="96" xfId="0" applyFont="1" applyBorder="1" applyAlignment="1" applyProtection="1">
      <alignment horizontal="center" vertical="center" wrapText="1"/>
    </xf>
    <xf numFmtId="0" fontId="17" fillId="4" borderId="99" xfId="0" applyFont="1" applyFill="1" applyBorder="1" applyAlignment="1" applyProtection="1">
      <alignment horizontal="center" vertical="center" shrinkToFit="1"/>
      <protection locked="0"/>
    </xf>
    <xf numFmtId="0" fontId="17" fillId="4" borderId="100" xfId="0" applyFont="1" applyFill="1" applyBorder="1" applyAlignment="1" applyProtection="1">
      <alignment horizontal="center" vertical="center" shrinkToFit="1"/>
      <protection locked="0"/>
    </xf>
    <xf numFmtId="0" fontId="17" fillId="4" borderId="101" xfId="0" applyFont="1" applyFill="1" applyBorder="1" applyAlignment="1" applyProtection="1">
      <alignment horizontal="center" vertical="center" shrinkToFit="1"/>
      <protection locked="0"/>
    </xf>
    <xf numFmtId="0" fontId="17" fillId="4" borderId="102" xfId="0" applyFont="1" applyFill="1" applyBorder="1" applyAlignment="1" applyProtection="1">
      <alignment horizontal="center" vertical="center" shrinkToFit="1"/>
      <protection locked="0"/>
    </xf>
    <xf numFmtId="0" fontId="17" fillId="4" borderId="103" xfId="0" applyFont="1" applyFill="1" applyBorder="1" applyAlignment="1" applyProtection="1">
      <alignment horizontal="center" vertical="center" shrinkToFit="1"/>
      <protection locked="0"/>
    </xf>
    <xf numFmtId="0" fontId="17" fillId="4" borderId="104" xfId="0" applyFont="1" applyFill="1" applyBorder="1" applyAlignment="1" applyProtection="1">
      <alignment horizontal="center" vertical="center" shrinkToFit="1"/>
      <protection locked="0"/>
    </xf>
    <xf numFmtId="0" fontId="17" fillId="4" borderId="105" xfId="0" applyFont="1" applyFill="1" applyBorder="1" applyAlignment="1" applyProtection="1">
      <alignment horizontal="center" vertical="center" shrinkToFit="1"/>
      <protection locked="0"/>
    </xf>
    <xf numFmtId="0" fontId="17" fillId="4" borderId="93" xfId="0" applyFont="1" applyFill="1" applyBorder="1" applyAlignment="1" applyProtection="1">
      <alignment horizontal="center" vertical="center" shrinkToFit="1"/>
      <protection locked="0"/>
    </xf>
    <xf numFmtId="0" fontId="17" fillId="4" borderId="106" xfId="0" applyFont="1" applyFill="1" applyBorder="1" applyAlignment="1" applyProtection="1">
      <alignment horizontal="center" vertical="center" shrinkToFit="1"/>
      <protection locked="0"/>
    </xf>
    <xf numFmtId="0" fontId="17" fillId="4" borderId="107" xfId="0" applyFont="1" applyFill="1" applyBorder="1" applyAlignment="1" applyProtection="1">
      <alignment horizontal="center" vertical="center" shrinkToFit="1"/>
      <protection locked="0"/>
    </xf>
    <xf numFmtId="0" fontId="17" fillId="4" borderId="108" xfId="0" applyFont="1" applyFill="1" applyBorder="1" applyAlignment="1" applyProtection="1">
      <alignment horizontal="center" vertical="center" shrinkToFit="1"/>
      <protection locked="0"/>
    </xf>
    <xf numFmtId="0" fontId="17" fillId="4" borderId="96" xfId="0" applyFont="1" applyFill="1" applyBorder="1" applyAlignment="1" applyProtection="1">
      <alignment horizontal="center" vertical="center" shrinkToFit="1"/>
      <protection locked="0"/>
    </xf>
    <xf numFmtId="0" fontId="17" fillId="4" borderId="109" xfId="0" applyFont="1" applyFill="1" applyBorder="1" applyAlignment="1" applyProtection="1">
      <alignment horizontal="center" vertical="center" shrinkToFit="1"/>
      <protection locked="0"/>
    </xf>
    <xf numFmtId="0" fontId="17" fillId="4" borderId="110" xfId="0" applyFont="1" applyFill="1" applyBorder="1" applyAlignment="1" applyProtection="1">
      <alignment horizontal="center" vertical="center" shrinkToFit="1"/>
      <protection locked="0"/>
    </xf>
    <xf numFmtId="0" fontId="17" fillId="4" borderId="111" xfId="0" applyFont="1" applyFill="1" applyBorder="1" applyAlignment="1" applyProtection="1">
      <alignment horizontal="center" vertical="center" shrinkToFit="1"/>
      <protection locked="0"/>
    </xf>
    <xf numFmtId="0" fontId="17" fillId="4" borderId="112" xfId="0" applyFont="1" applyFill="1" applyBorder="1" applyAlignment="1" applyProtection="1">
      <alignment horizontal="center" vertical="center" shrinkToFit="1"/>
      <protection locked="0"/>
    </xf>
    <xf numFmtId="0" fontId="17" fillId="4" borderId="113" xfId="0" applyFont="1" applyFill="1" applyBorder="1" applyAlignment="1" applyProtection="1">
      <alignment horizontal="center" vertical="center" shrinkToFit="1"/>
      <protection locked="0"/>
    </xf>
    <xf numFmtId="0" fontId="19" fillId="0" borderId="18" xfId="0" applyFont="1" applyBorder="1" applyAlignment="1" applyProtection="1">
      <alignment horizontal="center" vertical="center"/>
    </xf>
    <xf numFmtId="0" fontId="19" fillId="0" borderId="64" xfId="0" applyFont="1" applyBorder="1" applyAlignment="1" applyProtection="1">
      <alignment horizontal="left" vertical="center"/>
    </xf>
    <xf numFmtId="0" fontId="27" fillId="0" borderId="114" xfId="0" applyFont="1" applyBorder="1" applyProtection="1">
      <alignment vertical="center"/>
    </xf>
    <xf numFmtId="0" fontId="19" fillId="0" borderId="116" xfId="0" applyFont="1" applyBorder="1" applyProtection="1">
      <alignment vertical="center"/>
    </xf>
    <xf numFmtId="0" fontId="19" fillId="4" borderId="117" xfId="0" applyFont="1" applyFill="1" applyBorder="1" applyAlignment="1" applyProtection="1">
      <alignment horizontal="center" vertical="center"/>
      <protection locked="0"/>
    </xf>
    <xf numFmtId="0" fontId="17" fillId="0" borderId="116" xfId="0" applyFont="1" applyFill="1" applyBorder="1" applyAlignment="1" applyProtection="1">
      <alignment horizontal="left" vertical="center" shrinkToFit="1"/>
    </xf>
    <xf numFmtId="0" fontId="32" fillId="0" borderId="0" xfId="2" applyFont="1" applyAlignment="1">
      <alignment vertical="center" wrapText="1"/>
    </xf>
    <xf numFmtId="0" fontId="5" fillId="0" borderId="0" xfId="2">
      <alignment vertical="center"/>
    </xf>
    <xf numFmtId="0" fontId="32" fillId="0" borderId="0" xfId="2" applyFont="1" applyAlignment="1">
      <alignment horizontal="justify" vertical="center" wrapText="1"/>
    </xf>
    <xf numFmtId="0" fontId="41" fillId="0" borderId="0" xfId="0" applyFont="1" applyAlignment="1" applyProtection="1">
      <alignment vertical="center"/>
    </xf>
    <xf numFmtId="0" fontId="61" fillId="0" borderId="2" xfId="0" applyFont="1" applyBorder="1" applyAlignment="1" applyProtection="1">
      <alignment horizontal="center" vertical="center"/>
    </xf>
    <xf numFmtId="0" fontId="27" fillId="0" borderId="0" xfId="0" applyFont="1" applyAlignment="1" applyProtection="1">
      <alignment horizontal="center" vertical="center"/>
    </xf>
    <xf numFmtId="0" fontId="41" fillId="0" borderId="0" xfId="0" applyFont="1" applyBorder="1" applyAlignment="1" applyProtection="1">
      <alignment horizontal="center" vertical="center" wrapText="1"/>
    </xf>
    <xf numFmtId="0" fontId="41" fillId="0" borderId="23" xfId="0" applyFont="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41" fillId="3" borderId="2" xfId="0" applyFont="1" applyFill="1" applyBorder="1" applyAlignment="1" applyProtection="1">
      <alignment horizontal="center" vertical="center" wrapText="1"/>
    </xf>
    <xf numFmtId="0" fontId="41" fillId="0" borderId="0" xfId="0" applyFont="1" applyAlignment="1" applyProtection="1">
      <alignment horizontal="center" vertical="center" wrapText="1"/>
    </xf>
    <xf numFmtId="0" fontId="41" fillId="0" borderId="14" xfId="0" applyFont="1" applyBorder="1" applyAlignment="1" applyProtection="1">
      <alignment horizontal="center" vertical="center"/>
    </xf>
    <xf numFmtId="0" fontId="41" fillId="0" borderId="26" xfId="0" applyFont="1" applyBorder="1" applyAlignment="1" applyProtection="1">
      <alignment vertical="center" wrapText="1"/>
    </xf>
    <xf numFmtId="0" fontId="41" fillId="0" borderId="26" xfId="0" applyFont="1" applyFill="1" applyBorder="1" applyAlignment="1" applyProtection="1">
      <alignment horizontal="center" vertical="center" wrapText="1"/>
    </xf>
    <xf numFmtId="0" fontId="63" fillId="0" borderId="0" xfId="0" applyFont="1" applyAlignment="1" applyProtection="1">
      <alignment horizontal="center" vertical="center"/>
    </xf>
    <xf numFmtId="0" fontId="41" fillId="0" borderId="59" xfId="0" applyFont="1" applyBorder="1" applyAlignment="1" applyProtection="1">
      <alignment vertical="center"/>
    </xf>
    <xf numFmtId="0" fontId="41" fillId="0" borderId="36" xfId="0" applyFont="1" applyBorder="1" applyAlignment="1" applyProtection="1">
      <alignment vertical="center"/>
    </xf>
    <xf numFmtId="0" fontId="41" fillId="0" borderId="18" xfId="0" applyFont="1" applyBorder="1" applyAlignment="1" applyProtection="1">
      <alignment vertical="center"/>
    </xf>
    <xf numFmtId="0" fontId="41" fillId="0" borderId="27" xfId="0" applyFont="1" applyBorder="1" applyAlignment="1" applyProtection="1">
      <alignment vertical="center" wrapText="1"/>
    </xf>
    <xf numFmtId="0" fontId="41" fillId="0" borderId="27" xfId="0" applyFont="1" applyFill="1" applyBorder="1" applyAlignment="1" applyProtection="1">
      <alignment horizontal="center" vertical="center" wrapText="1"/>
    </xf>
    <xf numFmtId="0" fontId="41" fillId="0" borderId="3" xfId="0" applyFont="1" applyBorder="1" applyAlignment="1" applyProtection="1">
      <alignment vertical="center"/>
    </xf>
    <xf numFmtId="0" fontId="41" fillId="0" borderId="4" xfId="0" applyFont="1" applyBorder="1" applyAlignment="1" applyProtection="1">
      <alignment vertical="center"/>
    </xf>
    <xf numFmtId="0" fontId="41" fillId="0" borderId="5" xfId="0" applyFont="1" applyBorder="1" applyAlignment="1" applyProtection="1">
      <alignment vertical="center"/>
    </xf>
    <xf numFmtId="0" fontId="41" fillId="0" borderId="14" xfId="0" applyFont="1" applyBorder="1" applyAlignment="1" applyProtection="1">
      <alignment horizontal="left" vertical="center"/>
    </xf>
    <xf numFmtId="0" fontId="41" fillId="0" borderId="27" xfId="0" applyFont="1" applyBorder="1" applyAlignment="1" applyProtection="1">
      <alignment horizontal="center" vertical="center" wrapText="1"/>
    </xf>
    <xf numFmtId="0" fontId="41" fillId="0" borderId="27" xfId="0" applyFont="1" applyBorder="1" applyAlignment="1" applyProtection="1">
      <alignment horizontal="center" vertical="center"/>
    </xf>
    <xf numFmtId="0" fontId="41" fillId="0" borderId="14" xfId="0" applyFont="1" applyBorder="1" applyAlignment="1" applyProtection="1">
      <alignment vertical="center"/>
    </xf>
    <xf numFmtId="0" fontId="41" fillId="0" borderId="27" xfId="0" applyFont="1" applyBorder="1" applyAlignment="1" applyProtection="1">
      <alignment vertical="center"/>
    </xf>
    <xf numFmtId="0" fontId="41" fillId="0" borderId="0" xfId="0" applyFont="1" applyBorder="1" applyAlignment="1" applyProtection="1">
      <alignment vertical="center"/>
    </xf>
    <xf numFmtId="0" fontId="41" fillId="0" borderId="8" xfId="0" applyFont="1" applyBorder="1" applyAlignment="1" applyProtection="1">
      <alignment vertical="center"/>
    </xf>
    <xf numFmtId="0" fontId="41" fillId="0" borderId="28" xfId="0" applyFont="1" applyBorder="1" applyAlignment="1" applyProtection="1">
      <alignment vertical="center" wrapText="1"/>
    </xf>
    <xf numFmtId="0" fontId="41" fillId="0" borderId="28" xfId="0" applyFont="1" applyBorder="1" applyAlignment="1" applyProtection="1">
      <alignment vertical="center"/>
    </xf>
    <xf numFmtId="0" fontId="41" fillId="0" borderId="0" xfId="0" applyFont="1" applyAlignment="1" applyProtection="1">
      <alignment vertical="center" wrapText="1"/>
    </xf>
    <xf numFmtId="0" fontId="41" fillId="0" borderId="47" xfId="0" applyFont="1" applyBorder="1" applyAlignment="1" applyProtection="1">
      <alignment vertical="center"/>
    </xf>
    <xf numFmtId="0" fontId="41" fillId="0" borderId="6" xfId="0" applyFont="1" applyBorder="1" applyAlignment="1" applyProtection="1">
      <alignment horizontal="center" vertical="center"/>
    </xf>
    <xf numFmtId="0" fontId="41" fillId="0" borderId="29" xfId="0" applyFont="1" applyBorder="1" applyAlignment="1" applyProtection="1">
      <alignment vertical="center" wrapText="1"/>
    </xf>
    <xf numFmtId="0" fontId="41" fillId="0" borderId="29" xfId="0" applyFont="1" applyFill="1" applyBorder="1" applyAlignment="1" applyProtection="1">
      <alignment horizontal="center" vertical="center" wrapText="1"/>
    </xf>
    <xf numFmtId="0" fontId="41" fillId="0" borderId="28" xfId="0" applyFont="1" applyBorder="1" applyAlignment="1" applyProtection="1">
      <alignment horizontal="center" vertical="center"/>
    </xf>
    <xf numFmtId="0" fontId="64" fillId="0" borderId="27" xfId="0" applyFont="1" applyBorder="1" applyAlignment="1" applyProtection="1">
      <alignment horizontal="center" vertical="center"/>
    </xf>
    <xf numFmtId="0" fontId="41" fillId="0" borderId="6" xfId="0" applyFont="1" applyBorder="1" applyAlignment="1" applyProtection="1">
      <alignment horizontal="center" vertical="center" wrapText="1"/>
    </xf>
    <xf numFmtId="0" fontId="41" fillId="0" borderId="82" xfId="0" applyFont="1" applyBorder="1" applyAlignment="1" applyProtection="1">
      <alignment vertical="center"/>
    </xf>
    <xf numFmtId="0" fontId="41" fillId="0" borderId="83" xfId="0" applyFont="1" applyBorder="1" applyAlignment="1" applyProtection="1">
      <alignment vertical="center"/>
    </xf>
    <xf numFmtId="0" fontId="41" fillId="0" borderId="84" xfId="0" applyFont="1" applyBorder="1" applyAlignment="1" applyProtection="1">
      <alignment horizontal="center" vertical="center"/>
    </xf>
    <xf numFmtId="0" fontId="41" fillId="0" borderId="81" xfId="0" applyFont="1" applyBorder="1" applyAlignment="1" applyProtection="1">
      <alignment vertical="center"/>
    </xf>
    <xf numFmtId="0" fontId="41" fillId="0" borderId="0" xfId="0" applyFont="1" applyAlignment="1" applyProtection="1">
      <alignment horizontal="center" vertical="center"/>
    </xf>
    <xf numFmtId="0" fontId="63" fillId="0" borderId="1" xfId="0" applyFont="1" applyBorder="1" applyAlignment="1" applyProtection="1">
      <alignment horizontal="center" vertical="center"/>
    </xf>
    <xf numFmtId="0" fontId="65" fillId="0" borderId="0" xfId="0" applyFont="1" applyAlignment="1" applyProtection="1">
      <alignment vertical="center"/>
    </xf>
    <xf numFmtId="0" fontId="41" fillId="0" borderId="25" xfId="0" applyFont="1" applyBorder="1" applyAlignment="1" applyProtection="1">
      <alignment vertical="center"/>
    </xf>
    <xf numFmtId="0" fontId="65" fillId="0" borderId="0" xfId="0" applyFont="1" applyAlignment="1" applyProtection="1"/>
    <xf numFmtId="0" fontId="65" fillId="0" borderId="0" xfId="0" applyFont="1" applyAlignment="1" applyProtection="1">
      <alignment vertical="top"/>
    </xf>
    <xf numFmtId="0" fontId="41" fillId="0" borderId="35" xfId="0" applyFont="1" applyFill="1" applyBorder="1" applyAlignment="1" applyProtection="1">
      <alignment horizontal="center" vertical="center" wrapText="1"/>
    </xf>
    <xf numFmtId="0" fontId="41" fillId="0" borderId="26" xfId="0" applyFont="1" applyBorder="1" applyAlignment="1">
      <alignment vertical="top" wrapText="1"/>
    </xf>
    <xf numFmtId="0" fontId="41" fillId="0" borderId="35" xfId="0" applyFont="1" applyBorder="1" applyAlignment="1">
      <alignment horizontal="center" vertical="center" wrapText="1"/>
    </xf>
    <xf numFmtId="0" fontId="41" fillId="0" borderId="27" xfId="0" applyFont="1" applyBorder="1" applyAlignment="1">
      <alignment vertical="top" wrapText="1"/>
    </xf>
    <xf numFmtId="0" fontId="41" fillId="0" borderId="82" xfId="0" applyFont="1" applyBorder="1" applyAlignment="1">
      <alignment horizontal="center" vertical="center" wrapText="1"/>
    </xf>
    <xf numFmtId="0" fontId="41" fillId="0" borderId="27" xfId="0" applyFont="1" applyBorder="1" applyAlignment="1">
      <alignment vertical="center" wrapText="1"/>
    </xf>
    <xf numFmtId="0" fontId="41" fillId="0" borderId="85" xfId="0" applyFont="1" applyBorder="1" applyAlignment="1">
      <alignment horizontal="center" vertical="center" wrapText="1"/>
    </xf>
    <xf numFmtId="0" fontId="41" fillId="0" borderId="8" xfId="0" applyFont="1" applyBorder="1" applyAlignment="1">
      <alignment vertical="top" wrapText="1"/>
    </xf>
    <xf numFmtId="0" fontId="41" fillId="0" borderId="23" xfId="0" applyFont="1" applyBorder="1" applyAlignment="1">
      <alignment horizontal="center" vertical="center" wrapText="1"/>
    </xf>
    <xf numFmtId="0" fontId="41" fillId="0" borderId="0" xfId="0" applyFont="1" applyBorder="1" applyAlignment="1">
      <alignment vertical="center" wrapText="1"/>
    </xf>
    <xf numFmtId="0" fontId="41" fillId="0" borderId="86" xfId="0" applyFont="1" applyBorder="1" applyAlignment="1">
      <alignment vertical="center" wrapText="1"/>
    </xf>
    <xf numFmtId="0" fontId="41" fillId="4" borderId="62" xfId="0" applyFont="1" applyFill="1" applyBorder="1" applyAlignment="1" applyProtection="1">
      <alignment vertical="center" wrapText="1"/>
      <protection locked="0"/>
    </xf>
    <xf numFmtId="0" fontId="41" fillId="0" borderId="0" xfId="0" applyFont="1" applyAlignment="1" applyProtection="1">
      <alignment vertical="center"/>
      <protection locked="0"/>
    </xf>
    <xf numFmtId="0" fontId="41" fillId="4" borderId="75" xfId="0" applyFont="1" applyFill="1" applyBorder="1" applyAlignment="1" applyProtection="1">
      <alignment vertical="center" wrapText="1"/>
      <protection locked="0"/>
    </xf>
    <xf numFmtId="0" fontId="41" fillId="0" borderId="0" xfId="0" applyFont="1" applyAlignment="1" applyProtection="1">
      <alignment horizontal="center" vertical="center"/>
    </xf>
    <xf numFmtId="0" fontId="41" fillId="8" borderId="61" xfId="0" applyFont="1" applyFill="1" applyBorder="1" applyAlignment="1">
      <alignment horizontal="center" vertical="center"/>
    </xf>
    <xf numFmtId="0" fontId="41" fillId="8" borderId="118" xfId="0" applyFont="1" applyFill="1" applyBorder="1" applyAlignment="1">
      <alignment horizontal="center" vertical="center"/>
    </xf>
    <xf numFmtId="0" fontId="62" fillId="8" borderId="119" xfId="0" applyFont="1" applyFill="1" applyBorder="1" applyAlignment="1">
      <alignment horizontal="center" vertical="center" wrapText="1"/>
    </xf>
    <xf numFmtId="0" fontId="67" fillId="8" borderId="7" xfId="0" applyFont="1" applyFill="1" applyBorder="1" applyAlignment="1">
      <alignment horizontal="center" vertical="center" wrapText="1"/>
    </xf>
    <xf numFmtId="0" fontId="41" fillId="9" borderId="61" xfId="0" applyFont="1" applyFill="1" applyBorder="1" applyAlignment="1">
      <alignment vertical="center" wrapText="1"/>
    </xf>
    <xf numFmtId="0" fontId="41" fillId="9" borderId="63" xfId="0" applyFont="1" applyFill="1" applyBorder="1" applyAlignment="1">
      <alignment vertical="center" wrapText="1"/>
    </xf>
    <xf numFmtId="0" fontId="41" fillId="9" borderId="19" xfId="0" applyFont="1" applyFill="1" applyBorder="1" applyAlignment="1">
      <alignment vertical="center" wrapText="1"/>
    </xf>
    <xf numFmtId="0" fontId="41" fillId="9" borderId="120" xfId="0" applyFont="1" applyFill="1" applyBorder="1" applyAlignment="1">
      <alignment vertical="center" wrapText="1"/>
    </xf>
    <xf numFmtId="0" fontId="41" fillId="9" borderId="76" xfId="0" applyFont="1" applyFill="1" applyBorder="1">
      <alignment vertical="center"/>
    </xf>
    <xf numFmtId="0" fontId="41" fillId="9" borderId="120" xfId="0" applyFont="1" applyFill="1" applyBorder="1">
      <alignment vertical="center"/>
    </xf>
    <xf numFmtId="0" fontId="41" fillId="9" borderId="110" xfId="0" applyFont="1" applyFill="1" applyBorder="1">
      <alignment vertical="center"/>
    </xf>
    <xf numFmtId="0" fontId="41" fillId="9" borderId="122" xfId="0" applyFont="1" applyFill="1" applyBorder="1">
      <alignment vertical="center"/>
    </xf>
    <xf numFmtId="0" fontId="41" fillId="9" borderId="110" xfId="0" applyFont="1" applyFill="1" applyBorder="1" applyAlignment="1">
      <alignment vertical="center" wrapText="1"/>
    </xf>
    <xf numFmtId="0" fontId="41" fillId="9" borderId="76" xfId="0" applyFont="1" applyFill="1" applyBorder="1" applyAlignment="1">
      <alignment vertical="center" wrapText="1"/>
    </xf>
    <xf numFmtId="0" fontId="41" fillId="9" borderId="106" xfId="0" applyFont="1" applyFill="1" applyBorder="1" applyAlignment="1">
      <alignment vertical="center" wrapText="1"/>
    </xf>
    <xf numFmtId="0" fontId="41" fillId="9" borderId="122" xfId="0" applyFont="1" applyFill="1" applyBorder="1" applyAlignment="1">
      <alignment vertical="center" wrapText="1"/>
    </xf>
    <xf numFmtId="0" fontId="41" fillId="0" borderId="0" xfId="0" applyFont="1" applyAlignment="1">
      <alignment horizontal="center" vertical="center"/>
    </xf>
    <xf numFmtId="0" fontId="63" fillId="0" borderId="0" xfId="0" applyFont="1" applyAlignment="1">
      <alignment horizontal="center" vertical="center"/>
    </xf>
    <xf numFmtId="0" fontId="41" fillId="0" borderId="0" xfId="0" applyFont="1" applyAlignment="1">
      <alignment vertical="top"/>
    </xf>
    <xf numFmtId="0" fontId="0" fillId="9" borderId="0" xfId="0" applyFill="1">
      <alignment vertical="center"/>
    </xf>
    <xf numFmtId="0" fontId="41" fillId="7" borderId="0" xfId="0" applyFont="1" applyFill="1" applyAlignment="1">
      <alignment horizontal="center" vertical="center"/>
    </xf>
    <xf numFmtId="0" fontId="65" fillId="0" borderId="0" xfId="0" applyFont="1" applyAlignment="1" applyProtection="1">
      <alignment horizontal="center" vertical="center"/>
    </xf>
    <xf numFmtId="0" fontId="41" fillId="0" borderId="0" xfId="0" applyFont="1" applyAlignment="1" applyProtection="1">
      <alignment horizontal="center" vertical="center"/>
    </xf>
    <xf numFmtId="0" fontId="41" fillId="0" borderId="86" xfId="0" applyFont="1" applyBorder="1" applyAlignment="1">
      <alignment horizontal="center" vertical="center" wrapText="1"/>
    </xf>
    <xf numFmtId="0" fontId="41" fillId="0" borderId="0" xfId="0" applyFont="1">
      <alignment vertical="center"/>
    </xf>
    <xf numFmtId="0" fontId="41" fillId="0" borderId="0" xfId="0" applyFont="1" applyAlignment="1">
      <alignment vertical="center" wrapText="1"/>
    </xf>
    <xf numFmtId="0" fontId="41" fillId="4" borderId="122" xfId="0" applyFont="1" applyFill="1" applyBorder="1" applyAlignment="1" applyProtection="1">
      <alignment vertical="center" wrapText="1"/>
      <protection locked="0"/>
    </xf>
    <xf numFmtId="0" fontId="32" fillId="0" borderId="0" xfId="2" applyFont="1" applyAlignment="1">
      <alignment vertical="center" wrapText="1"/>
    </xf>
    <xf numFmtId="0" fontId="5" fillId="0" borderId="0" xfId="2">
      <alignment vertical="center"/>
    </xf>
    <xf numFmtId="0" fontId="41" fillId="0" borderId="47" xfId="0" applyFont="1" applyFill="1" applyBorder="1" applyAlignment="1" applyProtection="1">
      <alignment vertical="center"/>
      <protection locked="0"/>
    </xf>
    <xf numFmtId="0" fontId="41" fillId="0" borderId="85" xfId="0" applyFont="1" applyBorder="1" applyAlignment="1" applyProtection="1">
      <alignment horizontal="center" vertical="center"/>
    </xf>
    <xf numFmtId="0" fontId="5" fillId="0" borderId="0" xfId="2" applyAlignment="1">
      <alignment vertical="center"/>
    </xf>
    <xf numFmtId="0" fontId="41" fillId="0" borderId="0" xfId="0" applyFont="1" applyAlignment="1" applyProtection="1">
      <alignment horizontal="center" vertical="center"/>
    </xf>
    <xf numFmtId="0" fontId="41" fillId="4" borderId="26" xfId="0" applyFont="1" applyFill="1" applyBorder="1" applyAlignment="1" applyProtection="1">
      <alignment horizontal="center" vertical="center"/>
      <protection locked="0"/>
    </xf>
    <xf numFmtId="0" fontId="41" fillId="4" borderId="84" xfId="0" applyFont="1" applyFill="1" applyBorder="1" applyAlignment="1" applyProtection="1">
      <alignment horizontal="center" vertical="center"/>
      <protection locked="0"/>
    </xf>
    <xf numFmtId="0" fontId="41" fillId="4" borderId="26" xfId="0" applyFont="1" applyFill="1" applyBorder="1" applyAlignment="1" applyProtection="1">
      <alignment horizontal="left" vertical="center" wrapText="1"/>
      <protection locked="0"/>
    </xf>
    <xf numFmtId="0" fontId="41" fillId="4" borderId="26" xfId="0" applyFont="1" applyFill="1" applyBorder="1" applyAlignment="1" applyProtection="1">
      <alignment horizontal="left" vertical="center"/>
      <protection locked="0"/>
    </xf>
    <xf numFmtId="0" fontId="41" fillId="4" borderId="27" xfId="0" applyFont="1" applyFill="1" applyBorder="1" applyAlignment="1" applyProtection="1">
      <alignment horizontal="left" vertical="center" wrapText="1"/>
      <protection locked="0"/>
    </xf>
    <xf numFmtId="0" fontId="41" fillId="4" borderId="27" xfId="0" applyFont="1" applyFill="1" applyBorder="1" applyAlignment="1" applyProtection="1">
      <alignment horizontal="left" vertical="center"/>
      <protection locked="0"/>
    </xf>
    <xf numFmtId="0" fontId="41" fillId="4" borderId="0" xfId="0" applyFont="1" applyFill="1" applyAlignment="1" applyProtection="1">
      <alignment horizontal="left" vertical="center"/>
      <protection locked="0"/>
    </xf>
    <xf numFmtId="0" fontId="41" fillId="0" borderId="27" xfId="0" applyFont="1" applyFill="1" applyBorder="1" applyAlignment="1" applyProtection="1">
      <alignment horizontal="left" vertical="center"/>
      <protection locked="0"/>
    </xf>
    <xf numFmtId="0" fontId="41" fillId="4" borderId="28" xfId="0" applyFont="1" applyFill="1" applyBorder="1" applyAlignment="1" applyProtection="1">
      <alignment horizontal="left" vertical="center"/>
      <protection locked="0"/>
    </xf>
    <xf numFmtId="0" fontId="41" fillId="0" borderId="47" xfId="0" applyFont="1" applyFill="1" applyBorder="1" applyAlignment="1" applyProtection="1">
      <alignment horizontal="left" vertical="center"/>
      <protection locked="0"/>
    </xf>
    <xf numFmtId="0" fontId="41" fillId="0" borderId="110" xfId="0" applyFont="1" applyFill="1" applyBorder="1" applyAlignment="1" applyProtection="1">
      <alignment horizontal="left" vertical="center"/>
      <protection locked="0"/>
    </xf>
    <xf numFmtId="0" fontId="41" fillId="4" borderId="27" xfId="0" applyFont="1" applyFill="1" applyBorder="1" applyAlignment="1" applyProtection="1">
      <alignment horizontal="center" vertical="center"/>
      <protection locked="0"/>
    </xf>
    <xf numFmtId="0" fontId="41" fillId="0" borderId="27" xfId="0" applyFont="1" applyFill="1" applyBorder="1" applyAlignment="1" applyProtection="1">
      <alignment horizontal="center" vertical="center"/>
    </xf>
    <xf numFmtId="0" fontId="41" fillId="4" borderId="28" xfId="0" applyFont="1" applyFill="1" applyBorder="1" applyAlignment="1" applyProtection="1">
      <alignment horizontal="center" vertical="center"/>
      <protection locked="0"/>
    </xf>
    <xf numFmtId="0" fontId="41" fillId="0" borderId="47" xfId="0" applyFont="1" applyBorder="1" applyAlignment="1" applyProtection="1">
      <alignment horizontal="center" vertical="center"/>
    </xf>
    <xf numFmtId="0" fontId="41" fillId="4" borderId="29" xfId="0" applyFont="1" applyFill="1" applyBorder="1" applyAlignment="1" applyProtection="1">
      <alignment horizontal="center" vertical="center"/>
      <protection locked="0"/>
    </xf>
    <xf numFmtId="0" fontId="41" fillId="4" borderId="44" xfId="0" applyFont="1" applyFill="1" applyBorder="1" applyAlignment="1" applyProtection="1">
      <alignment horizontal="center" vertical="center"/>
      <protection locked="0"/>
    </xf>
    <xf numFmtId="0" fontId="41" fillId="0" borderId="125" xfId="0" applyFont="1" applyBorder="1" applyAlignment="1" applyProtection="1">
      <alignment horizontal="center" vertical="center"/>
    </xf>
    <xf numFmtId="0" fontId="41" fillId="0" borderId="48" xfId="0" applyFont="1" applyBorder="1" applyAlignment="1" applyProtection="1">
      <alignment horizontal="center" vertical="center"/>
    </xf>
    <xf numFmtId="0" fontId="41" fillId="0" borderId="14"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84" xfId="0" applyFont="1" applyBorder="1" applyAlignment="1" applyProtection="1">
      <alignment vertical="center" wrapText="1"/>
    </xf>
    <xf numFmtId="0" fontId="68" fillId="4" borderId="114" xfId="0" applyFont="1" applyFill="1" applyBorder="1" applyProtection="1">
      <alignment vertical="center"/>
      <protection locked="0"/>
    </xf>
    <xf numFmtId="0" fontId="0" fillId="9" borderId="0" xfId="0" applyFill="1" applyProtection="1">
      <alignment vertical="center"/>
      <protection locked="0"/>
    </xf>
    <xf numFmtId="0" fontId="68" fillId="4" borderId="10" xfId="0" applyFont="1" applyFill="1" applyBorder="1" applyProtection="1">
      <alignment vertical="center"/>
      <protection locked="0"/>
    </xf>
    <xf numFmtId="0" fontId="68" fillId="4" borderId="117" xfId="0" applyFont="1" applyFill="1" applyBorder="1" applyProtection="1">
      <alignment vertical="center"/>
      <protection locked="0"/>
    </xf>
    <xf numFmtId="0" fontId="41" fillId="0" borderId="18" xfId="0" applyFont="1" applyBorder="1" applyAlignment="1" applyProtection="1">
      <alignment vertical="top"/>
      <protection locked="0"/>
    </xf>
    <xf numFmtId="0" fontId="41" fillId="0" borderId="121" xfId="0" applyFont="1" applyBorder="1" applyAlignment="1" applyProtection="1">
      <alignment vertical="top"/>
      <protection locked="0"/>
    </xf>
    <xf numFmtId="0" fontId="41" fillId="0" borderId="116" xfId="0" applyFont="1" applyBorder="1" applyAlignment="1" applyProtection="1">
      <alignment vertical="top"/>
      <protection locked="0"/>
    </xf>
    <xf numFmtId="0" fontId="41" fillId="0" borderId="66" xfId="0" applyFont="1" applyBorder="1" applyAlignment="1" applyProtection="1">
      <alignment vertical="top"/>
      <protection locked="0"/>
    </xf>
    <xf numFmtId="0" fontId="68" fillId="4" borderId="123" xfId="0" applyFont="1" applyFill="1" applyBorder="1" applyProtection="1">
      <alignment vertical="center"/>
      <protection locked="0"/>
    </xf>
    <xf numFmtId="0" fontId="41" fillId="0" borderId="64" xfId="0" applyFont="1" applyBorder="1" applyAlignment="1" applyProtection="1">
      <alignment vertical="top"/>
      <protection locked="0"/>
    </xf>
    <xf numFmtId="0" fontId="68" fillId="4" borderId="15" xfId="0" applyFont="1" applyFill="1" applyBorder="1" applyProtection="1">
      <alignment vertical="center"/>
      <protection locked="0"/>
    </xf>
    <xf numFmtId="0" fontId="41" fillId="0" borderId="76" xfId="0" applyFont="1" applyBorder="1" applyAlignment="1" applyProtection="1">
      <alignment vertical="top"/>
      <protection locked="0"/>
    </xf>
    <xf numFmtId="0" fontId="68" fillId="4" borderId="114" xfId="0" applyFont="1" applyFill="1" applyBorder="1" applyAlignment="1" applyProtection="1">
      <alignment vertical="center"/>
      <protection locked="0"/>
    </xf>
    <xf numFmtId="0" fontId="41" fillId="0" borderId="122" xfId="0" applyFont="1" applyBorder="1" applyAlignment="1" applyProtection="1">
      <alignment vertical="top"/>
      <protection locked="0"/>
    </xf>
    <xf numFmtId="0" fontId="68" fillId="4" borderId="123" xfId="0" applyFont="1" applyFill="1" applyBorder="1" applyAlignment="1" applyProtection="1">
      <alignment vertical="center"/>
      <protection locked="0"/>
    </xf>
    <xf numFmtId="0" fontId="37" fillId="0" borderId="0" xfId="0" applyFont="1" applyAlignment="1" applyProtection="1">
      <alignment horizontal="left" vertical="center" indent="2"/>
    </xf>
    <xf numFmtId="0" fontId="37" fillId="0" borderId="0" xfId="0" applyFont="1" applyAlignment="1" applyProtection="1">
      <alignment vertical="center"/>
    </xf>
    <xf numFmtId="0" fontId="38" fillId="0" borderId="0" xfId="0" applyFont="1" applyAlignment="1" applyProtection="1">
      <alignment vertical="center"/>
    </xf>
    <xf numFmtId="0" fontId="45" fillId="4" borderId="124" xfId="1" applyFont="1" applyFill="1" applyBorder="1" applyAlignment="1" applyProtection="1">
      <alignment vertical="center" wrapText="1"/>
      <protection locked="0"/>
    </xf>
    <xf numFmtId="0" fontId="45" fillId="4" borderId="116" xfId="1" applyFont="1" applyFill="1" applyBorder="1" applyAlignment="1" applyProtection="1">
      <alignment vertical="center" wrapText="1"/>
      <protection locked="0"/>
    </xf>
    <xf numFmtId="0" fontId="43" fillId="4" borderId="1" xfId="1" applyFont="1" applyFill="1" applyBorder="1" applyAlignment="1" applyProtection="1">
      <alignment vertical="center" wrapText="1"/>
      <protection locked="0"/>
    </xf>
    <xf numFmtId="0" fontId="38" fillId="0" borderId="0" xfId="0" applyFont="1" applyAlignment="1" applyProtection="1">
      <alignment vertical="center" wrapText="1"/>
    </xf>
    <xf numFmtId="0" fontId="37" fillId="0" borderId="0" xfId="0" applyFont="1" applyAlignment="1" applyProtection="1">
      <alignment vertical="center" wrapText="1"/>
    </xf>
    <xf numFmtId="0" fontId="37" fillId="0" borderId="0" xfId="0" applyFont="1" applyAlignment="1" applyProtection="1">
      <alignment horizontal="left" vertical="top" wrapText="1"/>
    </xf>
    <xf numFmtId="0" fontId="9" fillId="0" borderId="0" xfId="0" applyFont="1" applyAlignment="1" applyProtection="1">
      <alignment horizontal="center" vertical="center"/>
    </xf>
    <xf numFmtId="0" fontId="37" fillId="0" borderId="0" xfId="0" applyFont="1" applyAlignment="1" applyProtection="1">
      <alignment horizontal="left" vertical="top"/>
    </xf>
    <xf numFmtId="0" fontId="37" fillId="0" borderId="0" xfId="0" applyFont="1" applyAlignment="1">
      <alignment horizontal="left" vertical="top"/>
    </xf>
    <xf numFmtId="0" fontId="32" fillId="0" borderId="0" xfId="2" applyFont="1" applyAlignment="1">
      <alignment vertical="center" wrapText="1"/>
    </xf>
    <xf numFmtId="0" fontId="35" fillId="0" borderId="0" xfId="2" applyFont="1" applyAlignment="1">
      <alignment vertical="center" wrapText="1"/>
    </xf>
    <xf numFmtId="0" fontId="32" fillId="0" borderId="6" xfId="0" applyFont="1" applyBorder="1" applyAlignment="1" applyProtection="1">
      <alignment horizontal="left" vertical="center" wrapText="1"/>
    </xf>
    <xf numFmtId="0" fontId="32" fillId="0" borderId="14" xfId="0" applyFont="1" applyBorder="1" applyAlignment="1" applyProtection="1">
      <alignment horizontal="left" vertical="center" wrapText="1"/>
    </xf>
    <xf numFmtId="0" fontId="32" fillId="0" borderId="8" xfId="0" applyFont="1" applyBorder="1" applyAlignment="1" applyProtection="1">
      <alignment horizontal="left" vertical="center" wrapText="1"/>
    </xf>
    <xf numFmtId="0" fontId="32" fillId="0" borderId="43" xfId="0" applyFont="1" applyBorder="1" applyAlignment="1" applyProtection="1">
      <alignment horizontal="center" vertical="center" wrapText="1"/>
    </xf>
    <xf numFmtId="0" fontId="32" fillId="0" borderId="46" xfId="0" applyFont="1" applyBorder="1" applyAlignment="1" applyProtection="1">
      <alignment horizontal="center" vertical="center" wrapText="1"/>
    </xf>
    <xf numFmtId="0" fontId="32" fillId="0" borderId="43" xfId="0" applyFont="1" applyFill="1" applyBorder="1" applyAlignment="1" applyProtection="1">
      <alignment horizontal="center" vertical="center" wrapText="1"/>
    </xf>
    <xf numFmtId="0" fontId="32" fillId="0" borderId="46" xfId="0" applyFont="1" applyFill="1" applyBorder="1" applyAlignment="1" applyProtection="1">
      <alignment horizontal="center" vertical="center" wrapText="1"/>
    </xf>
    <xf numFmtId="0" fontId="32" fillId="0" borderId="6" xfId="0" applyFont="1" applyFill="1" applyBorder="1" applyAlignment="1" applyProtection="1">
      <alignment horizontal="left" vertical="center" wrapText="1"/>
    </xf>
    <xf numFmtId="0" fontId="32" fillId="0" borderId="14" xfId="0"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xf>
    <xf numFmtId="0" fontId="29" fillId="0" borderId="0" xfId="2" applyFont="1" applyAlignment="1">
      <alignment horizontal="center" vertical="center"/>
    </xf>
    <xf numFmtId="0" fontId="30" fillId="4" borderId="0" xfId="2" applyFont="1" applyFill="1" applyAlignment="1" applyProtection="1">
      <alignment horizontal="right" vertical="center" wrapText="1"/>
      <protection locked="0"/>
    </xf>
    <xf numFmtId="0" fontId="30" fillId="0" borderId="0" xfId="2" applyFont="1" applyAlignment="1">
      <alignment vertical="center" wrapText="1"/>
    </xf>
    <xf numFmtId="0" fontId="5" fillId="0" borderId="0" xfId="2" applyAlignment="1">
      <alignment vertical="center"/>
    </xf>
    <xf numFmtId="0" fontId="30" fillId="4" borderId="0" xfId="2" applyNumberFormat="1" applyFont="1" applyFill="1" applyAlignment="1" applyProtection="1">
      <alignment horizontal="right" vertical="center" wrapText="1"/>
    </xf>
    <xf numFmtId="0" fontId="30" fillId="4" borderId="0" xfId="2" applyFont="1" applyFill="1" applyAlignment="1" applyProtection="1">
      <alignment vertical="center" wrapText="1"/>
      <protection locked="0"/>
    </xf>
    <xf numFmtId="0" fontId="33" fillId="0" borderId="6" xfId="0" applyFont="1" applyFill="1" applyBorder="1" applyAlignment="1" applyProtection="1">
      <alignment horizontal="left" vertical="center" wrapText="1"/>
    </xf>
    <xf numFmtId="0" fontId="36" fillId="0" borderId="14" xfId="0" applyFont="1" applyFill="1" applyBorder="1" applyAlignment="1" applyProtection="1">
      <alignment horizontal="left" vertical="center" wrapText="1"/>
    </xf>
    <xf numFmtId="0" fontId="36" fillId="0" borderId="8" xfId="0" applyFont="1" applyFill="1" applyBorder="1" applyAlignment="1" applyProtection="1">
      <alignment horizontal="left" vertical="center" wrapText="1"/>
    </xf>
    <xf numFmtId="0" fontId="36" fillId="0" borderId="14" xfId="0" applyFont="1" applyBorder="1" applyAlignment="1" applyProtection="1">
      <alignment horizontal="left" vertical="center" wrapText="1"/>
    </xf>
    <xf numFmtId="0" fontId="36" fillId="0" borderId="8" xfId="0" applyFont="1" applyBorder="1" applyAlignment="1" applyProtection="1">
      <alignment horizontal="left" vertical="center" wrapText="1"/>
    </xf>
    <xf numFmtId="0" fontId="30" fillId="0" borderId="0" xfId="2" applyFont="1" applyAlignment="1">
      <alignment horizontal="center" vertical="center" wrapText="1"/>
    </xf>
    <xf numFmtId="0" fontId="40" fillId="4" borderId="0" xfId="2" applyFont="1" applyFill="1" applyAlignment="1" applyProtection="1">
      <alignment horizontal="right" vertical="center"/>
      <protection locked="0"/>
    </xf>
    <xf numFmtId="0" fontId="30" fillId="0" borderId="0" xfId="2" applyFont="1" applyAlignment="1">
      <alignment horizontal="justify" vertical="center" wrapText="1"/>
    </xf>
    <xf numFmtId="0" fontId="5" fillId="0" borderId="0" xfId="2">
      <alignment vertical="center"/>
    </xf>
    <xf numFmtId="0" fontId="30" fillId="4" borderId="0" xfId="2" applyFont="1" applyFill="1" applyAlignment="1" applyProtection="1">
      <alignment horizontal="right" vertical="center"/>
      <protection locked="0"/>
    </xf>
    <xf numFmtId="0" fontId="30" fillId="4" borderId="0" xfId="2" applyFont="1" applyFill="1" applyAlignment="1" applyProtection="1">
      <alignment horizontal="left" vertical="center" wrapText="1"/>
      <protection locked="0"/>
    </xf>
    <xf numFmtId="0" fontId="32" fillId="0" borderId="0" xfId="2" applyFont="1" applyAlignment="1">
      <alignment horizontal="left" vertical="center" wrapText="1"/>
    </xf>
    <xf numFmtId="0" fontId="32" fillId="0" borderId="0" xfId="2" applyFont="1" applyAlignment="1">
      <alignment horizontal="left" vertical="center"/>
    </xf>
    <xf numFmtId="0" fontId="0" fillId="0" borderId="0" xfId="0" applyAlignment="1">
      <alignment vertical="center"/>
    </xf>
    <xf numFmtId="0" fontId="32" fillId="0" borderId="48" xfId="2" applyFont="1" applyBorder="1" applyAlignment="1">
      <alignment horizontal="justify" vertical="center" wrapText="1"/>
    </xf>
    <xf numFmtId="0" fontId="32" fillId="0" borderId="0" xfId="2" applyFont="1" applyBorder="1" applyAlignment="1" applyProtection="1">
      <alignment horizontal="left" vertical="center" wrapText="1"/>
      <protection locked="0"/>
    </xf>
    <xf numFmtId="0" fontId="32" fillId="0" borderId="0" xfId="2" applyFont="1" applyBorder="1" applyAlignment="1">
      <alignment horizontal="justify" vertical="center" wrapText="1"/>
    </xf>
    <xf numFmtId="0" fontId="32" fillId="0" borderId="23" xfId="2" applyFont="1" applyBorder="1" applyAlignment="1">
      <alignment horizontal="justify" vertical="center" wrapText="1"/>
    </xf>
    <xf numFmtId="0" fontId="39" fillId="0" borderId="43" xfId="2" applyFont="1" applyBorder="1" applyAlignment="1">
      <alignment horizontal="center" vertical="center"/>
    </xf>
    <xf numFmtId="0" fontId="39" fillId="0" borderId="47" xfId="2" applyFont="1" applyBorder="1" applyAlignment="1">
      <alignment horizontal="center" vertical="center"/>
    </xf>
    <xf numFmtId="0" fontId="39" fillId="0" borderId="46" xfId="2" applyFont="1" applyBorder="1" applyAlignment="1">
      <alignment horizontal="center" vertical="center"/>
    </xf>
    <xf numFmtId="0" fontId="19" fillId="0" borderId="61"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7" fillId="0" borderId="61" xfId="0" applyFont="1" applyFill="1" applyBorder="1" applyAlignment="1" applyProtection="1">
      <alignment horizontal="center" vertical="center" wrapText="1" shrinkToFit="1"/>
    </xf>
    <xf numFmtId="0" fontId="17" fillId="0" borderId="19" xfId="0" applyFont="1" applyFill="1" applyBorder="1" applyAlignment="1" applyProtection="1">
      <alignment horizontal="center" vertical="center" wrapText="1" shrinkToFit="1"/>
    </xf>
    <xf numFmtId="0" fontId="17" fillId="0" borderId="63" xfId="0" applyFont="1" applyFill="1" applyBorder="1" applyAlignment="1" applyProtection="1">
      <alignment horizontal="center" vertical="center" wrapText="1" shrinkToFit="1"/>
    </xf>
    <xf numFmtId="0" fontId="19" fillId="0" borderId="61" xfId="0" applyFont="1" applyBorder="1" applyAlignment="1" applyProtection="1">
      <alignment horizontal="center" vertical="center" wrapText="1" shrinkToFit="1"/>
    </xf>
    <xf numFmtId="0" fontId="19" fillId="0" borderId="19" xfId="0" applyFont="1" applyBorder="1" applyAlignment="1" applyProtection="1">
      <alignment horizontal="center" vertical="center" wrapText="1" shrinkToFit="1"/>
    </xf>
    <xf numFmtId="0" fontId="19" fillId="0" borderId="63" xfId="0" applyFont="1" applyBorder="1" applyAlignment="1" applyProtection="1">
      <alignment horizontal="center" vertical="center" wrapText="1" shrinkToFit="1"/>
    </xf>
    <xf numFmtId="0" fontId="13" fillId="0" borderId="0" xfId="0" applyFont="1" applyAlignment="1" applyProtection="1">
      <alignment horizontal="center" vertical="center" wrapText="1"/>
    </xf>
    <xf numFmtId="0" fontId="17" fillId="0" borderId="61" xfId="0" applyFont="1" applyFill="1" applyBorder="1" applyAlignment="1" applyProtection="1">
      <alignment horizontal="center" vertical="center" shrinkToFit="1"/>
    </xf>
    <xf numFmtId="0" fontId="17" fillId="0" borderId="63" xfId="0" applyFont="1" applyFill="1" applyBorder="1" applyAlignment="1" applyProtection="1">
      <alignment horizontal="center" vertical="center" shrinkToFit="1"/>
    </xf>
    <xf numFmtId="0" fontId="17" fillId="0" borderId="39" xfId="0" applyFont="1" applyFill="1" applyBorder="1" applyAlignment="1" applyProtection="1">
      <alignment horizontal="center" vertical="center" shrinkToFit="1"/>
    </xf>
    <xf numFmtId="0" fontId="17" fillId="0" borderId="42" xfId="0" applyFont="1" applyFill="1" applyBorder="1" applyAlignment="1" applyProtection="1">
      <alignment horizontal="center" vertical="center" shrinkToFit="1"/>
    </xf>
    <xf numFmtId="0" fontId="17" fillId="0" borderId="97" xfId="0" applyFont="1" applyFill="1" applyBorder="1" applyAlignment="1" applyProtection="1">
      <alignment horizontal="center" vertical="center" wrapText="1" shrinkToFit="1"/>
    </xf>
    <xf numFmtId="0" fontId="17" fillId="0" borderId="98"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xf>
    <xf numFmtId="0" fontId="17" fillId="0" borderId="37" xfId="0" applyFont="1" applyFill="1" applyBorder="1" applyAlignment="1" applyProtection="1">
      <alignment horizontal="center" vertical="center" shrinkToFit="1"/>
    </xf>
    <xf numFmtId="0" fontId="0" fillId="0" borderId="30" xfId="0" applyBorder="1" applyAlignment="1" applyProtection="1">
      <alignment horizontal="center" vertical="center" shrinkToFit="1"/>
    </xf>
    <xf numFmtId="0" fontId="0" fillId="0" borderId="40" xfId="0" applyBorder="1" applyAlignment="1" applyProtection="1">
      <alignment horizontal="center" vertical="center" shrinkToFit="1"/>
    </xf>
    <xf numFmtId="0" fontId="17" fillId="0" borderId="7" xfId="0" applyFont="1" applyFill="1" applyBorder="1" applyAlignment="1" applyProtection="1">
      <alignment horizontal="center" vertical="center" wrapText="1" shrinkToFit="1"/>
    </xf>
    <xf numFmtId="0" fontId="0" fillId="0" borderId="10" xfId="0" applyBorder="1" applyAlignment="1" applyProtection="1">
      <alignment horizontal="center" vertical="center" shrinkToFit="1"/>
    </xf>
    <xf numFmtId="0" fontId="17" fillId="0" borderId="31" xfId="0" applyFont="1" applyFill="1" applyBorder="1" applyAlignment="1" applyProtection="1">
      <alignment horizontal="center" vertical="center" wrapText="1" shrinkToFit="1"/>
    </xf>
    <xf numFmtId="0" fontId="17" fillId="0" borderId="32" xfId="0" applyFont="1" applyFill="1" applyBorder="1" applyAlignment="1" applyProtection="1">
      <alignment horizontal="center" vertical="center" wrapText="1" shrinkToFit="1"/>
    </xf>
    <xf numFmtId="0" fontId="17" fillId="0" borderId="0" xfId="0" applyFont="1" applyFill="1" applyBorder="1" applyAlignment="1" applyProtection="1">
      <alignment horizontal="center" vertical="center" wrapText="1" shrinkToFit="1"/>
    </xf>
    <xf numFmtId="0" fontId="21" fillId="0" borderId="37" xfId="0" applyFont="1"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30" xfId="0" applyBorder="1" applyAlignment="1" applyProtection="1">
      <alignment horizontal="center" vertical="center" wrapText="1"/>
    </xf>
    <xf numFmtId="0" fontId="17" fillId="0" borderId="7" xfId="0" applyFont="1" applyFill="1" applyBorder="1" applyAlignment="1" applyProtection="1">
      <alignment horizontal="center" vertical="center" shrinkToFit="1"/>
    </xf>
    <xf numFmtId="0" fontId="0" fillId="0" borderId="21" xfId="0" applyBorder="1" applyAlignment="1" applyProtection="1">
      <alignment horizontal="center" vertical="center" shrinkToFit="1"/>
    </xf>
    <xf numFmtId="0" fontId="19" fillId="0" borderId="37" xfId="0" applyFont="1"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14" fillId="0" borderId="0" xfId="0"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wrapText="1" shrinkToFit="1"/>
    </xf>
    <xf numFmtId="0" fontId="17" fillId="0" borderId="21" xfId="0" applyFont="1" applyFill="1" applyBorder="1" applyAlignment="1" applyProtection="1">
      <alignment horizontal="center" vertical="center" shrinkToFit="1"/>
    </xf>
    <xf numFmtId="0" fontId="19" fillId="0" borderId="0" xfId="0" applyFont="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1" fillId="0" borderId="38" xfId="0" applyFont="1" applyBorder="1" applyAlignment="1" applyProtection="1">
      <alignment horizontal="center" vertical="center" wrapText="1"/>
    </xf>
    <xf numFmtId="0" fontId="21" fillId="0" borderId="30" xfId="0" applyFont="1" applyBorder="1" applyAlignment="1" applyProtection="1">
      <alignment horizontal="center" vertical="center" wrapText="1"/>
    </xf>
    <xf numFmtId="0" fontId="21" fillId="0" borderId="61"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21" fillId="0" borderId="63" xfId="0" applyFont="1" applyBorder="1" applyAlignment="1" applyProtection="1">
      <alignment horizontal="center" vertical="center" wrapText="1"/>
    </xf>
    <xf numFmtId="0" fontId="19" fillId="0" borderId="7" xfId="0" applyFont="1" applyBorder="1" applyAlignment="1" applyProtection="1">
      <alignment horizontal="center" vertical="center" shrinkToFit="1"/>
    </xf>
    <xf numFmtId="0" fontId="19" fillId="0" borderId="21" xfId="0" applyFont="1" applyBorder="1" applyAlignment="1" applyProtection="1">
      <alignment horizontal="center" vertical="center" shrinkToFit="1"/>
    </xf>
    <xf numFmtId="0" fontId="19" fillId="0" borderId="10" xfId="0" applyFont="1" applyBorder="1" applyAlignment="1" applyProtection="1">
      <alignment horizontal="center" vertical="center" shrinkToFit="1"/>
    </xf>
    <xf numFmtId="0" fontId="21" fillId="0" borderId="0" xfId="0" applyFont="1" applyFill="1" applyBorder="1" applyAlignment="1" applyProtection="1">
      <alignment horizontal="center" vertical="center" wrapText="1"/>
    </xf>
    <xf numFmtId="0" fontId="19" fillId="0" borderId="77" xfId="0" applyFont="1" applyBorder="1" applyAlignment="1" applyProtection="1">
      <alignment horizontal="center" vertical="center" wrapText="1"/>
    </xf>
    <xf numFmtId="0" fontId="19" fillId="0" borderId="79" xfId="0" applyFont="1" applyBorder="1" applyAlignment="1" applyProtection="1">
      <alignment horizontal="center" vertical="center" wrapText="1"/>
    </xf>
    <xf numFmtId="0" fontId="13" fillId="0" borderId="0" xfId="0" applyFont="1" applyAlignment="1" applyProtection="1">
      <alignment horizontal="center" vertical="center"/>
    </xf>
    <xf numFmtId="0" fontId="19" fillId="0" borderId="115" xfId="0" applyFont="1" applyBorder="1" applyAlignment="1" applyProtection="1">
      <alignment horizontal="center" vertical="center" wrapText="1"/>
    </xf>
    <xf numFmtId="0" fontId="19" fillId="0" borderId="19" xfId="0" applyFont="1" applyBorder="1" applyAlignment="1" applyProtection="1">
      <alignment horizontal="center" vertical="center"/>
    </xf>
    <xf numFmtId="0" fontId="19" fillId="0" borderId="63" xfId="0" applyFont="1" applyBorder="1" applyAlignment="1" applyProtection="1">
      <alignment horizontal="center" vertical="center"/>
    </xf>
    <xf numFmtId="0" fontId="41" fillId="0" borderId="0" xfId="0" applyFont="1" applyAlignment="1" applyProtection="1">
      <alignment horizontal="center" vertical="center" wrapText="1"/>
    </xf>
    <xf numFmtId="0" fontId="41" fillId="0" borderId="0" xfId="0" applyFont="1" applyAlignment="1" applyProtection="1">
      <alignment horizontal="center" vertical="center"/>
    </xf>
    <xf numFmtId="0" fontId="41" fillId="0" borderId="0" xfId="0" applyFont="1" applyBorder="1" applyAlignment="1" applyProtection="1">
      <alignment horizontal="center" vertical="center" wrapText="1"/>
    </xf>
    <xf numFmtId="0" fontId="62" fillId="0" borderId="0" xfId="0" applyFont="1" applyBorder="1" applyAlignment="1" applyProtection="1">
      <alignment horizontal="center" vertical="center" wrapText="1"/>
    </xf>
    <xf numFmtId="0" fontId="41" fillId="0" borderId="14" xfId="0" applyFont="1" applyBorder="1" applyAlignment="1" applyProtection="1">
      <alignment horizontal="left" vertical="center" wrapText="1"/>
    </xf>
    <xf numFmtId="0" fontId="41" fillId="0" borderId="14" xfId="0" applyFont="1" applyBorder="1" applyAlignment="1" applyProtection="1">
      <alignment horizontal="center" vertical="center" wrapText="1"/>
    </xf>
    <xf numFmtId="0" fontId="41" fillId="0" borderId="14" xfId="0" applyFont="1" applyBorder="1" applyAlignment="1" applyProtection="1">
      <alignment horizontal="center" vertical="center"/>
    </xf>
    <xf numFmtId="0" fontId="41" fillId="0" borderId="8" xfId="0" applyFont="1" applyBorder="1" applyAlignment="1" applyProtection="1">
      <alignment horizontal="center" vertical="center"/>
    </xf>
    <xf numFmtId="0" fontId="41" fillId="4" borderId="84" xfId="0" applyFont="1" applyFill="1" applyBorder="1" applyAlignment="1" applyProtection="1">
      <alignment horizontal="left" vertical="top"/>
      <protection locked="0"/>
    </xf>
    <xf numFmtId="0" fontId="41" fillId="4" borderId="14" xfId="0" applyFont="1" applyFill="1" applyBorder="1" applyAlignment="1" applyProtection="1">
      <alignment horizontal="left" vertical="top"/>
      <protection locked="0"/>
    </xf>
    <xf numFmtId="0" fontId="41" fillId="4" borderId="8" xfId="0" applyFont="1" applyFill="1" applyBorder="1" applyAlignment="1" applyProtection="1">
      <alignment horizontal="left" vertical="top"/>
      <protection locked="0"/>
    </xf>
    <xf numFmtId="0" fontId="41" fillId="4" borderId="6" xfId="0" applyFont="1" applyFill="1" applyBorder="1" applyAlignment="1" applyProtection="1">
      <alignment horizontal="left" vertical="top"/>
      <protection locked="0"/>
    </xf>
    <xf numFmtId="0" fontId="41" fillId="4" borderId="26" xfId="0" applyFont="1" applyFill="1" applyBorder="1" applyAlignment="1" applyProtection="1">
      <alignment horizontal="left" vertical="top"/>
      <protection locked="0"/>
    </xf>
    <xf numFmtId="0" fontId="41" fillId="4" borderId="6" xfId="0" applyFont="1" applyFill="1" applyBorder="1" applyAlignment="1" applyProtection="1">
      <alignment horizontal="center" vertical="top" wrapText="1"/>
      <protection locked="0"/>
    </xf>
    <xf numFmtId="0" fontId="41" fillId="4" borderId="14" xfId="0" applyFont="1" applyFill="1" applyBorder="1" applyAlignment="1" applyProtection="1">
      <alignment horizontal="center" vertical="top" wrapText="1"/>
      <protection locked="0"/>
    </xf>
    <xf numFmtId="0" fontId="41" fillId="4" borderId="26" xfId="0" applyFont="1" applyFill="1" applyBorder="1" applyAlignment="1" applyProtection="1">
      <alignment horizontal="center" vertical="top" wrapText="1"/>
      <protection locked="0"/>
    </xf>
    <xf numFmtId="0" fontId="41" fillId="4" borderId="84" xfId="0" applyFont="1" applyFill="1" applyBorder="1" applyAlignment="1" applyProtection="1">
      <alignment horizontal="center" vertical="top" wrapText="1"/>
      <protection locked="0"/>
    </xf>
    <xf numFmtId="0" fontId="41" fillId="4" borderId="8" xfId="0" applyFont="1" applyFill="1" applyBorder="1" applyAlignment="1" applyProtection="1">
      <alignment horizontal="center" vertical="top" wrapText="1"/>
      <protection locked="0"/>
    </xf>
    <xf numFmtId="0" fontId="41" fillId="0" borderId="86" xfId="0" applyFont="1" applyBorder="1" applyAlignment="1">
      <alignment horizontal="center" vertical="center" wrapText="1"/>
    </xf>
    <xf numFmtId="0" fontId="41" fillId="0" borderId="122" xfId="0" applyFont="1" applyBorder="1" applyAlignment="1">
      <alignment vertical="center" wrapText="1"/>
    </xf>
    <xf numFmtId="0" fontId="41" fillId="0" borderId="62" xfId="0" applyFont="1" applyFill="1" applyBorder="1" applyAlignment="1">
      <alignment vertical="center" wrapText="1"/>
    </xf>
    <xf numFmtId="0" fontId="41" fillId="0" borderId="75" xfId="0" applyFont="1" applyBorder="1" applyAlignment="1">
      <alignment vertical="center" wrapText="1"/>
    </xf>
    <xf numFmtId="0" fontId="41" fillId="0" borderId="0" xfId="0" applyFont="1" applyBorder="1" applyAlignment="1">
      <alignment vertical="center" wrapText="1"/>
    </xf>
    <xf numFmtId="0" fontId="40" fillId="9" borderId="0" xfId="0" applyFont="1" applyFill="1" applyAlignment="1">
      <alignment horizontal="center" wrapText="1"/>
    </xf>
    <xf numFmtId="0" fontId="41" fillId="9" borderId="0" xfId="0" applyFont="1" applyFill="1" applyAlignment="1">
      <alignment horizontal="center"/>
    </xf>
    <xf numFmtId="0" fontId="41" fillId="0" borderId="0" xfId="0" applyFont="1" applyAlignment="1">
      <alignment horizontal="center" vertical="center"/>
    </xf>
  </cellXfs>
  <cellStyles count="6">
    <cellStyle name="標準" xfId="0" builtinId="0"/>
    <cellStyle name="標準 2" xfId="2" xr:uid="{00000000-0005-0000-0000-000001000000}"/>
    <cellStyle name="標準 3" xfId="1" xr:uid="{00000000-0005-0000-0000-000002000000}"/>
    <cellStyle name="標準 3 2 2" xfId="4" xr:uid="{00000000-0005-0000-0000-000003000000}"/>
    <cellStyle name="標準 4" xfId="5" xr:uid="{00000000-0005-0000-0000-000004000000}"/>
    <cellStyle name="標準 5" xfId="3" xr:uid="{00000000-0005-0000-0000-000005000000}"/>
  </cellStyles>
  <dxfs count="63">
    <dxf>
      <border>
        <left style="thin">
          <color auto="1"/>
        </left>
        <right style="thin">
          <color auto="1"/>
        </right>
        <top style="thin">
          <color auto="1"/>
        </top>
        <bottom style="thin">
          <color auto="1"/>
        </bottom>
      </border>
    </dxf>
    <dxf>
      <font>
        <b/>
        <i val="0"/>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persons/person.xml" Type="http://schemas.microsoft.com/office/2017/10/relationships/person"/><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I$891" lockText="1" noThreeD="1"/>
</file>

<file path=xl/ctrlProps/ctrlProp10.xml><?xml version="1.0" encoding="utf-8"?>
<formControlPr xmlns="http://schemas.microsoft.com/office/spreadsheetml/2009/9/main" objectType="CheckBox" fmlaLink="$F$12" lockText="1" noThreeD="1"/>
</file>

<file path=xl/ctrlProps/ctrlProp11.xml><?xml version="1.0" encoding="utf-8"?>
<formControlPr xmlns="http://schemas.microsoft.com/office/spreadsheetml/2009/9/main" objectType="CheckBox" fmlaLink="$L$6" lockText="1" noThreeD="1"/>
</file>

<file path=xl/ctrlProps/ctrlProp12.xml><?xml version="1.0" encoding="utf-8"?>
<formControlPr xmlns="http://schemas.microsoft.com/office/spreadsheetml/2009/9/main" objectType="CheckBox" fmlaLink="$L$7" lockText="1" noThreeD="1"/>
</file>

<file path=xl/ctrlProps/ctrlProp13.xml><?xml version="1.0" encoding="utf-8"?>
<formControlPr xmlns="http://schemas.microsoft.com/office/spreadsheetml/2009/9/main" objectType="CheckBox" fmlaLink="$L$8" lockText="1" noThreeD="1"/>
</file>

<file path=xl/ctrlProps/ctrlProp14.xml><?xml version="1.0" encoding="utf-8"?>
<formControlPr xmlns="http://schemas.microsoft.com/office/spreadsheetml/2009/9/main" objectType="CheckBox" fmlaLink="$L$9" lockText="1" noThreeD="1"/>
</file>

<file path=xl/ctrlProps/ctrlProp15.xml><?xml version="1.0" encoding="utf-8"?>
<formControlPr xmlns="http://schemas.microsoft.com/office/spreadsheetml/2009/9/main" objectType="CheckBox" fmlaLink="$L$10" lockText="1" noThreeD="1"/>
</file>

<file path=xl/ctrlProps/ctrlProp16.xml><?xml version="1.0" encoding="utf-8"?>
<formControlPr xmlns="http://schemas.microsoft.com/office/spreadsheetml/2009/9/main" objectType="CheckBox" fmlaLink="$L$11" lockText="1" noThreeD="1"/>
</file>

<file path=xl/ctrlProps/ctrlProp17.xml><?xml version="1.0" encoding="utf-8"?>
<formControlPr xmlns="http://schemas.microsoft.com/office/spreadsheetml/2009/9/main" objectType="CheckBox" fmlaLink="$L$12" lockText="1" noThreeD="1"/>
</file>

<file path=xl/ctrlProps/ctrlProp18.xml><?xml version="1.0" encoding="utf-8"?>
<formControlPr xmlns="http://schemas.microsoft.com/office/spreadsheetml/2009/9/main" objectType="CheckBox" fmlaLink="$L$14" lockText="1" noThreeD="1"/>
</file>

<file path=xl/ctrlProps/ctrlProp19.xml><?xml version="1.0" encoding="utf-8"?>
<formControlPr xmlns="http://schemas.microsoft.com/office/spreadsheetml/2009/9/main" objectType="CheckBox" fmlaLink="$L$15" lockText="1" noThreeD="1"/>
</file>

<file path=xl/ctrlProps/ctrlProp2.xml><?xml version="1.0" encoding="utf-8"?>
<formControlPr xmlns="http://schemas.microsoft.com/office/spreadsheetml/2009/9/main" objectType="CheckBox" fmlaLink="$I$892" lockText="1" noThreeD="1"/>
</file>

<file path=xl/ctrlProps/ctrlProp20.xml><?xml version="1.0" encoding="utf-8"?>
<formControlPr xmlns="http://schemas.microsoft.com/office/spreadsheetml/2009/9/main" objectType="CheckBox" fmlaLink="$L$16" lockText="1" noThreeD="1"/>
</file>

<file path=xl/ctrlProps/ctrlProp21.xml><?xml version="1.0" encoding="utf-8"?>
<formControlPr xmlns="http://schemas.microsoft.com/office/spreadsheetml/2009/9/main" objectType="CheckBox" fmlaLink="$L$17" lockText="1" noThreeD="1"/>
</file>

<file path=xl/ctrlProps/ctrlProp22.xml><?xml version="1.0" encoding="utf-8"?>
<formControlPr xmlns="http://schemas.microsoft.com/office/spreadsheetml/2009/9/main" objectType="CheckBox" fmlaLink="$L$26" lockText="1" noThreeD="1"/>
</file>

<file path=xl/ctrlProps/ctrlProp23.xml><?xml version="1.0" encoding="utf-8"?>
<formControlPr xmlns="http://schemas.microsoft.com/office/spreadsheetml/2009/9/main" objectType="CheckBox" fmlaLink="$L$27" lockText="1" noThreeD="1"/>
</file>

<file path=xl/ctrlProps/ctrlProp24.xml><?xml version="1.0" encoding="utf-8"?>
<formControlPr xmlns="http://schemas.microsoft.com/office/spreadsheetml/2009/9/main" objectType="CheckBox" fmlaLink="$L$13" lockText="1" noThreeD="1"/>
</file>

<file path=xl/ctrlProps/ctrlProp25.xml><?xml version="1.0" encoding="utf-8"?>
<formControlPr xmlns="http://schemas.microsoft.com/office/spreadsheetml/2009/9/main" objectType="CheckBox" fmlaLink="$L$18" lockText="1" noThreeD="1"/>
</file>

<file path=xl/ctrlProps/ctrlProp26.xml><?xml version="1.0" encoding="utf-8"?>
<formControlPr xmlns="http://schemas.microsoft.com/office/spreadsheetml/2009/9/main" objectType="CheckBox" fmlaLink="$L$19" lockText="1" noThreeD="1"/>
</file>

<file path=xl/ctrlProps/ctrlProp27.xml><?xml version="1.0" encoding="utf-8"?>
<formControlPr xmlns="http://schemas.microsoft.com/office/spreadsheetml/2009/9/main" objectType="CheckBox" fmlaLink="$L$20" lockText="1" noThreeD="1"/>
</file>

<file path=xl/ctrlProps/ctrlProp28.xml><?xml version="1.0" encoding="utf-8"?>
<formControlPr xmlns="http://schemas.microsoft.com/office/spreadsheetml/2009/9/main" objectType="CheckBox" fmlaLink="$L$21" lockText="1" noThreeD="1"/>
</file>

<file path=xl/ctrlProps/ctrlProp29.xml><?xml version="1.0" encoding="utf-8"?>
<formControlPr xmlns="http://schemas.microsoft.com/office/spreadsheetml/2009/9/main" objectType="CheckBox" fmlaLink="$L$22" lockText="1" noThreeD="1"/>
</file>

<file path=xl/ctrlProps/ctrlProp3.xml><?xml version="1.0" encoding="utf-8"?>
<formControlPr xmlns="http://schemas.microsoft.com/office/spreadsheetml/2009/9/main" objectType="CheckBox" fmlaLink="$I$896" lockText="1" noThreeD="1"/>
</file>

<file path=xl/ctrlProps/ctrlProp30.xml><?xml version="1.0" encoding="utf-8"?>
<formControlPr xmlns="http://schemas.microsoft.com/office/spreadsheetml/2009/9/main" objectType="CheckBox" fmlaLink="$L$23" lockText="1" noThreeD="1"/>
</file>

<file path=xl/ctrlProps/ctrlProp31.xml><?xml version="1.0" encoding="utf-8"?>
<formControlPr xmlns="http://schemas.microsoft.com/office/spreadsheetml/2009/9/main" objectType="CheckBox" fmlaLink="$L$24" lockText="1" noThreeD="1"/>
</file>

<file path=xl/ctrlProps/ctrlProp32.xml><?xml version="1.0" encoding="utf-8"?>
<formControlPr xmlns="http://schemas.microsoft.com/office/spreadsheetml/2009/9/main" objectType="CheckBox" fmlaLink="$L$25" lockText="1" noThreeD="1"/>
</file>

<file path=xl/ctrlProps/ctrlProp4.xml><?xml version="1.0" encoding="utf-8"?>
<formControlPr xmlns="http://schemas.microsoft.com/office/spreadsheetml/2009/9/main" objectType="CheckBox" fmlaLink="$F$6" lockText="1" noThreeD="1"/>
</file>

<file path=xl/ctrlProps/ctrlProp5.xml><?xml version="1.0" encoding="utf-8"?>
<formControlPr xmlns="http://schemas.microsoft.com/office/spreadsheetml/2009/9/main" objectType="CheckBox" fmlaLink="$F$7" lockText="1" noThreeD="1"/>
</file>

<file path=xl/ctrlProps/ctrlProp6.xml><?xml version="1.0" encoding="utf-8"?>
<formControlPr xmlns="http://schemas.microsoft.com/office/spreadsheetml/2009/9/main" objectType="CheckBox" fmlaLink="$F$8" lockText="1" noThreeD="1"/>
</file>

<file path=xl/ctrlProps/ctrlProp7.xml><?xml version="1.0" encoding="utf-8"?>
<formControlPr xmlns="http://schemas.microsoft.com/office/spreadsheetml/2009/9/main" objectType="CheckBox" fmlaLink="$F$9" lockText="1" noThreeD="1"/>
</file>

<file path=xl/ctrlProps/ctrlProp8.xml><?xml version="1.0" encoding="utf-8"?>
<formControlPr xmlns="http://schemas.microsoft.com/office/spreadsheetml/2009/9/main" objectType="CheckBox" fmlaLink="$F$10" lockText="1" noThreeD="1"/>
</file>

<file path=xl/ctrlProps/ctrlProp9.xml><?xml version="1.0" encoding="utf-8"?>
<formControlPr xmlns="http://schemas.microsoft.com/office/spreadsheetml/2009/9/main" objectType="CheckBox" fmlaLink="$F$11" lockText="1" noThreeD="1"/>
</file>

<file path=xl/drawings/drawing1.xml><?xml version="1.0" encoding="utf-8"?>
<xdr:wsDr xmlns:xdr="http://schemas.openxmlformats.org/drawingml/2006/spreadsheetDrawing" xmlns:a="http://schemas.openxmlformats.org/drawingml/2006/main">
  <xdr:twoCellAnchor>
    <xdr:from>
      <xdr:col>3</xdr:col>
      <xdr:colOff>619125</xdr:colOff>
      <xdr:row>53</xdr:row>
      <xdr:rowOff>238125</xdr:rowOff>
    </xdr:from>
    <xdr:to>
      <xdr:col>4</xdr:col>
      <xdr:colOff>0</xdr:colOff>
      <xdr:row>62</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H="1">
          <a:off x="6699250" y="10985500"/>
          <a:ext cx="635000" cy="984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619125</xdr:colOff>
      <xdr:row>53</xdr:row>
      <xdr:rowOff>238125</xdr:rowOff>
    </xdr:from>
    <xdr:to>
      <xdr:col>10</xdr:col>
      <xdr:colOff>0</xdr:colOff>
      <xdr:row>62</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13944600" y="14658975"/>
          <a:ext cx="66675" cy="1924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285750</xdr:colOff>
          <xdr:row>890</xdr:row>
          <xdr:rowOff>390525</xdr:rowOff>
        </xdr:from>
        <xdr:to>
          <xdr:col>6</xdr:col>
          <xdr:colOff>581025</xdr:colOff>
          <xdr:row>890</xdr:row>
          <xdr:rowOff>723900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285750</xdr:colOff>
          <xdr:row>891</xdr:row>
          <xdr:rowOff>19050</xdr:rowOff>
        </xdr:from>
        <xdr:to>
          <xdr:col>6</xdr:col>
          <xdr:colOff>581025</xdr:colOff>
          <xdr:row>891</xdr:row>
          <xdr:rowOff>352425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285750</xdr:colOff>
          <xdr:row>895</xdr:row>
          <xdr:rowOff>209550</xdr:rowOff>
        </xdr:from>
        <xdr:to>
          <xdr:col>6</xdr:col>
          <xdr:colOff>581025</xdr:colOff>
          <xdr:row>895</xdr:row>
          <xdr:rowOff>542925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5</xdr:row>
          <xdr:rowOff>57150</xdr:rowOff>
        </xdr:from>
        <xdr:to>
          <xdr:col>4</xdr:col>
          <xdr:colOff>390525</xdr:colOff>
          <xdr:row>5</xdr:row>
          <xdr:rowOff>400050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xdr:row>
          <xdr:rowOff>57150</xdr:rowOff>
        </xdr:from>
        <xdr:to>
          <xdr:col>4</xdr:col>
          <xdr:colOff>390525</xdr:colOff>
          <xdr:row>6</xdr:row>
          <xdr:rowOff>400050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57150</xdr:rowOff>
        </xdr:from>
        <xdr:to>
          <xdr:col>4</xdr:col>
          <xdr:colOff>390525</xdr:colOff>
          <xdr:row>7</xdr:row>
          <xdr:rowOff>400050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xdr:row>
          <xdr:rowOff>57150</xdr:rowOff>
        </xdr:from>
        <xdr:to>
          <xdr:col>4</xdr:col>
          <xdr:colOff>390525</xdr:colOff>
          <xdr:row>8</xdr:row>
          <xdr:rowOff>400050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57150</xdr:rowOff>
        </xdr:from>
        <xdr:to>
          <xdr:col>4</xdr:col>
          <xdr:colOff>390525</xdr:colOff>
          <xdr:row>9</xdr:row>
          <xdr:rowOff>400050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57150</xdr:rowOff>
        </xdr:from>
        <xdr:to>
          <xdr:col>4</xdr:col>
          <xdr:colOff>390525</xdr:colOff>
          <xdr:row>10</xdr:row>
          <xdr:rowOff>400050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11</xdr:row>
          <xdr:rowOff>57150</xdr:rowOff>
        </xdr:from>
        <xdr:to>
          <xdr:col>4</xdr:col>
          <xdr:colOff>390525</xdr:colOff>
          <xdr:row>11</xdr:row>
          <xdr:rowOff>400050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57150</xdr:rowOff>
        </xdr:from>
        <xdr:to>
          <xdr:col>10</xdr:col>
          <xdr:colOff>390525</xdr:colOff>
          <xdr:row>5</xdr:row>
          <xdr:rowOff>400050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57150</xdr:rowOff>
        </xdr:from>
        <xdr:to>
          <xdr:col>10</xdr:col>
          <xdr:colOff>390525</xdr:colOff>
          <xdr:row>6</xdr:row>
          <xdr:rowOff>400050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57150</xdr:rowOff>
        </xdr:from>
        <xdr:to>
          <xdr:col>10</xdr:col>
          <xdr:colOff>390525</xdr:colOff>
          <xdr:row>7</xdr:row>
          <xdr:rowOff>400050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57150</xdr:rowOff>
        </xdr:from>
        <xdr:to>
          <xdr:col>10</xdr:col>
          <xdr:colOff>390525</xdr:colOff>
          <xdr:row>8</xdr:row>
          <xdr:rowOff>400050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xdr:row>
          <xdr:rowOff>57150</xdr:rowOff>
        </xdr:from>
        <xdr:to>
          <xdr:col>10</xdr:col>
          <xdr:colOff>390525</xdr:colOff>
          <xdr:row>9</xdr:row>
          <xdr:rowOff>400050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10</xdr:row>
          <xdr:rowOff>57150</xdr:rowOff>
        </xdr:from>
        <xdr:to>
          <xdr:col>10</xdr:col>
          <xdr:colOff>390525</xdr:colOff>
          <xdr:row>10</xdr:row>
          <xdr:rowOff>400050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57150</xdr:rowOff>
        </xdr:from>
        <xdr:to>
          <xdr:col>10</xdr:col>
          <xdr:colOff>390525</xdr:colOff>
          <xdr:row>11</xdr:row>
          <xdr:rowOff>400050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57150</xdr:rowOff>
        </xdr:from>
        <xdr:to>
          <xdr:col>10</xdr:col>
          <xdr:colOff>390525</xdr:colOff>
          <xdr:row>13</xdr:row>
          <xdr:rowOff>400050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57150</xdr:rowOff>
        </xdr:from>
        <xdr:to>
          <xdr:col>10</xdr:col>
          <xdr:colOff>390525</xdr:colOff>
          <xdr:row>14</xdr:row>
          <xdr:rowOff>400050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57150</xdr:rowOff>
        </xdr:from>
        <xdr:to>
          <xdr:col>10</xdr:col>
          <xdr:colOff>390525</xdr:colOff>
          <xdr:row>15</xdr:row>
          <xdr:rowOff>400050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57150</xdr:rowOff>
        </xdr:from>
        <xdr:to>
          <xdr:col>10</xdr:col>
          <xdr:colOff>390525</xdr:colOff>
          <xdr:row>16</xdr:row>
          <xdr:rowOff>400050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57150</xdr:rowOff>
        </xdr:from>
        <xdr:to>
          <xdr:col>10</xdr:col>
          <xdr:colOff>390525</xdr:colOff>
          <xdr:row>25</xdr:row>
          <xdr:rowOff>400050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57150</xdr:rowOff>
        </xdr:from>
        <xdr:to>
          <xdr:col>10</xdr:col>
          <xdr:colOff>390525</xdr:colOff>
          <xdr:row>26</xdr:row>
          <xdr:rowOff>400050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57150</xdr:rowOff>
        </xdr:from>
        <xdr:to>
          <xdr:col>10</xdr:col>
          <xdr:colOff>390525</xdr:colOff>
          <xdr:row>12</xdr:row>
          <xdr:rowOff>400050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57150</xdr:rowOff>
        </xdr:from>
        <xdr:to>
          <xdr:col>10</xdr:col>
          <xdr:colOff>390525</xdr:colOff>
          <xdr:row>17</xdr:row>
          <xdr:rowOff>400050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57150</xdr:rowOff>
        </xdr:from>
        <xdr:to>
          <xdr:col>10</xdr:col>
          <xdr:colOff>390525</xdr:colOff>
          <xdr:row>18</xdr:row>
          <xdr:rowOff>400050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57150</xdr:rowOff>
        </xdr:from>
        <xdr:to>
          <xdr:col>10</xdr:col>
          <xdr:colOff>390525</xdr:colOff>
          <xdr:row>19</xdr:row>
          <xdr:rowOff>400050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57150</xdr:rowOff>
        </xdr:from>
        <xdr:to>
          <xdr:col>10</xdr:col>
          <xdr:colOff>390525</xdr:colOff>
          <xdr:row>20</xdr:row>
          <xdr:rowOff>400050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57150</xdr:rowOff>
        </xdr:from>
        <xdr:to>
          <xdr:col>10</xdr:col>
          <xdr:colOff>390525</xdr:colOff>
          <xdr:row>21</xdr:row>
          <xdr:rowOff>400050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57150</xdr:rowOff>
        </xdr:from>
        <xdr:to>
          <xdr:col>10</xdr:col>
          <xdr:colOff>390525</xdr:colOff>
          <xdr:row>22</xdr:row>
          <xdr:rowOff>400050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57150</xdr:rowOff>
        </xdr:from>
        <xdr:to>
          <xdr:col>10</xdr:col>
          <xdr:colOff>390525</xdr:colOff>
          <xdr:row>23</xdr:row>
          <xdr:rowOff>400050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57150</xdr:rowOff>
        </xdr:from>
        <xdr:to>
          <xdr:col>10</xdr:col>
          <xdr:colOff>390525</xdr:colOff>
          <xdr:row>24</xdr:row>
          <xdr:rowOff>400050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10.xml" Type="http://schemas.openxmlformats.org/officeDocument/2006/relationships/ctrlProp"/><Relationship Id="rId11" Target="../ctrlProps/ctrlProp11.xml" Type="http://schemas.openxmlformats.org/officeDocument/2006/relationships/ctrlProp"/><Relationship Id="rId12" Target="../ctrlProps/ctrlProp12.xml" Type="http://schemas.openxmlformats.org/officeDocument/2006/relationships/ctrlProp"/><Relationship Id="rId13" Target="../ctrlProps/ctrlProp13.xml" Type="http://schemas.openxmlformats.org/officeDocument/2006/relationships/ctrlProp"/><Relationship Id="rId14" Target="../ctrlProps/ctrlProp14.xml" Type="http://schemas.openxmlformats.org/officeDocument/2006/relationships/ctrlProp"/><Relationship Id="rId15" Target="../ctrlProps/ctrlProp15.xml" Type="http://schemas.openxmlformats.org/officeDocument/2006/relationships/ctrlProp"/><Relationship Id="rId16" Target="../ctrlProps/ctrlProp16.xml" Type="http://schemas.openxmlformats.org/officeDocument/2006/relationships/ctrlProp"/><Relationship Id="rId17" Target="../ctrlProps/ctrlProp17.xml" Type="http://schemas.openxmlformats.org/officeDocument/2006/relationships/ctrlProp"/><Relationship Id="rId18" Target="../ctrlProps/ctrlProp18.xml" Type="http://schemas.openxmlformats.org/officeDocument/2006/relationships/ctrlProp"/><Relationship Id="rId19" Target="../ctrlProps/ctrlProp19.xml" Type="http://schemas.openxmlformats.org/officeDocument/2006/relationships/ctrlProp"/><Relationship Id="rId2" Target="../drawings/drawing3.xml" Type="http://schemas.openxmlformats.org/officeDocument/2006/relationships/drawing"/><Relationship Id="rId20" Target="../ctrlProps/ctrlProp20.xml" Type="http://schemas.openxmlformats.org/officeDocument/2006/relationships/ctrlProp"/><Relationship Id="rId21" Target="../ctrlProps/ctrlProp21.xml" Type="http://schemas.openxmlformats.org/officeDocument/2006/relationships/ctrlProp"/><Relationship Id="rId22" Target="../ctrlProps/ctrlProp22.xml" Type="http://schemas.openxmlformats.org/officeDocument/2006/relationships/ctrlProp"/><Relationship Id="rId23" Target="../ctrlProps/ctrlProp23.xml" Type="http://schemas.openxmlformats.org/officeDocument/2006/relationships/ctrlProp"/><Relationship Id="rId24" Target="../ctrlProps/ctrlProp24.xml" Type="http://schemas.openxmlformats.org/officeDocument/2006/relationships/ctrlProp"/><Relationship Id="rId25" Target="../ctrlProps/ctrlProp25.xml" Type="http://schemas.openxmlformats.org/officeDocument/2006/relationships/ctrlProp"/><Relationship Id="rId26" Target="../ctrlProps/ctrlProp26.xml" Type="http://schemas.openxmlformats.org/officeDocument/2006/relationships/ctrlProp"/><Relationship Id="rId27" Target="../ctrlProps/ctrlProp27.xml" Type="http://schemas.openxmlformats.org/officeDocument/2006/relationships/ctrlProp"/><Relationship Id="rId28" Target="../ctrlProps/ctrlProp28.xml" Type="http://schemas.openxmlformats.org/officeDocument/2006/relationships/ctrlProp"/><Relationship Id="rId29" Target="../ctrlProps/ctrlProp29.xml" Type="http://schemas.openxmlformats.org/officeDocument/2006/relationships/ctrlProp"/><Relationship Id="rId3" Target="../drawings/vmlDrawing2.vml" Type="http://schemas.openxmlformats.org/officeDocument/2006/relationships/vmlDrawing"/><Relationship Id="rId30" Target="../ctrlProps/ctrlProp30.xml" Type="http://schemas.openxmlformats.org/officeDocument/2006/relationships/ctrlProp"/><Relationship Id="rId31" Target="../ctrlProps/ctrlProp31.xml" Type="http://schemas.openxmlformats.org/officeDocument/2006/relationships/ctrlProp"/><Relationship Id="rId32" Target="../ctrlProps/ctrlProp32.xml" Type="http://schemas.openxmlformats.org/officeDocument/2006/relationships/ctrlProp"/><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trlProps/ctrlProp8.xml" Type="http://schemas.openxmlformats.org/officeDocument/2006/relationships/ctrlProp"/><Relationship Id="rId9" Target="../ctrlProps/ctrlProp9.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39"/>
  <sheetViews>
    <sheetView showGridLines="0" tabSelected="1" view="pageBreakPreview" zoomScale="80" zoomScaleNormal="80" zoomScaleSheetLayoutView="80" workbookViewId="0">
      <selection activeCell="L8" sqref="L8"/>
    </sheetView>
  </sheetViews>
  <sheetFormatPr defaultRowHeight="13.5" x14ac:dyDescent="0.15"/>
  <cols>
    <col min="1" max="1" width="2.625" style="1" customWidth="1"/>
    <col min="2" max="2" width="25.125" style="1" customWidth="1"/>
    <col min="3" max="3" width="33.125" style="1" customWidth="1"/>
    <col min="4" max="4" width="40.625" style="1" customWidth="1"/>
    <col min="5" max="5" width="2.625" style="1" customWidth="1"/>
    <col min="6" max="6" width="4.25" style="1" customWidth="1"/>
    <col min="7" max="16384" width="9" style="1"/>
  </cols>
  <sheetData>
    <row r="1" spans="2:5" x14ac:dyDescent="0.15">
      <c r="E1" s="1" t="s">
        <v>1099</v>
      </c>
    </row>
    <row r="2" spans="2:5" ht="25.5" x14ac:dyDescent="0.15">
      <c r="B2" s="474" t="s">
        <v>740</v>
      </c>
      <c r="C2" s="474"/>
      <c r="D2" s="474"/>
    </row>
    <row r="5" spans="2:5" ht="21.75" customHeight="1" x14ac:dyDescent="0.15">
      <c r="C5" s="174" t="s">
        <v>743</v>
      </c>
      <c r="D5" s="185"/>
    </row>
    <row r="6" spans="2:5" ht="14.25" x14ac:dyDescent="0.15">
      <c r="B6" s="175"/>
    </row>
    <row r="7" spans="2:5" ht="30" customHeight="1" x14ac:dyDescent="0.15">
      <c r="B7" s="176" t="s">
        <v>737</v>
      </c>
      <c r="C7" s="468"/>
      <c r="D7" s="469"/>
    </row>
    <row r="8" spans="2:5" ht="30" customHeight="1" x14ac:dyDescent="0.15">
      <c r="B8" s="177" t="s">
        <v>738</v>
      </c>
      <c r="C8" s="470"/>
      <c r="D8" s="470"/>
    </row>
    <row r="9" spans="2:5" ht="30" customHeight="1" x14ac:dyDescent="0.15">
      <c r="B9" s="177" t="s">
        <v>739</v>
      </c>
      <c r="C9" s="470"/>
      <c r="D9" s="470"/>
    </row>
    <row r="10" spans="2:5" ht="30" customHeight="1" x14ac:dyDescent="0.15">
      <c r="B10" s="177" t="s">
        <v>747</v>
      </c>
      <c r="C10" s="470"/>
      <c r="D10" s="470"/>
    </row>
    <row r="12" spans="2:5" ht="14.25" x14ac:dyDescent="0.15">
      <c r="B12" s="178" t="s">
        <v>742</v>
      </c>
      <c r="C12" s="179"/>
      <c r="D12" s="179"/>
    </row>
    <row r="13" spans="2:5" s="182" customFormat="1" ht="6" x14ac:dyDescent="0.15">
      <c r="B13" s="180"/>
      <c r="C13" s="181"/>
      <c r="D13" s="181"/>
    </row>
    <row r="14" spans="2:5" x14ac:dyDescent="0.15">
      <c r="B14" s="183" t="s">
        <v>764</v>
      </c>
      <c r="C14" s="179"/>
      <c r="D14" s="179"/>
    </row>
    <row r="17" spans="2:5" x14ac:dyDescent="0.15">
      <c r="B17" s="189" t="s">
        <v>741</v>
      </c>
      <c r="C17" s="189"/>
    </row>
    <row r="18" spans="2:5" x14ac:dyDescent="0.15">
      <c r="B18" s="189"/>
      <c r="C18" s="189"/>
    </row>
    <row r="19" spans="2:5" ht="42.75" x14ac:dyDescent="0.15">
      <c r="B19" s="473" t="s">
        <v>1100</v>
      </c>
      <c r="C19" s="473"/>
      <c r="D19" s="273" t="s">
        <v>826</v>
      </c>
      <c r="E19" s="215"/>
    </row>
    <row r="20" spans="2:5" ht="14.25" x14ac:dyDescent="0.15">
      <c r="B20" s="465"/>
      <c r="C20" s="465"/>
      <c r="D20" s="466"/>
      <c r="E20" s="466"/>
    </row>
    <row r="21" spans="2:5" ht="42.75" customHeight="1" x14ac:dyDescent="0.15">
      <c r="B21" s="473" t="s">
        <v>1101</v>
      </c>
      <c r="C21" s="473"/>
      <c r="D21" s="273" t="s">
        <v>827</v>
      </c>
      <c r="E21" s="256"/>
    </row>
    <row r="22" spans="2:5" ht="14.25" x14ac:dyDescent="0.15">
      <c r="B22" s="465"/>
      <c r="C22" s="465"/>
      <c r="D22" s="466"/>
      <c r="E22" s="466"/>
    </row>
    <row r="23" spans="2:5" ht="62.25" customHeight="1" x14ac:dyDescent="0.15">
      <c r="B23" s="473" t="s">
        <v>1102</v>
      </c>
      <c r="C23" s="473"/>
      <c r="D23" s="273" t="s">
        <v>828</v>
      </c>
      <c r="E23" s="175"/>
    </row>
    <row r="24" spans="2:5" ht="13.5" customHeight="1" x14ac:dyDescent="0.15">
      <c r="B24" s="274"/>
      <c r="C24" s="274"/>
      <c r="D24" s="273"/>
      <c r="E24" s="175"/>
    </row>
    <row r="25" spans="2:5" ht="14.25" x14ac:dyDescent="0.15">
      <c r="B25" s="475" t="s">
        <v>1103</v>
      </c>
      <c r="C25" s="475"/>
      <c r="D25" s="467" t="s">
        <v>1096</v>
      </c>
      <c r="E25" s="466"/>
    </row>
    <row r="26" spans="2:5" ht="14.25" x14ac:dyDescent="0.15">
      <c r="B26" s="255"/>
      <c r="C26" s="255"/>
      <c r="D26" s="257"/>
      <c r="E26" s="256"/>
    </row>
    <row r="27" spans="2:5" ht="33.75" customHeight="1" x14ac:dyDescent="0.15">
      <c r="B27" s="475" t="s">
        <v>1104</v>
      </c>
      <c r="C27" s="475"/>
      <c r="D27" s="471" t="s">
        <v>1097</v>
      </c>
      <c r="E27" s="472"/>
    </row>
    <row r="28" spans="2:5" ht="14.25" x14ac:dyDescent="0.15">
      <c r="B28" s="190"/>
      <c r="C28" s="190"/>
      <c r="D28" s="175"/>
      <c r="E28" s="175"/>
    </row>
    <row r="29" spans="2:5" ht="27.75" customHeight="1" x14ac:dyDescent="0.15">
      <c r="B29" s="476" t="s">
        <v>876</v>
      </c>
      <c r="C29" s="476"/>
      <c r="D29" s="471" t="s">
        <v>1098</v>
      </c>
      <c r="E29" s="472"/>
    </row>
    <row r="30" spans="2:5" ht="14.25" x14ac:dyDescent="0.15">
      <c r="B30" s="190"/>
      <c r="C30" s="190"/>
      <c r="D30" s="184"/>
      <c r="E30" s="184"/>
    </row>
    <row r="31" spans="2:5" ht="14.25" x14ac:dyDescent="0.15">
      <c r="B31" s="217" t="s">
        <v>829</v>
      </c>
      <c r="C31" s="190"/>
      <c r="D31" s="175"/>
      <c r="E31" s="175"/>
    </row>
    <row r="32" spans="2:5" ht="14.25" x14ac:dyDescent="0.15">
      <c r="B32" s="275" t="s">
        <v>830</v>
      </c>
      <c r="C32" s="220"/>
      <c r="D32" s="175"/>
      <c r="E32" s="175"/>
    </row>
    <row r="33" spans="2:5" ht="14.25" x14ac:dyDescent="0.15">
      <c r="B33" s="256"/>
      <c r="C33" s="256"/>
      <c r="D33" s="467"/>
      <c r="E33" s="466"/>
    </row>
    <row r="34" spans="2:5" ht="14.25" x14ac:dyDescent="0.15">
      <c r="B34" s="190"/>
      <c r="C34" s="189"/>
      <c r="D34" s="184"/>
      <c r="E34" s="184"/>
    </row>
    <row r="35" spans="2:5" ht="14.25" x14ac:dyDescent="0.15">
      <c r="B35" s="190"/>
      <c r="C35" s="190"/>
      <c r="D35" s="175"/>
      <c r="E35" s="175"/>
    </row>
    <row r="36" spans="2:5" ht="14.25" x14ac:dyDescent="0.15">
      <c r="B36" s="465"/>
      <c r="C36" s="465"/>
      <c r="D36" s="467"/>
      <c r="E36" s="466"/>
    </row>
    <row r="39" spans="2:5" ht="14.25" x14ac:dyDescent="0.15">
      <c r="B39" s="465"/>
      <c r="C39" s="465"/>
      <c r="D39" s="466"/>
      <c r="E39" s="466"/>
    </row>
  </sheetData>
  <sheetProtection algorithmName="SHA-512" hashValue="6aHy5QadmhZqnp2cSjA/VuOiDPjY9G9+15rj6w7A6zI08Erkd/GbtBxsv6rVeY+63gDMCB3zlXCJvcglmUs5eg==" saltValue="Y++aGNR9ZKDLaFttMbU2zQ==" spinCount="100000" sheet="1" formatCells="0"/>
  <mergeCells count="23">
    <mergeCell ref="B2:D2"/>
    <mergeCell ref="B19:C19"/>
    <mergeCell ref="B25:C25"/>
    <mergeCell ref="B29:C29"/>
    <mergeCell ref="B21:C21"/>
    <mergeCell ref="B27:C27"/>
    <mergeCell ref="D29:E29"/>
    <mergeCell ref="B39:C39"/>
    <mergeCell ref="D39:E39"/>
    <mergeCell ref="D36:E36"/>
    <mergeCell ref="C7:D7"/>
    <mergeCell ref="C8:D8"/>
    <mergeCell ref="C9:D9"/>
    <mergeCell ref="C10:D10"/>
    <mergeCell ref="D20:E20"/>
    <mergeCell ref="D27:E27"/>
    <mergeCell ref="B36:C36"/>
    <mergeCell ref="D33:E33"/>
    <mergeCell ref="B23:C23"/>
    <mergeCell ref="D25:E25"/>
    <mergeCell ref="B20:C20"/>
    <mergeCell ref="B22:C22"/>
    <mergeCell ref="D22:E22"/>
  </mergeCells>
  <phoneticPr fontId="8"/>
  <dataValidations count="1">
    <dataValidation type="list" allowBlank="1" showInputMessage="1" showErrorMessage="1" sqref="D5" xr:uid="{00000000-0002-0000-0000-000000000000}">
      <formula1>"３号,４号"</formula1>
    </dataValidation>
  </dataValidations>
  <pageMargins left="0.70866141732283472" right="0.31496062992125984"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H174"/>
  <sheetViews>
    <sheetView showGridLines="0" view="pageBreakPreview" zoomScaleNormal="100" zoomScaleSheetLayoutView="100" workbookViewId="0">
      <selection activeCell="L39" sqref="L39"/>
    </sheetView>
  </sheetViews>
  <sheetFormatPr defaultRowHeight="18.75" x14ac:dyDescent="0.15"/>
  <cols>
    <col min="1" max="1" width="3.125" style="79" customWidth="1"/>
    <col min="2" max="2" width="28.25" style="79" customWidth="1"/>
    <col min="3" max="3" width="44.875" style="79" customWidth="1"/>
    <col min="4" max="4" width="8.375" style="79" customWidth="1"/>
    <col min="5" max="5" width="4.25" style="79" customWidth="1"/>
    <col min="6" max="6" width="4.25" style="148" customWidth="1"/>
    <col min="7" max="7" width="8.875" style="79" customWidth="1"/>
    <col min="8" max="8" width="10.375" style="79" customWidth="1"/>
    <col min="9" max="16384" width="9" style="79"/>
  </cols>
  <sheetData>
    <row r="1" spans="2:8" ht="19.5" thickBot="1" x14ac:dyDescent="0.2">
      <c r="G1" s="2" t="str">
        <f>IF(COUNTIF(F:F,"×")&gt;0,"×","○")</f>
        <v>×</v>
      </c>
      <c r="H1" s="3" t="s">
        <v>868</v>
      </c>
    </row>
    <row r="2" spans="2:8" ht="17.25" customHeight="1" x14ac:dyDescent="0.15">
      <c r="B2" s="489" t="s">
        <v>1105</v>
      </c>
      <c r="C2" s="489"/>
      <c r="D2" s="489"/>
      <c r="E2" s="63"/>
      <c r="F2" s="292"/>
    </row>
    <row r="3" spans="2:8" x14ac:dyDescent="0.15">
      <c r="B3" s="490" t="s">
        <v>685</v>
      </c>
      <c r="C3" s="490"/>
      <c r="D3" s="490"/>
      <c r="E3" s="63"/>
      <c r="F3" s="299" t="str">
        <f>IF(B3="○○○○○○○○","×","○")</f>
        <v>×</v>
      </c>
      <c r="G3" s="101" t="s">
        <v>705</v>
      </c>
    </row>
    <row r="4" spans="2:8" x14ac:dyDescent="0.15">
      <c r="B4" s="490" t="s">
        <v>686</v>
      </c>
      <c r="C4" s="490"/>
      <c r="D4" s="490"/>
      <c r="E4" s="63"/>
      <c r="F4" s="299" t="str">
        <f>IF(B4="令和　年　月　日","×","○")</f>
        <v>×</v>
      </c>
      <c r="G4" s="101" t="s">
        <v>706</v>
      </c>
    </row>
    <row r="5" spans="2:8" x14ac:dyDescent="0.15">
      <c r="B5" s="491" t="s">
        <v>687</v>
      </c>
      <c r="C5" s="492"/>
      <c r="D5" s="492"/>
      <c r="E5" s="492"/>
      <c r="F5" s="292"/>
    </row>
    <row r="6" spans="2:8" x14ac:dyDescent="0.15">
      <c r="B6" s="100"/>
      <c r="C6" s="63"/>
      <c r="D6" s="63"/>
      <c r="E6" s="63"/>
      <c r="F6" s="292"/>
    </row>
    <row r="7" spans="2:8" x14ac:dyDescent="0.15">
      <c r="B7" s="493" t="str">
        <f>IF('01（学校名入力）'!D5="３号",'01（学校名入力）'!C7&amp;"長","")</f>
        <v/>
      </c>
      <c r="C7" s="493"/>
      <c r="D7" s="493"/>
      <c r="E7" s="63"/>
      <c r="F7" s="292"/>
      <c r="G7" s="101" t="s">
        <v>719</v>
      </c>
    </row>
    <row r="8" spans="2:8" x14ac:dyDescent="0.15">
      <c r="B8" s="100"/>
      <c r="C8" s="63"/>
      <c r="D8" s="63"/>
      <c r="E8" s="63"/>
      <c r="F8" s="292"/>
      <c r="G8" s="101" t="s">
        <v>721</v>
      </c>
    </row>
    <row r="9" spans="2:8" ht="18.75" customHeight="1" x14ac:dyDescent="0.15">
      <c r="B9" s="500" t="s">
        <v>1126</v>
      </c>
      <c r="C9" s="500"/>
      <c r="D9" s="500"/>
      <c r="E9" s="426"/>
      <c r="F9" s="293"/>
    </row>
    <row r="10" spans="2:8" ht="18.75" customHeight="1" x14ac:dyDescent="0.15">
      <c r="B10" s="500" t="s">
        <v>1127</v>
      </c>
      <c r="C10" s="500"/>
      <c r="D10" s="500"/>
      <c r="E10" s="426"/>
      <c r="F10" s="293"/>
    </row>
    <row r="11" spans="2:8" s="145" customFormat="1" ht="18.75" customHeight="1" x14ac:dyDescent="0.15">
      <c r="B11" s="500" t="s">
        <v>1128</v>
      </c>
      <c r="C11" s="500"/>
      <c r="D11" s="500"/>
      <c r="E11" s="148"/>
      <c r="F11" s="148"/>
    </row>
    <row r="12" spans="2:8" x14ac:dyDescent="0.15">
      <c r="B12" s="100"/>
      <c r="C12" s="63"/>
      <c r="D12" s="63"/>
      <c r="E12" s="63"/>
      <c r="F12" s="292"/>
    </row>
    <row r="13" spans="2:8" ht="28.5" customHeight="1" x14ac:dyDescent="0.15">
      <c r="B13" s="494" t="s">
        <v>708</v>
      </c>
      <c r="C13" s="494"/>
      <c r="D13" s="494"/>
      <c r="E13" s="67"/>
      <c r="F13" s="291"/>
      <c r="G13" s="218" t="s">
        <v>809</v>
      </c>
    </row>
    <row r="14" spans="2:8" ht="19.5" thickBot="1" x14ac:dyDescent="0.2">
      <c r="B14" s="96"/>
    </row>
    <row r="15" spans="2:8" ht="13.7" customHeight="1" x14ac:dyDescent="0.15">
      <c r="B15" s="69"/>
      <c r="C15" s="83"/>
      <c r="D15" s="84"/>
      <c r="E15" s="97"/>
      <c r="F15" s="97"/>
    </row>
    <row r="16" spans="2:8" ht="13.7" customHeight="1" thickBot="1" x14ac:dyDescent="0.2">
      <c r="B16" s="73" t="s">
        <v>2</v>
      </c>
      <c r="C16" s="90" t="s">
        <v>689</v>
      </c>
      <c r="D16" s="88" t="s">
        <v>690</v>
      </c>
      <c r="E16" s="97"/>
      <c r="F16" s="97"/>
    </row>
    <row r="17" spans="2:6" ht="19.5" customHeight="1" thickBot="1" x14ac:dyDescent="0.2">
      <c r="B17" s="495" t="s">
        <v>717</v>
      </c>
      <c r="C17" s="104">
        <f>IF(OR('05（様式４）単位数の新旧対照表 '!C12="",'01（学校名入力）'!$D$5="３号"),
'05（様式４）単位数の新旧対照表 '!C12,"")</f>
        <v>0</v>
      </c>
      <c r="D17" s="105">
        <f>IF(OR('05（様式４）単位数の新旧対照表 '!D12="",'01（学校名入力）'!$D$5="３号"),
'05（様式４）単位数の新旧対照表 '!D12,"")</f>
        <v>0</v>
      </c>
      <c r="E17" s="98"/>
      <c r="F17" s="98"/>
    </row>
    <row r="18" spans="2:6" ht="19.5" thickBot="1" x14ac:dyDescent="0.2">
      <c r="B18" s="496"/>
      <c r="C18" s="104">
        <f>IF(OR('05（様式４）単位数の新旧対照表 '!C13="",'01（学校名入力）'!$D$5="３号"),
'05（様式４）単位数の新旧対照表 '!C13,"")</f>
        <v>0</v>
      </c>
      <c r="D18" s="105">
        <f>IF(OR('05（様式４）単位数の新旧対照表 '!D13="",'01（学校名入力）'!$D$5="３号"),
'05（様式４）単位数の新旧対照表 '!D13,"")</f>
        <v>0</v>
      </c>
      <c r="E18" s="98"/>
      <c r="F18" s="98"/>
    </row>
    <row r="19" spans="2:6" ht="19.5" thickBot="1" x14ac:dyDescent="0.2">
      <c r="B19" s="496"/>
      <c r="C19" s="104">
        <f>IF(OR('05（様式４）単位数の新旧対照表 '!C14="",'01（学校名入力）'!$D$5="３号"),
'05（様式４）単位数の新旧対照表 '!C14,"")</f>
        <v>0</v>
      </c>
      <c r="D19" s="105">
        <f>IF(OR('05（様式４）単位数の新旧対照表 '!D14="",'01（学校名入力）'!$D$5="３号"),
'05（様式４）単位数の新旧対照表 '!D14,"")</f>
        <v>0</v>
      </c>
      <c r="E19" s="98"/>
      <c r="F19" s="98"/>
    </row>
    <row r="20" spans="2:6" ht="19.5" thickBot="1" x14ac:dyDescent="0.2">
      <c r="B20" s="496"/>
      <c r="C20" s="104">
        <f>IF(OR('05（様式４）単位数の新旧対照表 '!C15="",'01（学校名入力）'!$D$5="３号"),
'05（様式４）単位数の新旧対照表 '!C15,"")</f>
        <v>0</v>
      </c>
      <c r="D20" s="105">
        <f>IF(OR('05（様式４）単位数の新旧対照表 '!D15="",'01（学校名入力）'!$D$5="３号"),
'05（様式４）単位数の新旧対照表 '!D15,"")</f>
        <v>0</v>
      </c>
      <c r="E20" s="98"/>
      <c r="F20" s="98"/>
    </row>
    <row r="21" spans="2:6" ht="19.5" thickBot="1" x14ac:dyDescent="0.2">
      <c r="B21" s="496"/>
      <c r="C21" s="104">
        <f>IF(OR('05（様式４）単位数の新旧対照表 '!C16="",'01（学校名入力）'!$D$5="３号"),
'05（様式４）単位数の新旧対照表 '!C16,"")</f>
        <v>0</v>
      </c>
      <c r="D21" s="105">
        <f>IF(OR('05（様式４）単位数の新旧対照表 '!D16="",'01（学校名入力）'!$D$5="３号"),
'05（様式４）単位数の新旧対照表 '!D16,"")</f>
        <v>0</v>
      </c>
      <c r="E21" s="98"/>
      <c r="F21" s="98"/>
    </row>
    <row r="22" spans="2:6" ht="19.5" thickBot="1" x14ac:dyDescent="0.2">
      <c r="B22" s="496"/>
      <c r="C22" s="104">
        <f>IF(OR('05（様式４）単位数の新旧対照表 '!C17="",'01（学校名入力）'!$D$5="３号"),
'05（様式４）単位数の新旧対照表 '!C17,"")</f>
        <v>0</v>
      </c>
      <c r="D22" s="105">
        <f>IF(OR('05（様式４）単位数の新旧対照表 '!D17="",'01（学校名入力）'!$D$5="３号"),
'05（様式４）単位数の新旧対照表 '!D17,"")</f>
        <v>0</v>
      </c>
      <c r="E22" s="98"/>
      <c r="F22" s="98"/>
    </row>
    <row r="23" spans="2:6" ht="19.5" thickBot="1" x14ac:dyDescent="0.2">
      <c r="B23" s="496"/>
      <c r="C23" s="104">
        <f>IF(OR('05（様式４）単位数の新旧対照表 '!C18="",'01（学校名入力）'!$D$5="３号"),
'05（様式４）単位数の新旧対照表 '!C18,"")</f>
        <v>0</v>
      </c>
      <c r="D23" s="105">
        <f>IF(OR('05（様式４）単位数の新旧対照表 '!D18="",'01（学校名入力）'!$D$5="３号"),
'05（様式４）単位数の新旧対照表 '!D18,"")</f>
        <v>0</v>
      </c>
      <c r="E23" s="98"/>
      <c r="F23" s="98"/>
    </row>
    <row r="24" spans="2:6" ht="19.5" thickBot="1" x14ac:dyDescent="0.2">
      <c r="B24" s="496"/>
      <c r="C24" s="104">
        <f>IF(OR('05（様式４）単位数の新旧対照表 '!C19="",'01（学校名入力）'!$D$5="３号"),
'05（様式４）単位数の新旧対照表 '!C19,"")</f>
        <v>0</v>
      </c>
      <c r="D24" s="105">
        <f>IF(OR('05（様式４）単位数の新旧対照表 '!D19="",'01（学校名入力）'!$D$5="３号"),
'05（様式４）単位数の新旧対照表 '!D19,"")</f>
        <v>0</v>
      </c>
      <c r="E24" s="98"/>
      <c r="F24" s="98"/>
    </row>
    <row r="25" spans="2:6" ht="19.5" thickBot="1" x14ac:dyDescent="0.2">
      <c r="B25" s="496"/>
      <c r="C25" s="104">
        <f>IF(OR('05（様式４）単位数の新旧対照表 '!C20="",'01（学校名入力）'!$D$5="３号"),
'05（様式４）単位数の新旧対照表 '!C20,"")</f>
        <v>0</v>
      </c>
      <c r="D25" s="105">
        <f>IF(OR('05（様式４）単位数の新旧対照表 '!D20="",'01（学校名入力）'!$D$5="３号"),
'05（様式４）単位数の新旧対照表 '!D20,"")</f>
        <v>0</v>
      </c>
      <c r="E25" s="98"/>
      <c r="F25" s="98"/>
    </row>
    <row r="26" spans="2:6" ht="19.5" thickBot="1" x14ac:dyDescent="0.2">
      <c r="B26" s="496"/>
      <c r="C26" s="104">
        <f>IF(OR('05（様式４）単位数の新旧対照表 '!C21="",'01（学校名入力）'!$D$5="３号"),
'05（様式４）単位数の新旧対照表 '!C21,"")</f>
        <v>0</v>
      </c>
      <c r="D26" s="105">
        <f>IF(OR('05（様式４）単位数の新旧対照表 '!D21="",'01（学校名入力）'!$D$5="３号"),
'05（様式４）単位数の新旧対照表 '!D21,"")</f>
        <v>0</v>
      </c>
      <c r="E26" s="98"/>
      <c r="F26" s="98"/>
    </row>
    <row r="27" spans="2:6" ht="19.5" thickBot="1" x14ac:dyDescent="0.2">
      <c r="B27" s="496"/>
      <c r="C27" s="104">
        <f>IF(OR('05（様式４）単位数の新旧対照表 '!C22="",'01（学校名入力）'!$D$5="３号"),
'05（様式４）単位数の新旧対照表 '!C22,"")</f>
        <v>0</v>
      </c>
      <c r="D27" s="105">
        <f>IF(OR('05（様式４）単位数の新旧対照表 '!D22="",'01（学校名入力）'!$D$5="３号"),
'05（様式４）単位数の新旧対照表 '!D22,"")</f>
        <v>0</v>
      </c>
      <c r="E27" s="98"/>
      <c r="F27" s="98"/>
    </row>
    <row r="28" spans="2:6" ht="19.5" thickBot="1" x14ac:dyDescent="0.2">
      <c r="B28" s="496"/>
      <c r="C28" s="104">
        <f>IF(OR('05（様式４）単位数の新旧対照表 '!C23="",'01（学校名入力）'!$D$5="３号"),
'05（様式４）単位数の新旧対照表 '!C23,"")</f>
        <v>0</v>
      </c>
      <c r="D28" s="105">
        <f>IF(OR('05（様式４）単位数の新旧対照表 '!D23="",'01（学校名入力）'!$D$5="３号"),
'05（様式４）単位数の新旧対照表 '!D23,"")</f>
        <v>0</v>
      </c>
      <c r="E28" s="98"/>
      <c r="F28" s="98"/>
    </row>
    <row r="29" spans="2:6" ht="19.5" thickBot="1" x14ac:dyDescent="0.2">
      <c r="B29" s="496"/>
      <c r="C29" s="104">
        <f>IF(OR('05（様式４）単位数の新旧対照表 '!C24="",'01（学校名入力）'!$D$5="３号"),
'05（様式４）単位数の新旧対照表 '!C24,"")</f>
        <v>0</v>
      </c>
      <c r="D29" s="105">
        <f>IF(OR('05（様式４）単位数の新旧対照表 '!D24="",'01（学校名入力）'!$D$5="３号"),
'05（様式４）単位数の新旧対照表 '!D24,"")</f>
        <v>0</v>
      </c>
      <c r="E29" s="98"/>
      <c r="F29" s="98"/>
    </row>
    <row r="30" spans="2:6" ht="19.5" thickBot="1" x14ac:dyDescent="0.2">
      <c r="B30" s="496"/>
      <c r="C30" s="104">
        <f>IF(OR('05（様式４）単位数の新旧対照表 '!C25="",'01（学校名入力）'!$D$5="３号"),
'05（様式４）単位数の新旧対照表 '!C25,"")</f>
        <v>0</v>
      </c>
      <c r="D30" s="105">
        <f>IF(OR('05（様式４）単位数の新旧対照表 '!D25="",'01（学校名入力）'!$D$5="３号"),
'05（様式４）単位数の新旧対照表 '!D25,"")</f>
        <v>0</v>
      </c>
      <c r="E30" s="98"/>
      <c r="F30" s="98"/>
    </row>
    <row r="31" spans="2:6" ht="19.5" thickBot="1" x14ac:dyDescent="0.2">
      <c r="B31" s="496"/>
      <c r="C31" s="104">
        <f>IF(OR('05（様式４）単位数の新旧対照表 '!C26="",'01（学校名入力）'!$D$5="３号"),
'05（様式４）単位数の新旧対照表 '!C26,"")</f>
        <v>0</v>
      </c>
      <c r="D31" s="105">
        <f>IF(OR('05（様式４）単位数の新旧対照表 '!D26="",'01（学校名入力）'!$D$5="３号"),
'05（様式４）単位数の新旧対照表 '!D26,"")</f>
        <v>0</v>
      </c>
      <c r="E31" s="98"/>
      <c r="F31" s="98"/>
    </row>
    <row r="32" spans="2:6" ht="19.5" thickBot="1" x14ac:dyDescent="0.2">
      <c r="B32" s="496"/>
      <c r="C32" s="104">
        <f>IF(OR('05（様式４）単位数の新旧対照表 '!C27="",'01（学校名入力）'!$D$5="３号"),
'05（様式４）単位数の新旧対照表 '!C27,"")</f>
        <v>0</v>
      </c>
      <c r="D32" s="105">
        <f>IF(OR('05（様式４）単位数の新旧対照表 '!D27="",'01（学校名入力）'!$D$5="３号"),
'05（様式４）単位数の新旧対照表 '!D27,"")</f>
        <v>0</v>
      </c>
      <c r="E32" s="98"/>
      <c r="F32" s="98"/>
    </row>
    <row r="33" spans="2:6" ht="19.5" thickBot="1" x14ac:dyDescent="0.2">
      <c r="B33" s="496"/>
      <c r="C33" s="104">
        <f>IF(OR('05（様式４）単位数の新旧対照表 '!C28="",'01（学校名入力）'!$D$5="３号"),
'05（様式４）単位数の新旧対照表 '!C28,"")</f>
        <v>0</v>
      </c>
      <c r="D33" s="105">
        <f>IF(OR('05（様式４）単位数の新旧対照表 '!D28="",'01（学校名入力）'!$D$5="３号"),
'05（様式４）単位数の新旧対照表 '!D28,"")</f>
        <v>0</v>
      </c>
      <c r="E33" s="98"/>
      <c r="F33" s="98"/>
    </row>
    <row r="34" spans="2:6" ht="19.5" thickBot="1" x14ac:dyDescent="0.2">
      <c r="B34" s="496"/>
      <c r="C34" s="104">
        <f>IF(OR('05（様式４）単位数の新旧対照表 '!C29="",'01（学校名入力）'!$D$5="３号"),
'05（様式４）単位数の新旧対照表 '!C29,"")</f>
        <v>0</v>
      </c>
      <c r="D34" s="105">
        <f>IF(OR('05（様式４）単位数の新旧対照表 '!D29="",'01（学校名入力）'!$D$5="３号"),
'05（様式４）単位数の新旧対照表 '!D29,"")</f>
        <v>0</v>
      </c>
      <c r="E34" s="98"/>
      <c r="F34" s="98"/>
    </row>
    <row r="35" spans="2:6" s="148" customFormat="1" ht="19.5" thickBot="1" x14ac:dyDescent="0.2">
      <c r="B35" s="496"/>
      <c r="C35" s="104">
        <f>IF(OR('05（様式４）単位数の新旧対照表 '!C30="",'01（学校名入力）'!$D$5="３号"),
'05（様式４）単位数の新旧対照表 '!C30,"")</f>
        <v>0</v>
      </c>
      <c r="D35" s="105">
        <f>IF(OR('05（様式４）単位数の新旧対照表 '!D30="",'01（学校名入力）'!$D$5="３号"),
'05（様式４）単位数の新旧対照表 '!D30,"")</f>
        <v>0</v>
      </c>
      <c r="E35" s="98"/>
      <c r="F35" s="98"/>
    </row>
    <row r="36" spans="2:6" s="148" customFormat="1" ht="19.5" thickBot="1" x14ac:dyDescent="0.2">
      <c r="B36" s="496"/>
      <c r="C36" s="104">
        <f>IF(OR('05（様式４）単位数の新旧対照表 '!C31="",'01（学校名入力）'!$D$5="３号"),
'05（様式４）単位数の新旧対照表 '!C31,"")</f>
        <v>0</v>
      </c>
      <c r="D36" s="105">
        <f>IF(OR('05（様式４）単位数の新旧対照表 '!D31="",'01（学校名入力）'!$D$5="３号"),
'05（様式４）単位数の新旧対照表 '!D31,"")</f>
        <v>0</v>
      </c>
      <c r="E36" s="98"/>
      <c r="F36" s="98"/>
    </row>
    <row r="37" spans="2:6" s="148" customFormat="1" ht="19.5" thickBot="1" x14ac:dyDescent="0.2">
      <c r="B37" s="496"/>
      <c r="C37" s="104">
        <f>IF(OR('05（様式４）単位数の新旧対照表 '!C32="",'01（学校名入力）'!$D$5="３号"),
'05（様式４）単位数の新旧対照表 '!C32,"")</f>
        <v>0</v>
      </c>
      <c r="D37" s="105">
        <f>IF(OR('05（様式４）単位数の新旧対照表 '!D32="",'01（学校名入力）'!$D$5="３号"),
'05（様式４）単位数の新旧対照表 '!D32,"")</f>
        <v>0</v>
      </c>
      <c r="E37" s="98"/>
      <c r="F37" s="98"/>
    </row>
    <row r="38" spans="2:6" ht="19.5" thickBot="1" x14ac:dyDescent="0.2">
      <c r="B38" s="496"/>
      <c r="C38" s="104">
        <f>IF(OR('05（様式４）単位数の新旧対照表 '!C33="",'01（学校名入力）'!$D$5="３号"),
'05（様式４）単位数の新旧対照表 '!C33,"")</f>
        <v>0</v>
      </c>
      <c r="D38" s="105">
        <f>IF(OR('05（様式４）単位数の新旧対照表 '!D33="",'01（学校名入力）'!$D$5="３号"),
'05（様式４）単位数の新旧対照表 '!D33,"")</f>
        <v>0</v>
      </c>
      <c r="E38" s="98"/>
      <c r="F38" s="98"/>
    </row>
    <row r="39" spans="2:6" s="148" customFormat="1" ht="19.5" thickBot="1" x14ac:dyDescent="0.2">
      <c r="B39" s="496"/>
      <c r="C39" s="104">
        <f>IF(OR('05（様式４）単位数の新旧対照表 '!C34="",'01（学校名入力）'!$D$5="３号"),
'05（様式４）単位数の新旧対照表 '!C34,"")</f>
        <v>0</v>
      </c>
      <c r="D39" s="105">
        <f>IF(OR('05（様式４）単位数の新旧対照表 '!D34="",'01（学校名入力）'!$D$5="３号"),
'05（様式４）単位数の新旧対照表 '!D34,"")</f>
        <v>0</v>
      </c>
      <c r="E39" s="98"/>
      <c r="F39" s="98"/>
    </row>
    <row r="40" spans="2:6" s="148" customFormat="1" ht="19.5" thickBot="1" x14ac:dyDescent="0.2">
      <c r="B40" s="496"/>
      <c r="C40" s="104">
        <f>IF(OR('05（様式４）単位数の新旧対照表 '!C35="",'01（学校名入力）'!$D$5="３号"),
'05（様式４）単位数の新旧対照表 '!C35,"")</f>
        <v>0</v>
      </c>
      <c r="D40" s="105">
        <f>IF(OR('05（様式４）単位数の新旧対照表 '!D35="",'01（学校名入力）'!$D$5="３号"),
'05（様式４）単位数の新旧対照表 '!D35,"")</f>
        <v>0</v>
      </c>
      <c r="E40" s="98"/>
      <c r="F40" s="98"/>
    </row>
    <row r="41" spans="2:6" s="148" customFormat="1" ht="19.5" thickBot="1" x14ac:dyDescent="0.2">
      <c r="B41" s="496"/>
      <c r="C41" s="104">
        <f>IF(OR('05（様式４）単位数の新旧対照表 '!C36="",'01（学校名入力）'!$D$5="３号"),
'05（様式４）単位数の新旧対照表 '!C36,"")</f>
        <v>0</v>
      </c>
      <c r="D41" s="105">
        <f>IF(OR('05（様式４）単位数の新旧対照表 '!D36="",'01（学校名入力）'!$D$5="３号"),
'05（様式４）単位数の新旧対照表 '!D36,"")</f>
        <v>0</v>
      </c>
      <c r="E41" s="98"/>
      <c r="F41" s="98"/>
    </row>
    <row r="42" spans="2:6" s="148" customFormat="1" ht="19.5" thickBot="1" x14ac:dyDescent="0.2">
      <c r="B42" s="496"/>
      <c r="C42" s="104">
        <f>IF(OR('05（様式４）単位数の新旧対照表 '!C37="",'01（学校名入力）'!$D$5="３号"),
'05（様式４）単位数の新旧対照表 '!C37,"")</f>
        <v>0</v>
      </c>
      <c r="D42" s="105">
        <f>IF(OR('05（様式４）単位数の新旧対照表 '!D37="",'01（学校名入力）'!$D$5="３号"),
'05（様式４）単位数の新旧対照表 '!D37,"")</f>
        <v>0</v>
      </c>
      <c r="E42" s="98"/>
      <c r="F42" s="98"/>
    </row>
    <row r="43" spans="2:6" ht="19.5" thickBot="1" x14ac:dyDescent="0.2">
      <c r="B43" s="497"/>
      <c r="C43" s="104">
        <f>IF(OR('05（様式４）単位数の新旧対照表 '!C38="",'01（学校名入力）'!$D$5="３号"),
'05（様式４）単位数の新旧対照表 '!C38,"")</f>
        <v>0</v>
      </c>
      <c r="D43" s="105">
        <f>IF(OR('05（様式４）単位数の新旧対照表 '!D38="",'01（学校名入力）'!$D$5="３号"),
'05（様式４）単位数の新旧対照表 '!D38,"")</f>
        <v>0</v>
      </c>
      <c r="E43" s="98"/>
      <c r="F43" s="98"/>
    </row>
    <row r="44" spans="2:6" ht="19.5" thickBot="1" x14ac:dyDescent="0.2">
      <c r="B44" s="479" t="s">
        <v>8</v>
      </c>
      <c r="C44" s="104">
        <f>IF(OR('05（様式４）単位数の新旧対照表 '!C39="",'01（学校名入力）'!$D$5="３号"),
'05（様式４）単位数の新旧対照表 '!C39,"")</f>
        <v>0</v>
      </c>
      <c r="D44" s="105">
        <f>IF(OR('05（様式４）単位数の新旧対照表 '!D39="",'01（学校名入力）'!$D$5="３号"),
'05（様式４）単位数の新旧対照表 '!D39,"")</f>
        <v>0</v>
      </c>
      <c r="E44" s="98"/>
      <c r="F44" s="98"/>
    </row>
    <row r="45" spans="2:6" ht="19.5" thickBot="1" x14ac:dyDescent="0.2">
      <c r="B45" s="498"/>
      <c r="C45" s="104">
        <f>IF(OR('05（様式４）単位数の新旧対照表 '!C40="",'01（学校名入力）'!$D$5="３号"),
'05（様式４）単位数の新旧対照表 '!C40,"")</f>
        <v>0</v>
      </c>
      <c r="D45" s="105">
        <f>IF(OR('05（様式４）単位数の新旧対照表 '!D40="",'01（学校名入力）'!$D$5="３号"),
'05（様式４）単位数の新旧対照表 '!D40,"")</f>
        <v>0</v>
      </c>
      <c r="E45" s="98"/>
      <c r="F45" s="98"/>
    </row>
    <row r="46" spans="2:6" s="148" customFormat="1" ht="19.5" thickBot="1" x14ac:dyDescent="0.2">
      <c r="B46" s="498"/>
      <c r="C46" s="104">
        <f>IF(OR('05（様式４）単位数の新旧対照表 '!C41="",'01（学校名入力）'!$D$5="３号"),
'05（様式４）単位数の新旧対照表 '!C41,"")</f>
        <v>0</v>
      </c>
      <c r="D46" s="105">
        <f>IF(OR('05（様式４）単位数の新旧対照表 '!D41="",'01（学校名入力）'!$D$5="３号"),
'05（様式４）単位数の新旧対照表 '!D41,"")</f>
        <v>0</v>
      </c>
      <c r="E46" s="98"/>
      <c r="F46" s="98"/>
    </row>
    <row r="47" spans="2:6" ht="19.5" thickBot="1" x14ac:dyDescent="0.2">
      <c r="B47" s="498"/>
      <c r="C47" s="104">
        <f>IF(OR('05（様式４）単位数の新旧対照表 '!C42="",'01（学校名入力）'!$D$5="３号"),
'05（様式４）単位数の新旧対照表 '!C42,"")</f>
        <v>0</v>
      </c>
      <c r="D47" s="105">
        <f>IF(OR('05（様式４）単位数の新旧対照表 '!D42="",'01（学校名入力）'!$D$5="３号"),
'05（様式４）単位数の新旧対照表 '!D42,"")</f>
        <v>0</v>
      </c>
      <c r="E47" s="98"/>
      <c r="F47" s="98"/>
    </row>
    <row r="48" spans="2:6" s="148" customFormat="1" ht="19.5" thickBot="1" x14ac:dyDescent="0.2">
      <c r="B48" s="498"/>
      <c r="C48" s="104">
        <f>IF(OR('05（様式４）単位数の新旧対照表 '!C43="",'01（学校名入力）'!$D$5="３号"),
'05（様式４）単位数の新旧対照表 '!C43,"")</f>
        <v>0</v>
      </c>
      <c r="D48" s="105">
        <f>IF(OR('05（様式４）単位数の新旧対照表 '!D43="",'01（学校名入力）'!$D$5="３号"),
'05（様式４）単位数の新旧対照表 '!D43,"")</f>
        <v>0</v>
      </c>
      <c r="E48" s="98"/>
      <c r="F48" s="98"/>
    </row>
    <row r="49" spans="2:6" s="148" customFormat="1" ht="19.5" thickBot="1" x14ac:dyDescent="0.2">
      <c r="B49" s="498"/>
      <c r="C49" s="104">
        <f>IF(OR('05（様式４）単位数の新旧対照表 '!C44="",'01（学校名入力）'!$D$5="３号"),
'05（様式４）単位数の新旧対照表 '!C44,"")</f>
        <v>0</v>
      </c>
      <c r="D49" s="105">
        <f>IF(OR('05（様式４）単位数の新旧対照表 '!D44="",'01（学校名入力）'!$D$5="３号"),
'05（様式４）単位数の新旧対照表 '!D44,"")</f>
        <v>0</v>
      </c>
      <c r="E49" s="98"/>
      <c r="F49" s="98"/>
    </row>
    <row r="50" spans="2:6" s="148" customFormat="1" ht="19.5" thickBot="1" x14ac:dyDescent="0.2">
      <c r="B50" s="498"/>
      <c r="C50" s="104">
        <f>IF(OR('05（様式４）単位数の新旧対照表 '!C45="",'01（学校名入力）'!$D$5="３号"),
'05（様式４）単位数の新旧対照表 '!C45,"")</f>
        <v>0</v>
      </c>
      <c r="D50" s="105">
        <f>IF(OR('05（様式４）単位数の新旧対照表 '!D45="",'01（学校名入力）'!$D$5="３号"),
'05（様式４）単位数の新旧対照表 '!D45,"")</f>
        <v>0</v>
      </c>
      <c r="E50" s="98"/>
      <c r="F50" s="98"/>
    </row>
    <row r="51" spans="2:6" ht="19.5" thickBot="1" x14ac:dyDescent="0.2">
      <c r="B51" s="499"/>
      <c r="C51" s="104">
        <f>IF(OR('05（様式４）単位数の新旧対照表 '!C46="",'01（学校名入力）'!$D$5="３号"),
'05（様式４）単位数の新旧対照表 '!C46,"")</f>
        <v>0</v>
      </c>
      <c r="D51" s="105">
        <f>IF(OR('05（様式４）単位数の新旧対照表 '!D46="",'01（学校名入力）'!$D$5="３号"),
'05（様式４）単位数の新旧対照表 '!D46,"")</f>
        <v>0</v>
      </c>
      <c r="E51" s="98"/>
      <c r="F51" s="98"/>
    </row>
    <row r="52" spans="2:6" ht="19.5" thickBot="1" x14ac:dyDescent="0.2">
      <c r="B52" s="479" t="s">
        <v>9</v>
      </c>
      <c r="C52" s="104">
        <f>IF(OR('05（様式４）単位数の新旧対照表 '!C47="",'01（学校名入力）'!$D$5="３号"),
'05（様式４）単位数の新旧対照表 '!C47,"")</f>
        <v>0</v>
      </c>
      <c r="D52" s="105">
        <f>IF(OR('05（様式４）単位数の新旧対照表 '!D47="",'01（学校名入力）'!$D$5="３号"),
'05（様式４）単位数の新旧対照表 '!D47,"")</f>
        <v>0</v>
      </c>
      <c r="E52" s="98"/>
      <c r="F52" s="98"/>
    </row>
    <row r="53" spans="2:6" ht="19.5" thickBot="1" x14ac:dyDescent="0.2">
      <c r="B53" s="480"/>
      <c r="C53" s="104">
        <f>IF(OR('05（様式４）単位数の新旧対照表 '!C48="",'01（学校名入力）'!$D$5="３号"),
'05（様式４）単位数の新旧対照表 '!C48,"")</f>
        <v>0</v>
      </c>
      <c r="D53" s="105">
        <f>IF(OR('05（様式４）単位数の新旧対照表 '!D48="",'01（学校名入力）'!$D$5="３号"),
'05（様式４）単位数の新旧対照表 '!D48,"")</f>
        <v>0</v>
      </c>
      <c r="E53" s="98"/>
      <c r="F53" s="98"/>
    </row>
    <row r="54" spans="2:6" ht="19.5" thickBot="1" x14ac:dyDescent="0.2">
      <c r="B54" s="480"/>
      <c r="C54" s="104">
        <f>IF(OR('05（様式４）単位数の新旧対照表 '!C49="",'01（学校名入力）'!$D$5="３号"),
'05（様式４）単位数の新旧対照表 '!C49,"")</f>
        <v>0</v>
      </c>
      <c r="D54" s="105">
        <f>IF(OR('05（様式４）単位数の新旧対照表 '!D49="",'01（学校名入力）'!$D$5="３号"),
'05（様式４）単位数の新旧対照表 '!D49,"")</f>
        <v>0</v>
      </c>
      <c r="E54" s="98"/>
      <c r="F54" s="98"/>
    </row>
    <row r="55" spans="2:6" s="148" customFormat="1" ht="19.5" thickBot="1" x14ac:dyDescent="0.2">
      <c r="B55" s="480"/>
      <c r="C55" s="104">
        <f>IF(OR('05（様式４）単位数の新旧対照表 '!C50="",'01（学校名入力）'!$D$5="３号"),
'05（様式４）単位数の新旧対照表 '!C50,"")</f>
        <v>0</v>
      </c>
      <c r="D55" s="105">
        <f>IF(OR('05（様式４）単位数の新旧対照表 '!D50="",'01（学校名入力）'!$D$5="３号"),
'05（様式４）単位数の新旧対照表 '!D50,"")</f>
        <v>0</v>
      </c>
      <c r="E55" s="98"/>
      <c r="F55" s="98"/>
    </row>
    <row r="56" spans="2:6" s="148" customFormat="1" ht="19.5" thickBot="1" x14ac:dyDescent="0.2">
      <c r="B56" s="480"/>
      <c r="C56" s="104">
        <f>IF(OR('05（様式４）単位数の新旧対照表 '!C51="",'01（学校名入力）'!$D$5="３号"),
'05（様式４）単位数の新旧対照表 '!C51,"")</f>
        <v>0</v>
      </c>
      <c r="D56" s="105">
        <f>IF(OR('05（様式４）単位数の新旧対照表 '!D51="",'01（学校名入力）'!$D$5="３号"),
'05（様式４）単位数の新旧対照表 '!D51,"")</f>
        <v>0</v>
      </c>
      <c r="E56" s="98"/>
      <c r="F56" s="98"/>
    </row>
    <row r="57" spans="2:6" s="148" customFormat="1" ht="19.5" thickBot="1" x14ac:dyDescent="0.2">
      <c r="B57" s="480"/>
      <c r="C57" s="104">
        <f>IF(OR('05（様式４）単位数の新旧対照表 '!C52="",'01（学校名入力）'!$D$5="３号"),
'05（様式４）単位数の新旧対照表 '!C52,"")</f>
        <v>0</v>
      </c>
      <c r="D57" s="105">
        <f>IF(OR('05（様式４）単位数の新旧対照表 '!D52="",'01（学校名入力）'!$D$5="３号"),
'05（様式４）単位数の新旧対照表 '!D52,"")</f>
        <v>0</v>
      </c>
      <c r="E57" s="98"/>
      <c r="F57" s="98"/>
    </row>
    <row r="58" spans="2:6" s="148" customFormat="1" ht="19.5" thickBot="1" x14ac:dyDescent="0.2">
      <c r="B58" s="480"/>
      <c r="C58" s="104">
        <f>IF(OR('05（様式４）単位数の新旧対照表 '!C53="",'01（学校名入力）'!$D$5="３号"),
'05（様式４）単位数の新旧対照表 '!C53,"")</f>
        <v>0</v>
      </c>
      <c r="D58" s="105">
        <f>IF(OR('05（様式４）単位数の新旧対照表 '!D53="",'01（学校名入力）'!$D$5="３号"),
'05（様式４）単位数の新旧対照表 '!D53,"")</f>
        <v>0</v>
      </c>
      <c r="E58" s="98"/>
      <c r="F58" s="98"/>
    </row>
    <row r="59" spans="2:6" ht="19.5" thickBot="1" x14ac:dyDescent="0.2">
      <c r="B59" s="481"/>
      <c r="C59" s="104">
        <f>IF(OR('05（様式４）単位数の新旧対照表 '!C54="",'01（学校名入力）'!$D$5="３号"),
'05（様式４）単位数の新旧対照表 '!C54,"")</f>
        <v>0</v>
      </c>
      <c r="D59" s="105">
        <f>IF(OR('05（様式４）単位数の新旧対照表 '!D54="",'01（学校名入力）'!$D$5="３号"),
'05（様式４）単位数の新旧対照表 '!D54,"")</f>
        <v>0</v>
      </c>
      <c r="E59" s="98"/>
      <c r="F59" s="98"/>
    </row>
    <row r="60" spans="2:6" ht="19.5" thickBot="1" x14ac:dyDescent="0.2">
      <c r="B60" s="479" t="s">
        <v>10</v>
      </c>
      <c r="C60" s="104">
        <f>IF(OR('05（様式４）単位数の新旧対照表 '!C55="",'01（学校名入力）'!$D$5="３号"),
'05（様式４）単位数の新旧対照表 '!C55,"")</f>
        <v>0</v>
      </c>
      <c r="D60" s="105">
        <f>IF(OR('05（様式４）単位数の新旧対照表 '!D55="",'01（学校名入力）'!$D$5="３号"),
'05（様式４）単位数の新旧対照表 '!D55,"")</f>
        <v>0</v>
      </c>
      <c r="E60" s="98"/>
      <c r="F60" s="98"/>
    </row>
    <row r="61" spans="2:6" ht="19.5" thickBot="1" x14ac:dyDescent="0.2">
      <c r="B61" s="480"/>
      <c r="C61" s="104">
        <f>IF(OR('05（様式４）単位数の新旧対照表 '!C56="",'01（学校名入力）'!$D$5="３号"),
'05（様式４）単位数の新旧対照表 '!C56,"")</f>
        <v>0</v>
      </c>
      <c r="D61" s="105">
        <f>IF(OR('05（様式４）単位数の新旧対照表 '!D56="",'01（学校名入力）'!$D$5="３号"),
'05（様式４）単位数の新旧対照表 '!D56,"")</f>
        <v>0</v>
      </c>
      <c r="E61" s="98"/>
      <c r="F61" s="98"/>
    </row>
    <row r="62" spans="2:6" ht="19.5" thickBot="1" x14ac:dyDescent="0.2">
      <c r="B62" s="480"/>
      <c r="C62" s="104">
        <f>IF(OR('05（様式４）単位数の新旧対照表 '!C57="",'01（学校名入力）'!$D$5="３号"),
'05（様式４）単位数の新旧対照表 '!C57,"")</f>
        <v>0</v>
      </c>
      <c r="D62" s="105">
        <f>IF(OR('05（様式４）単位数の新旧対照表 '!D57="",'01（学校名入力）'!$D$5="３号"),
'05（様式４）単位数の新旧対照表 '!D57,"")</f>
        <v>0</v>
      </c>
      <c r="E62" s="98"/>
      <c r="F62" s="98"/>
    </row>
    <row r="63" spans="2:6" s="148" customFormat="1" ht="19.5" thickBot="1" x14ac:dyDescent="0.2">
      <c r="B63" s="480"/>
      <c r="C63" s="104">
        <f>IF(OR('05（様式４）単位数の新旧対照表 '!C58="",'01（学校名入力）'!$D$5="３号"),
'05（様式４）単位数の新旧対照表 '!C58,"")</f>
        <v>0</v>
      </c>
      <c r="D63" s="105">
        <f>IF(OR('05（様式４）単位数の新旧対照表 '!D58="",'01（学校名入力）'!$D$5="３号"),
'05（様式４）単位数の新旧対照表 '!D58,"")</f>
        <v>0</v>
      </c>
      <c r="E63" s="98"/>
      <c r="F63" s="98"/>
    </row>
    <row r="64" spans="2:6" s="148" customFormat="1" ht="19.5" thickBot="1" x14ac:dyDescent="0.2">
      <c r="B64" s="480"/>
      <c r="C64" s="104">
        <f>IF(OR('05（様式４）単位数の新旧対照表 '!C59="",'01（学校名入力）'!$D$5="３号"),
'05（様式４）単位数の新旧対照表 '!C59,"")</f>
        <v>0</v>
      </c>
      <c r="D64" s="105">
        <f>IF(OR('05（様式４）単位数の新旧対照表 '!D59="",'01（学校名入力）'!$D$5="３号"),
'05（様式４）単位数の新旧対照表 '!D59,"")</f>
        <v>0</v>
      </c>
      <c r="E64" s="98"/>
      <c r="F64" s="98"/>
    </row>
    <row r="65" spans="2:6" s="148" customFormat="1" ht="19.5" thickBot="1" x14ac:dyDescent="0.2">
      <c r="B65" s="480"/>
      <c r="C65" s="104">
        <f>IF(OR('05（様式４）単位数の新旧対照表 '!C60="",'01（学校名入力）'!$D$5="３号"),
'05（様式４）単位数の新旧対照表 '!C60,"")</f>
        <v>0</v>
      </c>
      <c r="D65" s="105">
        <f>IF(OR('05（様式４）単位数の新旧対照表 '!D60="",'01（学校名入力）'!$D$5="３号"),
'05（様式４）単位数の新旧対照表 '!D60,"")</f>
        <v>0</v>
      </c>
      <c r="E65" s="98"/>
      <c r="F65" s="98"/>
    </row>
    <row r="66" spans="2:6" s="148" customFormat="1" ht="19.5" thickBot="1" x14ac:dyDescent="0.2">
      <c r="B66" s="480"/>
      <c r="C66" s="104">
        <f>IF(OR('05（様式４）単位数の新旧対照表 '!C61="",'01（学校名入力）'!$D$5="３号"),
'05（様式４）単位数の新旧対照表 '!C61,"")</f>
        <v>0</v>
      </c>
      <c r="D66" s="105">
        <f>IF(OR('05（様式４）単位数の新旧対照表 '!D61="",'01（学校名入力）'!$D$5="３号"),
'05（様式４）単位数の新旧対照表 '!D61,"")</f>
        <v>0</v>
      </c>
      <c r="E66" s="98"/>
      <c r="F66" s="98"/>
    </row>
    <row r="67" spans="2:6" ht="19.5" thickBot="1" x14ac:dyDescent="0.2">
      <c r="B67" s="481"/>
      <c r="C67" s="104">
        <f>IF(OR('05（様式４）単位数の新旧対照表 '!C62="",'01（学校名入力）'!$D$5="３号"),
'05（様式４）単位数の新旧対照表 '!C62,"")</f>
        <v>0</v>
      </c>
      <c r="D67" s="105">
        <f>IF(OR('05（様式４）単位数の新旧対照表 '!D62="",'01（学校名入力）'!$D$5="３号"),
'05（様式４）単位数の新旧対照表 '!D62,"")</f>
        <v>0</v>
      </c>
      <c r="E67" s="98"/>
      <c r="F67" s="98"/>
    </row>
    <row r="68" spans="2:6" ht="19.5" thickBot="1" x14ac:dyDescent="0.2">
      <c r="B68" s="479" t="s">
        <v>11</v>
      </c>
      <c r="C68" s="104">
        <f>IF(OR('05（様式４）単位数の新旧対照表 '!C63="",'01（学校名入力）'!$D$5="３号"),
'05（様式４）単位数の新旧対照表 '!C63,"")</f>
        <v>0</v>
      </c>
      <c r="D68" s="105">
        <f>IF(OR('05（様式４）単位数の新旧対照表 '!D63="",'01（学校名入力）'!$D$5="３号"),
'05（様式４）単位数の新旧対照表 '!D63,"")</f>
        <v>0</v>
      </c>
      <c r="E68" s="98"/>
      <c r="F68" s="98"/>
    </row>
    <row r="69" spans="2:6" ht="19.5" thickBot="1" x14ac:dyDescent="0.2">
      <c r="B69" s="480"/>
      <c r="C69" s="104">
        <f>IF(OR('05（様式４）単位数の新旧対照表 '!C64="",'01（学校名入力）'!$D$5="３号"),
'05（様式４）単位数の新旧対照表 '!C64,"")</f>
        <v>0</v>
      </c>
      <c r="D69" s="105">
        <f>IF(OR('05（様式４）単位数の新旧対照表 '!D64="",'01（学校名入力）'!$D$5="３号"),
'05（様式４）単位数の新旧対照表 '!D64,"")</f>
        <v>0</v>
      </c>
      <c r="E69" s="98"/>
      <c r="F69" s="98"/>
    </row>
    <row r="70" spans="2:6" ht="19.5" thickBot="1" x14ac:dyDescent="0.2">
      <c r="B70" s="480"/>
      <c r="C70" s="104">
        <f>IF(OR('05（様式４）単位数の新旧対照表 '!C65="",'01（学校名入力）'!$D$5="３号"),
'05（様式４）単位数の新旧対照表 '!C65,"")</f>
        <v>0</v>
      </c>
      <c r="D70" s="105">
        <f>IF(OR('05（様式４）単位数の新旧対照表 '!D65="",'01（学校名入力）'!$D$5="３号"),
'05（様式４）単位数の新旧対照表 '!D65,"")</f>
        <v>0</v>
      </c>
      <c r="E70" s="98"/>
      <c r="F70" s="98"/>
    </row>
    <row r="71" spans="2:6" s="107" customFormat="1" ht="19.5" thickBot="1" x14ac:dyDescent="0.2">
      <c r="B71" s="480"/>
      <c r="C71" s="104">
        <f>IF(OR('05（様式４）単位数の新旧対照表 '!C66="",'01（学校名入力）'!$D$5="３号"),
'05（様式４）単位数の新旧対照表 '!C66,"")</f>
        <v>0</v>
      </c>
      <c r="D71" s="105">
        <f>IF(OR('05（様式４）単位数の新旧対照表 '!D66="",'01（学校名入力）'!$D$5="３号"),
'05（様式４）単位数の新旧対照表 '!D66,"")</f>
        <v>0</v>
      </c>
      <c r="E71" s="98"/>
      <c r="F71" s="98"/>
    </row>
    <row r="72" spans="2:6" s="148" customFormat="1" ht="19.5" thickBot="1" x14ac:dyDescent="0.2">
      <c r="B72" s="480"/>
      <c r="C72" s="104">
        <f>IF(OR('05（様式４）単位数の新旧対照表 '!C67="",'01（学校名入力）'!$D$5="３号"),
'05（様式４）単位数の新旧対照表 '!C67,"")</f>
        <v>0</v>
      </c>
      <c r="D72" s="105">
        <f>IF(OR('05（様式４）単位数の新旧対照表 '!D67="",'01（学校名入力）'!$D$5="３号"),
'05（様式４）単位数の新旧対照表 '!D67,"")</f>
        <v>0</v>
      </c>
      <c r="E72" s="98"/>
      <c r="F72" s="98"/>
    </row>
    <row r="73" spans="2:6" s="148" customFormat="1" ht="19.5" thickBot="1" x14ac:dyDescent="0.2">
      <c r="B73" s="480"/>
      <c r="C73" s="104">
        <f>IF(OR('05（様式４）単位数の新旧対照表 '!C68="",'01（学校名入力）'!$D$5="３号"),
'05（様式４）単位数の新旧対照表 '!C68,"")</f>
        <v>0</v>
      </c>
      <c r="D73" s="105">
        <f>IF(OR('05（様式４）単位数の新旧対照表 '!D68="",'01（学校名入力）'!$D$5="３号"),
'05（様式４）単位数の新旧対照表 '!D68,"")</f>
        <v>0</v>
      </c>
      <c r="E73" s="98"/>
      <c r="F73" s="98"/>
    </row>
    <row r="74" spans="2:6" s="148" customFormat="1" ht="19.5" thickBot="1" x14ac:dyDescent="0.2">
      <c r="B74" s="480"/>
      <c r="C74" s="104">
        <f>IF(OR('05（様式４）単位数の新旧対照表 '!C69="",'01（学校名入力）'!$D$5="３号"),
'05（様式４）単位数の新旧対照表 '!C69,"")</f>
        <v>0</v>
      </c>
      <c r="D74" s="105">
        <f>IF(OR('05（様式４）単位数の新旧対照表 '!D69="",'01（学校名入力）'!$D$5="３号"),
'05（様式４）単位数の新旧対照表 '!D69,"")</f>
        <v>0</v>
      </c>
      <c r="E74" s="98"/>
      <c r="F74" s="98"/>
    </row>
    <row r="75" spans="2:6" ht="19.5" thickBot="1" x14ac:dyDescent="0.2">
      <c r="B75" s="481"/>
      <c r="C75" s="104">
        <f>IF(OR('05（様式４）単位数の新旧対照表 '!C70="",'01（学校名入力）'!$D$5="３号"),
'05（様式４）単位数の新旧対照表 '!C70,"")</f>
        <v>0</v>
      </c>
      <c r="D75" s="105">
        <f>IF(OR('05（様式４）単位数の新旧対照表 '!D70="",'01（学校名入力）'!$D$5="３号"),
'05（様式４）単位数の新旧対照表 '!D70,"")</f>
        <v>0</v>
      </c>
      <c r="E75" s="98"/>
      <c r="F75" s="98"/>
    </row>
    <row r="76" spans="2:6" ht="19.5" thickBot="1" x14ac:dyDescent="0.2">
      <c r="B76" s="479" t="s">
        <v>12</v>
      </c>
      <c r="C76" s="104">
        <f>IF(OR('05（様式４）単位数の新旧対照表 '!C71="",'01（学校名入力）'!$D$5="３号"),
'05（様式４）単位数の新旧対照表 '!C71,"")</f>
        <v>0</v>
      </c>
      <c r="D76" s="105">
        <f>IF(OR('05（様式４）単位数の新旧対照表 '!D71="",'01（学校名入力）'!$D$5="３号"),
'05（様式４）単位数の新旧対照表 '!D71,"")</f>
        <v>0</v>
      </c>
      <c r="E76" s="98"/>
      <c r="F76" s="98"/>
    </row>
    <row r="77" spans="2:6" ht="19.5" thickBot="1" x14ac:dyDescent="0.2">
      <c r="B77" s="480"/>
      <c r="C77" s="104">
        <f>IF(OR('05（様式４）単位数の新旧対照表 '!C72="",'01（学校名入力）'!$D$5="３号"),
'05（様式４）単位数の新旧対照表 '!C72,"")</f>
        <v>0</v>
      </c>
      <c r="D77" s="105">
        <f>IF(OR('05（様式４）単位数の新旧対照表 '!D72="",'01（学校名入力）'!$D$5="３号"),
'05（様式４）単位数の新旧対照表 '!D72,"")</f>
        <v>0</v>
      </c>
      <c r="E77" s="98"/>
      <c r="F77" s="98"/>
    </row>
    <row r="78" spans="2:6" ht="19.5" thickBot="1" x14ac:dyDescent="0.2">
      <c r="B78" s="480"/>
      <c r="C78" s="104">
        <f>IF(OR('05（様式４）単位数の新旧対照表 '!C73="",'01（学校名入力）'!$D$5="３号"),
'05（様式４）単位数の新旧対照表 '!C73,"")</f>
        <v>0</v>
      </c>
      <c r="D78" s="105">
        <f>IF(OR('05（様式４）単位数の新旧対照表 '!D73="",'01（学校名入力）'!$D$5="３号"),
'05（様式４）単位数の新旧対照表 '!D73,"")</f>
        <v>0</v>
      </c>
      <c r="E78" s="98"/>
      <c r="F78" s="98"/>
    </row>
    <row r="79" spans="2:6" s="148" customFormat="1" ht="19.5" thickBot="1" x14ac:dyDescent="0.2">
      <c r="B79" s="480"/>
      <c r="C79" s="104">
        <f>IF(OR('05（様式４）単位数の新旧対照表 '!C74="",'01（学校名入力）'!$D$5="３号"),
'05（様式４）単位数の新旧対照表 '!C74,"")</f>
        <v>0</v>
      </c>
      <c r="D79" s="105">
        <f>IF(OR('05（様式４）単位数の新旧対照表 '!D74="",'01（学校名入力）'!$D$5="３号"),
'05（様式４）単位数の新旧対照表 '!D74,"")</f>
        <v>0</v>
      </c>
      <c r="E79" s="98"/>
      <c r="F79" s="98"/>
    </row>
    <row r="80" spans="2:6" s="148" customFormat="1" ht="19.5" thickBot="1" x14ac:dyDescent="0.2">
      <c r="B80" s="480"/>
      <c r="C80" s="104">
        <f>IF(OR('05（様式４）単位数の新旧対照表 '!C75="",'01（学校名入力）'!$D$5="３号"),
'05（様式４）単位数の新旧対照表 '!C75,"")</f>
        <v>0</v>
      </c>
      <c r="D80" s="105">
        <f>IF(OR('05（様式４）単位数の新旧対照表 '!D75="",'01（学校名入力）'!$D$5="３号"),
'05（様式４）単位数の新旧対照表 '!D75,"")</f>
        <v>0</v>
      </c>
      <c r="E80" s="98"/>
      <c r="F80" s="98"/>
    </row>
    <row r="81" spans="2:6" ht="19.5" thickBot="1" x14ac:dyDescent="0.2">
      <c r="B81" s="481"/>
      <c r="C81" s="104">
        <f>IF(OR('05（様式４）単位数の新旧対照表 '!C76="",'01（学校名入力）'!$D$5="３号"),
'05（様式４）単位数の新旧対照表 '!C76,"")</f>
        <v>0</v>
      </c>
      <c r="D81" s="105">
        <f>IF(OR('05（様式４）単位数の新旧対照表 '!D76="",'01（学校名入力）'!$D$5="３号"),
'05（様式４）単位数の新旧対照表 '!D76,"")</f>
        <v>0</v>
      </c>
      <c r="E81" s="98"/>
      <c r="F81" s="98"/>
    </row>
    <row r="82" spans="2:6" ht="19.5" thickBot="1" x14ac:dyDescent="0.2">
      <c r="B82" s="479" t="s">
        <v>14</v>
      </c>
      <c r="C82" s="104">
        <f>IF(OR('05（様式４）単位数の新旧対照表 '!C77="",'01（学校名入力）'!$D$5="３号"),
'05（様式４）単位数の新旧対照表 '!C77,"")</f>
        <v>0</v>
      </c>
      <c r="D82" s="105">
        <f>IF(OR('05（様式４）単位数の新旧対照表 '!D77="",'01（学校名入力）'!$D$5="３号"),
'05（様式４）単位数の新旧対照表 '!D77,"")</f>
        <v>0</v>
      </c>
      <c r="E82" s="98"/>
      <c r="F82" s="98"/>
    </row>
    <row r="83" spans="2:6" ht="19.5" thickBot="1" x14ac:dyDescent="0.2">
      <c r="B83" s="480"/>
      <c r="C83" s="104">
        <f>IF(OR('05（様式４）単位数の新旧対照表 '!C78="",'01（学校名入力）'!$D$5="３号"),
'05（様式４）単位数の新旧対照表 '!C78,"")</f>
        <v>0</v>
      </c>
      <c r="D83" s="105">
        <f>IF(OR('05（様式４）単位数の新旧対照表 '!D78="",'01（学校名入力）'!$D$5="３号"),
'05（様式４）単位数の新旧対照表 '!D78,"")</f>
        <v>0</v>
      </c>
      <c r="E83" s="98"/>
      <c r="F83" s="98"/>
    </row>
    <row r="84" spans="2:6" ht="19.5" thickBot="1" x14ac:dyDescent="0.2">
      <c r="B84" s="480"/>
      <c r="C84" s="104">
        <f>IF(OR('05（様式４）単位数の新旧対照表 '!C79="",'01（学校名入力）'!$D$5="３号"),
'05（様式４）単位数の新旧対照表 '!C79,"")</f>
        <v>0</v>
      </c>
      <c r="D84" s="105">
        <f>IF(OR('05（様式４）単位数の新旧対照表 '!D79="",'01（学校名入力）'!$D$5="３号"),
'05（様式４）単位数の新旧対照表 '!D79,"")</f>
        <v>0</v>
      </c>
      <c r="E84" s="98"/>
      <c r="F84" s="98"/>
    </row>
    <row r="85" spans="2:6" s="148" customFormat="1" ht="19.5" thickBot="1" x14ac:dyDescent="0.2">
      <c r="B85" s="480"/>
      <c r="C85" s="104">
        <f>IF(OR('05（様式４）単位数の新旧対照表 '!C80="",'01（学校名入力）'!$D$5="３号"),
'05（様式４）単位数の新旧対照表 '!C80,"")</f>
        <v>0</v>
      </c>
      <c r="D85" s="105">
        <f>IF(OR('05（様式４）単位数の新旧対照表 '!D80="",'01（学校名入力）'!$D$5="３号"),
'05（様式４）単位数の新旧対照表 '!D80,"")</f>
        <v>0</v>
      </c>
      <c r="E85" s="98"/>
      <c r="F85" s="98"/>
    </row>
    <row r="86" spans="2:6" s="148" customFormat="1" ht="19.5" thickBot="1" x14ac:dyDescent="0.2">
      <c r="B86" s="480"/>
      <c r="C86" s="104">
        <f>IF(OR('05（様式４）単位数の新旧対照表 '!C81="",'01（学校名入力）'!$D$5="３号"),
'05（様式４）単位数の新旧対照表 '!C81,"")</f>
        <v>0</v>
      </c>
      <c r="D86" s="105">
        <f>IF(OR('05（様式４）単位数の新旧対照表 '!D81="",'01（学校名入力）'!$D$5="３号"),
'05（様式４）単位数の新旧対照表 '!D81,"")</f>
        <v>0</v>
      </c>
      <c r="E86" s="98"/>
      <c r="F86" s="98"/>
    </row>
    <row r="87" spans="2:6" s="148" customFormat="1" ht="19.5" thickBot="1" x14ac:dyDescent="0.2">
      <c r="B87" s="480"/>
      <c r="C87" s="104">
        <f>IF(OR('05（様式４）単位数の新旧対照表 '!C82="",'01（学校名入力）'!$D$5="３号"),
'05（様式４）単位数の新旧対照表 '!C82,"")</f>
        <v>0</v>
      </c>
      <c r="D87" s="105">
        <f>IF(OR('05（様式４）単位数の新旧対照表 '!D82="",'01（学校名入力）'!$D$5="３号"),
'05（様式４）単位数の新旧対照表 '!D82,"")</f>
        <v>0</v>
      </c>
      <c r="E87" s="98"/>
      <c r="F87" s="98"/>
    </row>
    <row r="88" spans="2:6" s="148" customFormat="1" ht="19.5" thickBot="1" x14ac:dyDescent="0.2">
      <c r="B88" s="480"/>
      <c r="C88" s="104">
        <f>IF(OR('05（様式４）単位数の新旧対照表 '!C83="",'01（学校名入力）'!$D$5="３号"),
'05（様式４）単位数の新旧対照表 '!C83,"")</f>
        <v>0</v>
      </c>
      <c r="D88" s="105">
        <f>IF(OR('05（様式４）単位数の新旧対照表 '!D83="",'01（学校名入力）'!$D$5="３号"),
'05（様式４）単位数の新旧対照表 '!D83,"")</f>
        <v>0</v>
      </c>
      <c r="E88" s="98"/>
      <c r="F88" s="98"/>
    </row>
    <row r="89" spans="2:6" ht="19.5" thickBot="1" x14ac:dyDescent="0.2">
      <c r="B89" s="481"/>
      <c r="C89" s="104">
        <f>IF(OR('05（様式４）単位数の新旧対照表 '!C84="",'01（学校名入力）'!$D$5="３号"),
'05（様式４）単位数の新旧対照表 '!C84,"")</f>
        <v>0</v>
      </c>
      <c r="D89" s="105">
        <f>IF(OR('05（様式４）単位数の新旧対照表 '!D84="",'01（学校名入力）'!$D$5="３号"),
'05（様式４）単位数の新旧対照表 '!D84,"")</f>
        <v>0</v>
      </c>
      <c r="E89" s="98"/>
      <c r="F89" s="98"/>
    </row>
    <row r="90" spans="2:6" ht="19.5" thickBot="1" x14ac:dyDescent="0.2">
      <c r="B90" s="479" t="s">
        <v>15</v>
      </c>
      <c r="C90" s="104">
        <f>IF(OR('05（様式４）単位数の新旧対照表 '!C85="",'01（学校名入力）'!$D$5="３号"),
'05（様式４）単位数の新旧対照表 '!C85,"")</f>
        <v>0</v>
      </c>
      <c r="D90" s="105">
        <f>IF(OR('05（様式４）単位数の新旧対照表 '!D85="",'01（学校名入力）'!$D$5="３号"),
'05（様式４）単位数の新旧対照表 '!D85,"")</f>
        <v>0</v>
      </c>
      <c r="E90" s="98"/>
      <c r="F90" s="98"/>
    </row>
    <row r="91" spans="2:6" ht="19.5" thickBot="1" x14ac:dyDescent="0.2">
      <c r="B91" s="480"/>
      <c r="C91" s="104">
        <f>IF(OR('05（様式４）単位数の新旧対照表 '!C86="",'01（学校名入力）'!$D$5="３号"),
'05（様式４）単位数の新旧対照表 '!C86,"")</f>
        <v>0</v>
      </c>
      <c r="D91" s="105">
        <f>IF(OR('05（様式４）単位数の新旧対照表 '!D86="",'01（学校名入力）'!$D$5="３号"),
'05（様式４）単位数の新旧対照表 '!D86,"")</f>
        <v>0</v>
      </c>
      <c r="E91" s="98"/>
      <c r="F91" s="98"/>
    </row>
    <row r="92" spans="2:6" ht="19.5" thickBot="1" x14ac:dyDescent="0.2">
      <c r="B92" s="480"/>
      <c r="C92" s="104">
        <f>IF(OR('05（様式４）単位数の新旧対照表 '!C87="",'01（学校名入力）'!$D$5="３号"),
'05（様式４）単位数の新旧対照表 '!C87,"")</f>
        <v>0</v>
      </c>
      <c r="D92" s="105">
        <f>IF(OR('05（様式４）単位数の新旧対照表 '!D87="",'01（学校名入力）'!$D$5="３号"),
'05（様式４）単位数の新旧対照表 '!D87,"")</f>
        <v>0</v>
      </c>
      <c r="E92" s="98"/>
      <c r="F92" s="98"/>
    </row>
    <row r="93" spans="2:6" s="148" customFormat="1" ht="19.5" thickBot="1" x14ac:dyDescent="0.2">
      <c r="B93" s="480"/>
      <c r="C93" s="104">
        <f>IF(OR('05（様式４）単位数の新旧対照表 '!C88="",'01（学校名入力）'!$D$5="３号"),
'05（様式４）単位数の新旧対照表 '!C88,"")</f>
        <v>0</v>
      </c>
      <c r="D93" s="105">
        <f>IF(OR('05（様式４）単位数の新旧対照表 '!D88="",'01（学校名入力）'!$D$5="３号"),
'05（様式４）単位数の新旧対照表 '!D88,"")</f>
        <v>0</v>
      </c>
      <c r="E93" s="98"/>
      <c r="F93" s="98"/>
    </row>
    <row r="94" spans="2:6" s="148" customFormat="1" ht="19.5" thickBot="1" x14ac:dyDescent="0.2">
      <c r="B94" s="480"/>
      <c r="C94" s="104">
        <f>IF(OR('05（様式４）単位数の新旧対照表 '!C89="",'01（学校名入力）'!$D$5="３号"),
'05（様式４）単位数の新旧対照表 '!C89,"")</f>
        <v>0</v>
      </c>
      <c r="D94" s="105">
        <f>IF(OR('05（様式４）単位数の新旧対照表 '!D89="",'01（学校名入力）'!$D$5="３号"),
'05（様式４）単位数の新旧対照表 '!D89,"")</f>
        <v>0</v>
      </c>
      <c r="E94" s="98"/>
      <c r="F94" s="98"/>
    </row>
    <row r="95" spans="2:6" s="148" customFormat="1" ht="19.5" thickBot="1" x14ac:dyDescent="0.2">
      <c r="B95" s="480"/>
      <c r="C95" s="104">
        <f>IF(OR('05（様式４）単位数の新旧対照表 '!C90="",'01（学校名入力）'!$D$5="３号"),
'05（様式４）単位数の新旧対照表 '!C90,"")</f>
        <v>0</v>
      </c>
      <c r="D95" s="105">
        <f>IF(OR('05（様式４）単位数の新旧対照表 '!D90="",'01（学校名入力）'!$D$5="３号"),
'05（様式４）単位数の新旧対照表 '!D90,"")</f>
        <v>0</v>
      </c>
      <c r="E95" s="98"/>
      <c r="F95" s="98"/>
    </row>
    <row r="96" spans="2:6" s="148" customFormat="1" ht="19.5" thickBot="1" x14ac:dyDescent="0.2">
      <c r="B96" s="480"/>
      <c r="C96" s="104">
        <f>IF(OR('05（様式４）単位数の新旧対照表 '!C91="",'01（学校名入力）'!$D$5="３号"),
'05（様式４）単位数の新旧対照表 '!C91,"")</f>
        <v>0</v>
      </c>
      <c r="D96" s="105">
        <f>IF(OR('05（様式４）単位数の新旧対照表 '!D91="",'01（学校名入力）'!$D$5="３号"),
'05（様式４）単位数の新旧対照表 '!D91,"")</f>
        <v>0</v>
      </c>
      <c r="E96" s="98"/>
      <c r="F96" s="98"/>
    </row>
    <row r="97" spans="2:6" s="148" customFormat="1" ht="19.5" thickBot="1" x14ac:dyDescent="0.2">
      <c r="B97" s="480"/>
      <c r="C97" s="104">
        <f>IF(OR('05（様式４）単位数の新旧対照表 '!C92="",'01（学校名入力）'!$D$5="３号"),
'05（様式４）単位数の新旧対照表 '!C92,"")</f>
        <v>0</v>
      </c>
      <c r="D97" s="105">
        <f>IF(OR('05（様式４）単位数の新旧対照表 '!D92="",'01（学校名入力）'!$D$5="３号"),
'05（様式４）単位数の新旧対照表 '!D92,"")</f>
        <v>0</v>
      </c>
      <c r="E97" s="98"/>
      <c r="F97" s="98"/>
    </row>
    <row r="98" spans="2:6" s="148" customFormat="1" ht="19.5" thickBot="1" x14ac:dyDescent="0.2">
      <c r="B98" s="480"/>
      <c r="C98" s="104">
        <f>IF(OR('05（様式４）単位数の新旧対照表 '!C93="",'01（学校名入力）'!$D$5="３号"),
'05（様式４）単位数の新旧対照表 '!C93,"")</f>
        <v>0</v>
      </c>
      <c r="D98" s="105">
        <f>IF(OR('05（様式４）単位数の新旧対照表 '!D93="",'01（学校名入力）'!$D$5="３号"),
'05（様式４）単位数の新旧対照表 '!D93,"")</f>
        <v>0</v>
      </c>
      <c r="E98" s="98"/>
      <c r="F98" s="98"/>
    </row>
    <row r="99" spans="2:6" ht="19.5" thickBot="1" x14ac:dyDescent="0.2">
      <c r="B99" s="481"/>
      <c r="C99" s="104">
        <f>IF(OR('05（様式４）単位数の新旧対照表 '!C94="",'01（学校名入力）'!$D$5="３号"),
'05（様式４）単位数の新旧対照表 '!C94,"")</f>
        <v>0</v>
      </c>
      <c r="D99" s="105">
        <f>IF(OR('05（様式４）単位数の新旧対照表 '!D94="",'01（学校名入力）'!$D$5="３号"),
'05（様式４）単位数の新旧対照表 '!D94,"")</f>
        <v>0</v>
      </c>
      <c r="E99" s="98"/>
      <c r="F99" s="98"/>
    </row>
    <row r="100" spans="2:6" ht="19.5" thickBot="1" x14ac:dyDescent="0.2">
      <c r="B100" s="479" t="s">
        <v>16</v>
      </c>
      <c r="C100" s="104">
        <f>IF(OR('05（様式４）単位数の新旧対照表 '!C95="",'01（学校名入力）'!$D$5="３号"),
'05（様式４）単位数の新旧対照表 '!C95,"")</f>
        <v>0</v>
      </c>
      <c r="D100" s="105">
        <f>IF(OR('05（様式４）単位数の新旧対照表 '!D95="",'01（学校名入力）'!$D$5="３号"),
'05（様式４）単位数の新旧対照表 '!D95,"")</f>
        <v>0</v>
      </c>
      <c r="E100" s="98"/>
      <c r="F100" s="98"/>
    </row>
    <row r="101" spans="2:6" ht="19.5" thickBot="1" x14ac:dyDescent="0.2">
      <c r="B101" s="480"/>
      <c r="C101" s="104">
        <f>IF(OR('05（様式４）単位数の新旧対照表 '!C96="",'01（学校名入力）'!$D$5="３号"),
'05（様式４）単位数の新旧対照表 '!C96,"")</f>
        <v>0</v>
      </c>
      <c r="D101" s="105">
        <f>IF(OR('05（様式４）単位数の新旧対照表 '!D96="",'01（学校名入力）'!$D$5="３号"),
'05（様式４）単位数の新旧対照表 '!D96,"")</f>
        <v>0</v>
      </c>
      <c r="E101" s="98"/>
      <c r="F101" s="98"/>
    </row>
    <row r="102" spans="2:6" s="148" customFormat="1" ht="19.5" thickBot="1" x14ac:dyDescent="0.2">
      <c r="B102" s="480"/>
      <c r="C102" s="104">
        <f>IF(OR('05（様式４）単位数の新旧対照表 '!C97="",'01（学校名入力）'!$D$5="３号"),
'05（様式４）単位数の新旧対照表 '!C97,"")</f>
        <v>0</v>
      </c>
      <c r="D102" s="105">
        <f>IF(OR('05（様式４）単位数の新旧対照表 '!D97="",'01（学校名入力）'!$D$5="３号"),
'05（様式４）単位数の新旧対照表 '!D97,"")</f>
        <v>0</v>
      </c>
      <c r="E102" s="98"/>
      <c r="F102" s="98"/>
    </row>
    <row r="103" spans="2:6" ht="19.5" thickBot="1" x14ac:dyDescent="0.2">
      <c r="B103" s="480"/>
      <c r="C103" s="104">
        <f>IF(OR('05（様式４）単位数の新旧対照表 '!C98="",'01（学校名入力）'!$D$5="３号"),
'05（様式４）単位数の新旧対照表 '!C98,"")</f>
        <v>0</v>
      </c>
      <c r="D103" s="105">
        <f>IF(OR('05（様式４）単位数の新旧対照表 '!D98="",'01（学校名入力）'!$D$5="３号"),
'05（様式４）単位数の新旧対照表 '!D98,"")</f>
        <v>0</v>
      </c>
      <c r="E103" s="98"/>
      <c r="F103" s="98"/>
    </row>
    <row r="104" spans="2:6" s="148" customFormat="1" ht="19.5" thickBot="1" x14ac:dyDescent="0.2">
      <c r="B104" s="480"/>
      <c r="C104" s="104">
        <f>IF(OR('05（様式４）単位数の新旧対照表 '!C99="",'01（学校名入力）'!$D$5="３号"),
'05（様式４）単位数の新旧対照表 '!C99,"")</f>
        <v>0</v>
      </c>
      <c r="D104" s="105">
        <f>IF(OR('05（様式４）単位数の新旧対照表 '!D99="",'01（学校名入力）'!$D$5="３号"),
'05（様式４）単位数の新旧対照表 '!D99,"")</f>
        <v>0</v>
      </c>
      <c r="E104" s="98"/>
      <c r="F104" s="98"/>
    </row>
    <row r="105" spans="2:6" ht="19.5" thickBot="1" x14ac:dyDescent="0.2">
      <c r="B105" s="481"/>
      <c r="C105" s="104">
        <f>IF(OR('05（様式４）単位数の新旧対照表 '!C100="",'01（学校名入力）'!$D$5="３号"),
'05（様式４）単位数の新旧対照表 '!C100,"")</f>
        <v>0</v>
      </c>
      <c r="D105" s="105">
        <f>IF(OR('05（様式４）単位数の新旧対照表 '!D100="",'01（学校名入力）'!$D$5="３号"),
'05（様式４）単位数の新旧対照表 '!D100,"")</f>
        <v>0</v>
      </c>
      <c r="E105" s="98"/>
      <c r="F105" s="98"/>
    </row>
    <row r="106" spans="2:6" ht="19.5" thickBot="1" x14ac:dyDescent="0.2">
      <c r="B106" s="479" t="s">
        <v>17</v>
      </c>
      <c r="C106" s="104">
        <f>IF(OR('05（様式４）単位数の新旧対照表 '!C101="",'01（学校名入力）'!$D$5="３号"),
'05（様式４）単位数の新旧対照表 '!C101,"")</f>
        <v>0</v>
      </c>
      <c r="D106" s="105">
        <f>IF(OR('05（様式４）単位数の新旧対照表 '!D101="",'01（学校名入力）'!$D$5="３号"),
'05（様式４）単位数の新旧対照表 '!D101,"")</f>
        <v>0</v>
      </c>
      <c r="E106" s="98"/>
      <c r="F106" s="98"/>
    </row>
    <row r="107" spans="2:6" ht="19.5" thickBot="1" x14ac:dyDescent="0.2">
      <c r="B107" s="480"/>
      <c r="C107" s="104">
        <f>IF(OR('05（様式４）単位数の新旧対照表 '!C102="",'01（学校名入力）'!$D$5="３号"),
'05（様式４）単位数の新旧対照表 '!C102,"")</f>
        <v>0</v>
      </c>
      <c r="D107" s="105">
        <f>IF(OR('05（様式４）単位数の新旧対照表 '!D102="",'01（学校名入力）'!$D$5="３号"),
'05（様式４）単位数の新旧対照表 '!D102,"")</f>
        <v>0</v>
      </c>
      <c r="E107" s="98"/>
      <c r="F107" s="98"/>
    </row>
    <row r="108" spans="2:6" ht="19.5" thickBot="1" x14ac:dyDescent="0.2">
      <c r="B108" s="480"/>
      <c r="C108" s="104">
        <f>IF(OR('05（様式４）単位数の新旧対照表 '!C103="",'01（学校名入力）'!$D$5="３号"),
'05（様式４）単位数の新旧対照表 '!C103,"")</f>
        <v>0</v>
      </c>
      <c r="D108" s="105">
        <f>IF(OR('05（様式４）単位数の新旧対照表 '!D103="",'01（学校名入力）'!$D$5="３号"),
'05（様式４）単位数の新旧対照表 '!D103,"")</f>
        <v>0</v>
      </c>
      <c r="E108" s="98"/>
      <c r="F108" s="98"/>
    </row>
    <row r="109" spans="2:6" s="148" customFormat="1" ht="19.5" thickBot="1" x14ac:dyDescent="0.2">
      <c r="B109" s="480"/>
      <c r="C109" s="104">
        <f>IF(OR('05（様式４）単位数の新旧対照表 '!C104="",'01（学校名入力）'!$D$5="３号"),
'05（様式４）単位数の新旧対照表 '!C104,"")</f>
        <v>0</v>
      </c>
      <c r="D109" s="105">
        <f>IF(OR('05（様式４）単位数の新旧対照表 '!D104="",'01（学校名入力）'!$D$5="３号"),
'05（様式４）単位数の新旧対照表 '!D104,"")</f>
        <v>0</v>
      </c>
      <c r="E109" s="98"/>
      <c r="F109" s="98"/>
    </row>
    <row r="110" spans="2:6" s="148" customFormat="1" ht="19.5" thickBot="1" x14ac:dyDescent="0.2">
      <c r="B110" s="480"/>
      <c r="C110" s="104">
        <f>IF(OR('05（様式４）単位数の新旧対照表 '!C105="",'01（学校名入力）'!$D$5="３号"),
'05（様式４）単位数の新旧対照表 '!C105,"")</f>
        <v>0</v>
      </c>
      <c r="D110" s="105">
        <f>IF(OR('05（様式４）単位数の新旧対照表 '!D105="",'01（学校名入力）'!$D$5="３号"),
'05（様式４）単位数の新旧対照表 '!D105,"")</f>
        <v>0</v>
      </c>
      <c r="E110" s="98"/>
      <c r="F110" s="98"/>
    </row>
    <row r="111" spans="2:6" s="148" customFormat="1" ht="19.5" thickBot="1" x14ac:dyDescent="0.2">
      <c r="B111" s="480"/>
      <c r="C111" s="104">
        <f>IF(OR('05（様式４）単位数の新旧対照表 '!C106="",'01（学校名入力）'!$D$5="３号"),
'05（様式４）単位数の新旧対照表 '!C106,"")</f>
        <v>0</v>
      </c>
      <c r="D111" s="105">
        <f>IF(OR('05（様式４）単位数の新旧対照表 '!D106="",'01（学校名入力）'!$D$5="３号"),
'05（様式４）単位数の新旧対照表 '!D106,"")</f>
        <v>0</v>
      </c>
      <c r="E111" s="98"/>
      <c r="F111" s="98"/>
    </row>
    <row r="112" spans="2:6" s="148" customFormat="1" ht="19.5" thickBot="1" x14ac:dyDescent="0.2">
      <c r="B112" s="480"/>
      <c r="C112" s="104">
        <f>IF(OR('05（様式４）単位数の新旧対照表 '!C107="",'01（学校名入力）'!$D$5="３号"),
'05（様式４）単位数の新旧対照表 '!C107,"")</f>
        <v>0</v>
      </c>
      <c r="D112" s="105">
        <f>IF(OR('05（様式４）単位数の新旧対照表 '!D107="",'01（学校名入力）'!$D$5="３号"),
'05（様式４）単位数の新旧対照表 '!D107,"")</f>
        <v>0</v>
      </c>
      <c r="E112" s="98"/>
      <c r="F112" s="98"/>
    </row>
    <row r="113" spans="2:6" ht="19.5" thickBot="1" x14ac:dyDescent="0.2">
      <c r="B113" s="481"/>
      <c r="C113" s="104">
        <f>IF(OR('05（様式４）単位数の新旧対照表 '!C108="",'01（学校名入力）'!$D$5="３号"),
'05（様式４）単位数の新旧対照表 '!C108,"")</f>
        <v>0</v>
      </c>
      <c r="D113" s="105">
        <f>IF(OR('05（様式４）単位数の新旧対照表 '!D108="",'01（学校名入力）'!$D$5="３号"),
'05（様式４）単位数の新旧対照表 '!D108,"")</f>
        <v>0</v>
      </c>
      <c r="E113" s="98"/>
      <c r="F113" s="98"/>
    </row>
    <row r="114" spans="2:6" ht="19.5" thickBot="1" x14ac:dyDescent="0.2">
      <c r="B114" s="479" t="s">
        <v>18</v>
      </c>
      <c r="C114" s="104">
        <f>IF(OR('05（様式４）単位数の新旧対照表 '!C109="",'01（学校名入力）'!$D$5="３号"),
'05（様式４）単位数の新旧対照表 '!C109,"")</f>
        <v>0</v>
      </c>
      <c r="D114" s="105">
        <f>IF(OR('05（様式４）単位数の新旧対照表 '!D109="",'01（学校名入力）'!$D$5="３号"),
'05（様式４）単位数の新旧対照表 '!D109,"")</f>
        <v>0</v>
      </c>
      <c r="E114" s="98"/>
      <c r="F114" s="98"/>
    </row>
    <row r="115" spans="2:6" ht="19.5" thickBot="1" x14ac:dyDescent="0.2">
      <c r="B115" s="480"/>
      <c r="C115" s="104">
        <f>IF(OR('05（様式４）単位数の新旧対照表 '!C110="",'01（学校名入力）'!$D$5="３号"),
'05（様式４）単位数の新旧対照表 '!C110,"")</f>
        <v>0</v>
      </c>
      <c r="D115" s="105">
        <f>IF(OR('05（様式４）単位数の新旧対照表 '!D110="",'01（学校名入力）'!$D$5="３号"),
'05（様式４）単位数の新旧対照表 '!D110,"")</f>
        <v>0</v>
      </c>
      <c r="E115" s="98"/>
      <c r="F115" s="98"/>
    </row>
    <row r="116" spans="2:6" ht="19.5" thickBot="1" x14ac:dyDescent="0.2">
      <c r="B116" s="480"/>
      <c r="C116" s="104">
        <f>IF(OR('05（様式４）単位数の新旧対照表 '!C111="",'01（学校名入力）'!$D$5="３号"),
'05（様式４）単位数の新旧対照表 '!C111,"")</f>
        <v>0</v>
      </c>
      <c r="D116" s="105">
        <f>IF(OR('05（様式４）単位数の新旧対照表 '!D111="",'01（学校名入力）'!$D$5="３号"),
'05（様式４）単位数の新旧対照表 '!D111,"")</f>
        <v>0</v>
      </c>
      <c r="E116" s="98"/>
      <c r="F116" s="98"/>
    </row>
    <row r="117" spans="2:6" s="107" customFormat="1" ht="19.5" thickBot="1" x14ac:dyDescent="0.2">
      <c r="B117" s="480"/>
      <c r="C117" s="104">
        <f>IF(OR('05（様式４）単位数の新旧対照表 '!C112="",'01（学校名入力）'!$D$5="３号"),
'05（様式４）単位数の新旧対照表 '!C112,"")</f>
        <v>0</v>
      </c>
      <c r="D117" s="105">
        <f>IF(OR('05（様式４）単位数の新旧対照表 '!D112="",'01（学校名入力）'!$D$5="３号"),
'05（様式４）単位数の新旧対照表 '!D112,"")</f>
        <v>0</v>
      </c>
      <c r="E117" s="98"/>
      <c r="F117" s="98"/>
    </row>
    <row r="118" spans="2:6" s="148" customFormat="1" ht="19.5" thickBot="1" x14ac:dyDescent="0.2">
      <c r="B118" s="480"/>
      <c r="C118" s="104">
        <f>IF(OR('05（様式４）単位数の新旧対照表 '!C113="",'01（学校名入力）'!$D$5="３号"),
'05（様式４）単位数の新旧対照表 '!C113,"")</f>
        <v>0</v>
      </c>
      <c r="D118" s="105">
        <f>IF(OR('05（様式４）単位数の新旧対照表 '!D113="",'01（学校名入力）'!$D$5="３号"),
'05（様式４）単位数の新旧対照表 '!D113,"")</f>
        <v>0</v>
      </c>
      <c r="E118" s="98"/>
      <c r="F118" s="98"/>
    </row>
    <row r="119" spans="2:6" s="148" customFormat="1" ht="19.5" thickBot="1" x14ac:dyDescent="0.2">
      <c r="B119" s="480"/>
      <c r="C119" s="104">
        <f>IF(OR('05（様式４）単位数の新旧対照表 '!C114="",'01（学校名入力）'!$D$5="３号"),
'05（様式４）単位数の新旧対照表 '!C114,"")</f>
        <v>0</v>
      </c>
      <c r="D119" s="105">
        <f>IF(OR('05（様式４）単位数の新旧対照表 '!D114="",'01（学校名入力）'!$D$5="３号"),
'05（様式４）単位数の新旧対照表 '!D114,"")</f>
        <v>0</v>
      </c>
      <c r="E119" s="98"/>
      <c r="F119" s="98"/>
    </row>
    <row r="120" spans="2:6" s="148" customFormat="1" ht="19.5" thickBot="1" x14ac:dyDescent="0.2">
      <c r="B120" s="480"/>
      <c r="C120" s="104">
        <f>IF(OR('05（様式４）単位数の新旧対照表 '!C115="",'01（学校名入力）'!$D$5="３号"),
'05（様式４）単位数の新旧対照表 '!C115,"")</f>
        <v>0</v>
      </c>
      <c r="D120" s="105">
        <f>IF(OR('05（様式４）単位数の新旧対照表 '!D115="",'01（学校名入力）'!$D$5="３号"),
'05（様式４）単位数の新旧対照表 '!D115,"")</f>
        <v>0</v>
      </c>
      <c r="E120" s="98"/>
      <c r="F120" s="98"/>
    </row>
    <row r="121" spans="2:6" ht="19.5" thickBot="1" x14ac:dyDescent="0.2">
      <c r="B121" s="481"/>
      <c r="C121" s="104">
        <f>IF(OR('05（様式４）単位数の新旧対照表 '!C116="",'01（学校名入力）'!$D$5="３号"),
'05（様式４）単位数の新旧対照表 '!C116,"")</f>
        <v>0</v>
      </c>
      <c r="D121" s="105">
        <f>IF(OR('05（様式４）単位数の新旧対照表 '!D116="",'01（学校名入力）'!$D$5="３号"),
'05（様式４）単位数の新旧対照表 '!D116,"")</f>
        <v>0</v>
      </c>
      <c r="E121" s="98"/>
      <c r="F121" s="98"/>
    </row>
    <row r="122" spans="2:6" ht="19.5" thickBot="1" x14ac:dyDescent="0.2">
      <c r="B122" s="479" t="s">
        <v>19</v>
      </c>
      <c r="C122" s="104">
        <f>IF(OR('05（様式４）単位数の新旧対照表 '!C117="",'01（学校名入力）'!$D$5="３号"),
'05（様式４）単位数の新旧対照表 '!C117,"")</f>
        <v>0</v>
      </c>
      <c r="D122" s="105">
        <f>IF(OR('05（様式４）単位数の新旧対照表 '!D117="",'01（学校名入力）'!$D$5="３号"),
'05（様式４）単位数の新旧対照表 '!D117,"")</f>
        <v>0</v>
      </c>
      <c r="E122" s="98"/>
      <c r="F122" s="98"/>
    </row>
    <row r="123" spans="2:6" ht="19.5" thickBot="1" x14ac:dyDescent="0.2">
      <c r="B123" s="480"/>
      <c r="C123" s="104">
        <f>IF(OR('05（様式４）単位数の新旧対照表 '!C118="",'01（学校名入力）'!$D$5="３号"),
'05（様式４）単位数の新旧対照表 '!C118,"")</f>
        <v>0</v>
      </c>
      <c r="D123" s="105">
        <f>IF(OR('05（様式４）単位数の新旧対照表 '!D118="",'01（学校名入力）'!$D$5="３号"),
'05（様式４）単位数の新旧対照表 '!D118,"")</f>
        <v>0</v>
      </c>
      <c r="E123" s="98"/>
      <c r="F123" s="98"/>
    </row>
    <row r="124" spans="2:6" ht="19.5" thickBot="1" x14ac:dyDescent="0.2">
      <c r="B124" s="480"/>
      <c r="C124" s="104">
        <f>IF(OR('05（様式４）単位数の新旧対照表 '!C119="",'01（学校名入力）'!$D$5="３号"),
'05（様式４）単位数の新旧対照表 '!C119,"")</f>
        <v>0</v>
      </c>
      <c r="D124" s="105">
        <f>IF(OR('05（様式４）単位数の新旧対照表 '!D119="",'01（学校名入力）'!$D$5="３号"),
'05（様式４）単位数の新旧対照表 '!D119,"")</f>
        <v>0</v>
      </c>
      <c r="E124" s="98"/>
      <c r="F124" s="98"/>
    </row>
    <row r="125" spans="2:6" s="107" customFormat="1" ht="19.5" thickBot="1" x14ac:dyDescent="0.2">
      <c r="B125" s="480"/>
      <c r="C125" s="104">
        <f>IF(OR('05（様式４）単位数の新旧対照表 '!C120="",'01（学校名入力）'!$D$5="３号"),
'05（様式４）単位数の新旧対照表 '!C120,"")</f>
        <v>0</v>
      </c>
      <c r="D125" s="105">
        <f>IF(OR('05（様式４）単位数の新旧対照表 '!D120="",'01（学校名入力）'!$D$5="３号"),
'05（様式４）単位数の新旧対照表 '!D120,"")</f>
        <v>0</v>
      </c>
      <c r="E125" s="98"/>
      <c r="F125" s="98"/>
    </row>
    <row r="126" spans="2:6" s="107" customFormat="1" ht="19.5" thickBot="1" x14ac:dyDescent="0.2">
      <c r="B126" s="480"/>
      <c r="C126" s="104">
        <f>IF(OR('05（様式４）単位数の新旧対照表 '!C121="",'01（学校名入力）'!$D$5="３号"),
'05（様式４）単位数の新旧対照表 '!C121,"")</f>
        <v>0</v>
      </c>
      <c r="D126" s="105">
        <f>IF(OR('05（様式４）単位数の新旧対照表 '!D121="",'01（学校名入力）'!$D$5="３号"),
'05（様式４）単位数の新旧対照表 '!D121,"")</f>
        <v>0</v>
      </c>
      <c r="E126" s="98"/>
      <c r="F126" s="98"/>
    </row>
    <row r="127" spans="2:6" s="107" customFormat="1" ht="19.5" thickBot="1" x14ac:dyDescent="0.2">
      <c r="B127" s="480"/>
      <c r="C127" s="104">
        <f>IF(OR('05（様式４）単位数の新旧対照表 '!C122="",'01（学校名入力）'!$D$5="３号"),
'05（様式４）単位数の新旧対照表 '!C122,"")</f>
        <v>0</v>
      </c>
      <c r="D127" s="105">
        <f>IF(OR('05（様式４）単位数の新旧対照表 '!D122="",'01（学校名入力）'!$D$5="３号"),
'05（様式４）単位数の新旧対照表 '!D122,"")</f>
        <v>0</v>
      </c>
      <c r="E127" s="98"/>
      <c r="F127" s="98"/>
    </row>
    <row r="128" spans="2:6" s="107" customFormat="1" ht="19.5" thickBot="1" x14ac:dyDescent="0.2">
      <c r="B128" s="480"/>
      <c r="C128" s="104">
        <f>IF(OR('05（様式４）単位数の新旧対照表 '!C123="",'01（学校名入力）'!$D$5="３号"),
'05（様式４）単位数の新旧対照表 '!C123,"")</f>
        <v>0</v>
      </c>
      <c r="D128" s="105">
        <f>IF(OR('05（様式４）単位数の新旧対照表 '!D123="",'01（学校名入力）'!$D$5="３号"),
'05（様式４）単位数の新旧対照表 '!D123,"")</f>
        <v>0</v>
      </c>
      <c r="E128" s="98"/>
      <c r="F128" s="98"/>
    </row>
    <row r="129" spans="2:6" s="148" customFormat="1" ht="19.5" thickBot="1" x14ac:dyDescent="0.2">
      <c r="B129" s="480"/>
      <c r="C129" s="104">
        <f>IF(OR('05（様式４）単位数の新旧対照表 '!C124="",'01（学校名入力）'!$D$5="３号"),
'05（様式４）単位数の新旧対照表 '!C124,"")</f>
        <v>0</v>
      </c>
      <c r="D129" s="105">
        <f>IF(OR('05（様式４）単位数の新旧対照表 '!D124="",'01（学校名入力）'!$D$5="３号"),
'05（様式４）単位数の新旧対照表 '!D124,"")</f>
        <v>0</v>
      </c>
      <c r="E129" s="98"/>
      <c r="F129" s="98"/>
    </row>
    <row r="130" spans="2:6" s="148" customFormat="1" ht="19.5" thickBot="1" x14ac:dyDescent="0.2">
      <c r="B130" s="480"/>
      <c r="C130" s="104">
        <f>IF(OR('05（様式４）単位数の新旧対照表 '!C125="",'01（学校名入力）'!$D$5="３号"),
'05（様式４）単位数の新旧対照表 '!C125,"")</f>
        <v>0</v>
      </c>
      <c r="D130" s="105">
        <f>IF(OR('05（様式４）単位数の新旧対照表 '!D125="",'01（学校名入力）'!$D$5="３号"),
'05（様式４）単位数の新旧対照表 '!D125,"")</f>
        <v>0</v>
      </c>
      <c r="E130" s="98"/>
      <c r="F130" s="98"/>
    </row>
    <row r="131" spans="2:6" s="148" customFormat="1" ht="19.5" thickBot="1" x14ac:dyDescent="0.2">
      <c r="B131" s="480"/>
      <c r="C131" s="104">
        <f>IF(OR('05（様式４）単位数の新旧対照表 '!C126="",'01（学校名入力）'!$D$5="３号"),
'05（様式４）単位数の新旧対照表 '!C126,"")</f>
        <v>0</v>
      </c>
      <c r="D131" s="105">
        <f>IF(OR('05（様式４）単位数の新旧対照表 '!D126="",'01（学校名入力）'!$D$5="３号"),
'05（様式４）単位数の新旧対照表 '!D126,"")</f>
        <v>0</v>
      </c>
      <c r="E131" s="98"/>
      <c r="F131" s="98"/>
    </row>
    <row r="132" spans="2:6" s="148" customFormat="1" ht="19.5" thickBot="1" x14ac:dyDescent="0.2">
      <c r="B132" s="480"/>
      <c r="C132" s="104">
        <f>IF(OR('05（様式４）単位数の新旧対照表 '!C127="",'01（学校名入力）'!$D$5="３号"),
'05（様式４）単位数の新旧対照表 '!C127,"")</f>
        <v>0</v>
      </c>
      <c r="D132" s="105">
        <f>IF(OR('05（様式４）単位数の新旧対照表 '!D127="",'01（学校名入力）'!$D$5="３号"),
'05（様式４）単位数の新旧対照表 '!D127,"")</f>
        <v>0</v>
      </c>
      <c r="E132" s="98"/>
      <c r="F132" s="98"/>
    </row>
    <row r="133" spans="2:6" s="148" customFormat="1" ht="19.5" thickBot="1" x14ac:dyDescent="0.2">
      <c r="B133" s="480"/>
      <c r="C133" s="104">
        <f>IF(OR('05（様式４）単位数の新旧対照表 '!C128="",'01（学校名入力）'!$D$5="３号"),
'05（様式４）単位数の新旧対照表 '!C128,"")</f>
        <v>0</v>
      </c>
      <c r="D133" s="105">
        <f>IF(OR('05（様式４）単位数の新旧対照表 '!D128="",'01（学校名入力）'!$D$5="３号"),
'05（様式４）単位数の新旧対照表 '!D128,"")</f>
        <v>0</v>
      </c>
      <c r="E133" s="98"/>
      <c r="F133" s="98"/>
    </row>
    <row r="134" spans="2:6" s="148" customFormat="1" ht="19.5" thickBot="1" x14ac:dyDescent="0.2">
      <c r="B134" s="480"/>
      <c r="C134" s="104">
        <f>IF(OR('05（様式４）単位数の新旧対照表 '!C129="",'01（学校名入力）'!$D$5="３号"),
'05（様式４）単位数の新旧対照表 '!C129,"")</f>
        <v>0</v>
      </c>
      <c r="D134" s="105">
        <f>IF(OR('05（様式４）単位数の新旧対照表 '!D129="",'01（学校名入力）'!$D$5="３号"),
'05（様式４）単位数の新旧対照表 '!D129,"")</f>
        <v>0</v>
      </c>
      <c r="E134" s="98"/>
      <c r="F134" s="98"/>
    </row>
    <row r="135" spans="2:6" s="148" customFormat="1" ht="19.5" thickBot="1" x14ac:dyDescent="0.2">
      <c r="B135" s="480"/>
      <c r="C135" s="104">
        <f>IF(OR('05（様式４）単位数の新旧対照表 '!C130="",'01（学校名入力）'!$D$5="３号"),
'05（様式４）単位数の新旧対照表 '!C130,"")</f>
        <v>0</v>
      </c>
      <c r="D135" s="105">
        <f>IF(OR('05（様式４）単位数の新旧対照表 '!D130="",'01（学校名入力）'!$D$5="３号"),
'05（様式４）単位数の新旧対照表 '!D130,"")</f>
        <v>0</v>
      </c>
      <c r="E135" s="98"/>
      <c r="F135" s="98"/>
    </row>
    <row r="136" spans="2:6" ht="19.5" thickBot="1" x14ac:dyDescent="0.2">
      <c r="B136" s="481"/>
      <c r="C136" s="104">
        <f>IF(OR('05（様式４）単位数の新旧対照表 '!C131="",'01（学校名入力）'!$D$5="３号"),
'05（様式４）単位数の新旧対照表 '!C131,"")</f>
        <v>0</v>
      </c>
      <c r="D136" s="105">
        <f>IF(OR('05（様式４）単位数の新旧対照表 '!D131="",'01（学校名入力）'!$D$5="３号"),
'05（様式４）単位数の新旧対照表 '!D131,"")</f>
        <v>0</v>
      </c>
      <c r="E136" s="98"/>
      <c r="F136" s="98"/>
    </row>
    <row r="137" spans="2:6" ht="19.5" thickBot="1" x14ac:dyDescent="0.2">
      <c r="B137" s="479" t="s">
        <v>20</v>
      </c>
      <c r="C137" s="104">
        <f>IF(OR('05（様式４）単位数の新旧対照表 '!C132="",'01（学校名入力）'!$D$5="３号"),
'05（様式４）単位数の新旧対照表 '!C132,"")</f>
        <v>0</v>
      </c>
      <c r="D137" s="105">
        <f>IF(OR('05（様式４）単位数の新旧対照表 '!D132="",'01（学校名入力）'!$D$5="３号"),
'05（様式４）単位数の新旧対照表 '!D132,"")</f>
        <v>0</v>
      </c>
      <c r="E137" s="98"/>
      <c r="F137" s="98"/>
    </row>
    <row r="138" spans="2:6" ht="19.5" thickBot="1" x14ac:dyDescent="0.2">
      <c r="B138" s="480"/>
      <c r="C138" s="104">
        <f>IF(OR('05（様式４）単位数の新旧対照表 '!C133="",'01（学校名入力）'!$D$5="３号"),
'05（様式４）単位数の新旧対照表 '!C133,"")</f>
        <v>0</v>
      </c>
      <c r="D138" s="105">
        <f>IF(OR('05（様式４）単位数の新旧対照表 '!D133="",'01（学校名入力）'!$D$5="３号"),
'05（様式４）単位数の新旧対照表 '!D133,"")</f>
        <v>0</v>
      </c>
      <c r="E138" s="98"/>
      <c r="F138" s="98"/>
    </row>
    <row r="139" spans="2:6" s="107" customFormat="1" ht="19.5" thickBot="1" x14ac:dyDescent="0.2">
      <c r="B139" s="480"/>
      <c r="C139" s="104">
        <f>IF(OR('05（様式４）単位数の新旧対照表 '!C134="",'01（学校名入力）'!$D$5="３号"),
'05（様式４）単位数の新旧対照表 '!C134,"")</f>
        <v>0</v>
      </c>
      <c r="D139" s="105">
        <f>IF(OR('05（様式４）単位数の新旧対照表 '!D134="",'01（学校名入力）'!$D$5="３号"),
'05（様式４）単位数の新旧対照表 '!D134,"")</f>
        <v>0</v>
      </c>
      <c r="E139" s="98"/>
      <c r="F139" s="98"/>
    </row>
    <row r="140" spans="2:6" s="148" customFormat="1" ht="19.5" thickBot="1" x14ac:dyDescent="0.2">
      <c r="B140" s="480"/>
      <c r="C140" s="104">
        <f>IF(OR('05（様式４）単位数の新旧対照表 '!C135="",'01（学校名入力）'!$D$5="３号"),
'05（様式４）単位数の新旧対照表 '!C135,"")</f>
        <v>0</v>
      </c>
      <c r="D140" s="105">
        <f>IF(OR('05（様式４）単位数の新旧対照表 '!D135="",'01（学校名入力）'!$D$5="３号"),
'05（様式４）単位数の新旧対照表 '!D135,"")</f>
        <v>0</v>
      </c>
      <c r="E140" s="98"/>
      <c r="F140" s="98"/>
    </row>
    <row r="141" spans="2:6" ht="19.5" thickBot="1" x14ac:dyDescent="0.2">
      <c r="B141" s="480"/>
      <c r="C141" s="104">
        <f>IF(OR('05（様式４）単位数の新旧対照表 '!C136="",'01（学校名入力）'!$D$5="３号"),
'05（様式４）単位数の新旧対照表 '!C136,"")</f>
        <v>0</v>
      </c>
      <c r="D141" s="105">
        <f>IF(OR('05（様式４）単位数の新旧対照表 '!D136="",'01（学校名入力）'!$D$5="３号"),
'05（様式４）単位数の新旧対照表 '!D136,"")</f>
        <v>0</v>
      </c>
      <c r="E141" s="98"/>
      <c r="F141" s="98"/>
    </row>
    <row r="142" spans="2:6" s="148" customFormat="1" ht="19.5" thickBot="1" x14ac:dyDescent="0.2">
      <c r="B142" s="480"/>
      <c r="C142" s="104">
        <f>IF(OR('05（様式４）単位数の新旧対照表 '!C137="",'01（学校名入力）'!$D$5="３号"),
'05（様式４）単位数の新旧対照表 '!C137,"")</f>
        <v>0</v>
      </c>
      <c r="D142" s="105">
        <f>IF(OR('05（様式４）単位数の新旧対照表 '!D137="",'01（学校名入力）'!$D$5="３号"),
'05（様式４）単位数の新旧対照表 '!D137,"")</f>
        <v>0</v>
      </c>
      <c r="E142" s="98"/>
      <c r="F142" s="98"/>
    </row>
    <row r="143" spans="2:6" s="148" customFormat="1" ht="19.5" thickBot="1" x14ac:dyDescent="0.2">
      <c r="B143" s="480"/>
      <c r="C143" s="104">
        <f>IF(OR('05（様式４）単位数の新旧対照表 '!C138="",'01（学校名入力）'!$D$5="３号"),
'05（様式４）単位数の新旧対照表 '!C138,"")</f>
        <v>0</v>
      </c>
      <c r="D143" s="105">
        <f>IF(OR('05（様式４）単位数の新旧対照表 '!D138="",'01（学校名入力）'!$D$5="３号"),
'05（様式４）単位数の新旧対照表 '!D138,"")</f>
        <v>0</v>
      </c>
      <c r="E143" s="98"/>
      <c r="F143" s="98"/>
    </row>
    <row r="144" spans="2:6" s="148" customFormat="1" ht="19.5" thickBot="1" x14ac:dyDescent="0.2">
      <c r="B144" s="480"/>
      <c r="C144" s="104">
        <f>IF(OR('05（様式４）単位数の新旧対照表 '!C139="",'01（学校名入力）'!$D$5="３号"),
'05（様式４）単位数の新旧対照表 '!C139,"")</f>
        <v>0</v>
      </c>
      <c r="D144" s="105">
        <f>IF(OR('05（様式４）単位数の新旧対照表 '!D139="",'01（学校名入力）'!$D$5="３号"),
'05（様式４）単位数の新旧対照表 '!D139,"")</f>
        <v>0</v>
      </c>
      <c r="E144" s="98"/>
      <c r="F144" s="98"/>
    </row>
    <row r="145" spans="2:6" ht="19.5" thickBot="1" x14ac:dyDescent="0.2">
      <c r="B145" s="481"/>
      <c r="C145" s="104">
        <f>IF(OR('05（様式４）単位数の新旧対照表 '!C140="",'01（学校名入力）'!$D$5="３号"),
'05（様式４）単位数の新旧対照表 '!C140,"")</f>
        <v>0</v>
      </c>
      <c r="D145" s="105">
        <f>IF(OR('05（様式４）単位数の新旧対照表 '!D140="",'01（学校名入力）'!$D$5="３号"),
'05（様式４）単位数の新旧対照表 '!D140,"")</f>
        <v>0</v>
      </c>
      <c r="E145" s="98"/>
      <c r="F145" s="98"/>
    </row>
    <row r="146" spans="2:6" ht="19.5" thickBot="1" x14ac:dyDescent="0.2">
      <c r="B146" s="479" t="s">
        <v>21</v>
      </c>
      <c r="C146" s="104">
        <f>IF(OR('05（様式４）単位数の新旧対照表 '!C141="",'01（学校名入力）'!$D$5="３号"),
'05（様式４）単位数の新旧対照表 '!C141,"")</f>
        <v>0</v>
      </c>
      <c r="D146" s="105">
        <f>IF(OR('05（様式４）単位数の新旧対照表 '!D141="",'01（学校名入力）'!$D$5="３号"),
'05（様式４）単位数の新旧対照表 '!D141,"")</f>
        <v>0</v>
      </c>
      <c r="E146" s="98"/>
      <c r="F146" s="98"/>
    </row>
    <row r="147" spans="2:6" ht="19.5" thickBot="1" x14ac:dyDescent="0.2">
      <c r="B147" s="480"/>
      <c r="C147" s="104">
        <f>IF(OR('05（様式４）単位数の新旧対照表 '!C142="",'01（学校名入力）'!$D$5="３号"),
'05（様式４）単位数の新旧対照表 '!C142,"")</f>
        <v>0</v>
      </c>
      <c r="D147" s="105">
        <f>IF(OR('05（様式４）単位数の新旧対照表 '!D142="",'01（学校名入力）'!$D$5="３号"),
'05（様式４）単位数の新旧対照表 '!D142,"")</f>
        <v>0</v>
      </c>
      <c r="E147" s="98"/>
      <c r="F147" s="98"/>
    </row>
    <row r="148" spans="2:6" ht="19.5" thickBot="1" x14ac:dyDescent="0.2">
      <c r="B148" s="480"/>
      <c r="C148" s="104">
        <f>IF(OR('05（様式４）単位数の新旧対照表 '!C143="",'01（学校名入力）'!$D$5="３号"),
'05（様式４）単位数の新旧対照表 '!C143,"")</f>
        <v>0</v>
      </c>
      <c r="D148" s="105">
        <f>IF(OR('05（様式４）単位数の新旧対照表 '!D143="",'01（学校名入力）'!$D$5="３号"),
'05（様式４）単位数の新旧対照表 '!D143,"")</f>
        <v>0</v>
      </c>
      <c r="E148" s="98"/>
      <c r="F148" s="98"/>
    </row>
    <row r="149" spans="2:6" s="148" customFormat="1" ht="19.5" thickBot="1" x14ac:dyDescent="0.2">
      <c r="B149" s="480"/>
      <c r="C149" s="104">
        <f>IF(OR('05（様式４）単位数の新旧対照表 '!C144="",'01（学校名入力）'!$D$5="３号"),
'05（様式４）単位数の新旧対照表 '!C144,"")</f>
        <v>0</v>
      </c>
      <c r="D149" s="105">
        <f>IF(OR('05（様式４）単位数の新旧対照表 '!D144="",'01（学校名入力）'!$D$5="３号"),
'05（様式４）単位数の新旧対照表 '!D144,"")</f>
        <v>0</v>
      </c>
      <c r="E149" s="98"/>
      <c r="F149" s="98"/>
    </row>
    <row r="150" spans="2:6" s="148" customFormat="1" ht="19.5" thickBot="1" x14ac:dyDescent="0.2">
      <c r="B150" s="480"/>
      <c r="C150" s="104">
        <f>IF(OR('05（様式４）単位数の新旧対照表 '!C145="",'01（学校名入力）'!$D$5="３号"),
'05（様式４）単位数の新旧対照表 '!C145,"")</f>
        <v>0</v>
      </c>
      <c r="D150" s="105">
        <f>IF(OR('05（様式４）単位数の新旧対照表 '!D145="",'01（学校名入力）'!$D$5="３号"),
'05（様式４）単位数の新旧対照表 '!D145,"")</f>
        <v>0</v>
      </c>
      <c r="E150" s="98"/>
      <c r="F150" s="98"/>
    </row>
    <row r="151" spans="2:6" s="148" customFormat="1" ht="19.5" thickBot="1" x14ac:dyDescent="0.2">
      <c r="B151" s="480"/>
      <c r="C151" s="104">
        <f>IF(OR('05（様式４）単位数の新旧対照表 '!C146="",'01（学校名入力）'!$D$5="３号"),
'05（様式４）単位数の新旧対照表 '!C146,"")</f>
        <v>0</v>
      </c>
      <c r="D151" s="105">
        <f>IF(OR('05（様式４）単位数の新旧対照表 '!D146="",'01（学校名入力）'!$D$5="３号"),
'05（様式４）単位数の新旧対照表 '!D146,"")</f>
        <v>0</v>
      </c>
      <c r="E151" s="98"/>
      <c r="F151" s="98"/>
    </row>
    <row r="152" spans="2:6" s="148" customFormat="1" ht="19.5" thickBot="1" x14ac:dyDescent="0.2">
      <c r="B152" s="480"/>
      <c r="C152" s="104">
        <f>IF(OR('05（様式４）単位数の新旧対照表 '!C147="",'01（学校名入力）'!$D$5="３号"),
'05（様式４）単位数の新旧対照表 '!C147,"")</f>
        <v>0</v>
      </c>
      <c r="D152" s="105">
        <f>IF(OR('05（様式４）単位数の新旧対照表 '!D147="",'01（学校名入力）'!$D$5="３号"),
'05（様式４）単位数の新旧対照表 '!D147,"")</f>
        <v>0</v>
      </c>
      <c r="E152" s="98"/>
      <c r="F152" s="98"/>
    </row>
    <row r="153" spans="2:6" s="148" customFormat="1" ht="19.5" thickBot="1" x14ac:dyDescent="0.2">
      <c r="B153" s="480"/>
      <c r="C153" s="104">
        <f>IF(OR('05（様式４）単位数の新旧対照表 '!C148="",'01（学校名入力）'!$D$5="３号"),
'05（様式４）単位数の新旧対照表 '!C148,"")</f>
        <v>0</v>
      </c>
      <c r="D153" s="105">
        <f>IF(OR('05（様式４）単位数の新旧対照表 '!D148="",'01（学校名入力）'!$D$5="３号"),
'05（様式４）単位数の新旧対照表 '!D148,"")</f>
        <v>0</v>
      </c>
      <c r="E153" s="98"/>
      <c r="F153" s="98"/>
    </row>
    <row r="154" spans="2:6" s="148" customFormat="1" ht="19.5" thickBot="1" x14ac:dyDescent="0.2">
      <c r="B154" s="480"/>
      <c r="C154" s="104">
        <f>IF(OR('05（様式４）単位数の新旧対照表 '!C149="",'01（学校名入力）'!$D$5="３号"),
'05（様式４）単位数の新旧対照表 '!C149,"")</f>
        <v>0</v>
      </c>
      <c r="D154" s="105">
        <f>IF(OR('05（様式４）単位数の新旧対照表 '!D149="",'01（学校名入力）'!$D$5="３号"),
'05（様式４）単位数の新旧対照表 '!D149,"")</f>
        <v>0</v>
      </c>
      <c r="E154" s="98"/>
      <c r="F154" s="98"/>
    </row>
    <row r="155" spans="2:6" s="148" customFormat="1" ht="19.5" thickBot="1" x14ac:dyDescent="0.2">
      <c r="B155" s="480"/>
      <c r="C155" s="104">
        <f>IF(OR('05（様式４）単位数の新旧対照表 '!C150="",'01（学校名入力）'!$D$5="３号"),
'05（様式４）単位数の新旧対照表 '!C150,"")</f>
        <v>0</v>
      </c>
      <c r="D155" s="105">
        <f>IF(OR('05（様式４）単位数の新旧対照表 '!D150="",'01（学校名入力）'!$D$5="３号"),
'05（様式４）単位数の新旧対照表 '!D150,"")</f>
        <v>0</v>
      </c>
      <c r="E155" s="98"/>
      <c r="F155" s="98"/>
    </row>
    <row r="156" spans="2:6" s="148" customFormat="1" ht="19.5" thickBot="1" x14ac:dyDescent="0.2">
      <c r="B156" s="480"/>
      <c r="C156" s="104">
        <f>IF(OR('05（様式４）単位数の新旧対照表 '!C151="",'01（学校名入力）'!$D$5="３号"),
'05（様式４）単位数の新旧対照表 '!C151,"")</f>
        <v>0</v>
      </c>
      <c r="D156" s="105">
        <f>IF(OR('05（様式４）単位数の新旧対照表 '!D151="",'01（学校名入力）'!$D$5="３号"),
'05（様式４）単位数の新旧対照表 '!D151,"")</f>
        <v>0</v>
      </c>
      <c r="E156" s="98"/>
      <c r="F156" s="98"/>
    </row>
    <row r="157" spans="2:6" ht="19.5" thickBot="1" x14ac:dyDescent="0.2">
      <c r="B157" s="481"/>
      <c r="C157" s="104">
        <f>IF(OR('05（様式４）単位数の新旧対照表 '!C152="",'01（学校名入力）'!$D$5="３号"),
'05（様式４）単位数の新旧対照表 '!C152,"")</f>
        <v>0</v>
      </c>
      <c r="D157" s="105">
        <f>IF(OR('05（様式４）単位数の新旧対照表 '!D152="",'01（学校名入力）'!$D$5="３号"),
'05（様式４）単位数の新旧対照表 '!D152,"")</f>
        <v>0</v>
      </c>
      <c r="E157" s="98"/>
      <c r="F157" s="98"/>
    </row>
    <row r="158" spans="2:6" s="148" customFormat="1" ht="19.5" thickBot="1" x14ac:dyDescent="0.2">
      <c r="B158" s="482" t="s">
        <v>726</v>
      </c>
      <c r="C158" s="483"/>
      <c r="D158" s="154">
        <f>SUM(D17:D157)</f>
        <v>0</v>
      </c>
      <c r="E158" s="98"/>
      <c r="F158" s="98"/>
    </row>
    <row r="159" spans="2:6" s="148" customFormat="1" ht="19.5" thickBot="1" x14ac:dyDescent="0.2">
      <c r="B159" s="152"/>
      <c r="C159" s="151"/>
      <c r="D159" s="151"/>
      <c r="E159" s="98"/>
      <c r="F159" s="98"/>
    </row>
    <row r="160" spans="2:6" s="148" customFormat="1" ht="19.5" thickBot="1" x14ac:dyDescent="0.2">
      <c r="B160" s="161" t="s">
        <v>727</v>
      </c>
      <c r="C160" s="156" t="s">
        <v>728</v>
      </c>
      <c r="D160" s="154" t="s">
        <v>729</v>
      </c>
      <c r="E160" s="98"/>
      <c r="F160" s="98"/>
    </row>
    <row r="161" spans="2:6" s="148" customFormat="1" ht="19.5" thickBot="1" x14ac:dyDescent="0.2">
      <c r="B161" s="486" t="s">
        <v>723</v>
      </c>
      <c r="C161" s="153" t="str">
        <f>IF(OR('05（様式４）単位数の新旧対照表 '!C157="",'01（学校名入力）'!$D$5="３号"),'05（様式４）単位数の新旧対照表 '!C157,"")</f>
        <v/>
      </c>
      <c r="D161" s="154">
        <f>IF(OR('05（様式４）単位数の新旧対照表 '!D157="",'01（学校名入力）'!$D$5="３号"),
'05（様式４）単位数の新旧対照表 '!D157,"")</f>
        <v>0</v>
      </c>
      <c r="E161" s="98"/>
      <c r="F161" s="98"/>
    </row>
    <row r="162" spans="2:6" ht="19.5" thickBot="1" x14ac:dyDescent="0.2">
      <c r="B162" s="487"/>
      <c r="C162" s="153" t="str">
        <f>IF(OR('05（様式４）単位数の新旧対照表 '!C158="",'01（学校名入力）'!$D$5="３号"),'05（様式４）単位数の新旧対照表 '!C158,"")</f>
        <v/>
      </c>
      <c r="D162" s="154">
        <f>IF(OR('05（様式４）単位数の新旧対照表 '!D158="",'01（学校名入力）'!$D$5="３号"),
'05（様式４）単位数の新旧対照表 '!D158,"")</f>
        <v>0</v>
      </c>
      <c r="E162" s="98"/>
      <c r="F162" s="98"/>
    </row>
    <row r="163" spans="2:6" ht="19.5" thickBot="1" x14ac:dyDescent="0.2">
      <c r="B163" s="488"/>
      <c r="C163" s="153" t="str">
        <f>IF(OR('05（様式４）単位数の新旧対照表 '!C159="",'01（学校名入力）'!$D$5="３号"),'05（様式４）単位数の新旧対照表 '!C159,"")</f>
        <v/>
      </c>
      <c r="D163" s="154">
        <f>IF(OR('05（様式４）単位数の新旧対照表 '!D159="",'01（学校名入力）'!$D$5="３号"),
'05（様式４）単位数の新旧対照表 '!D159,"")</f>
        <v>0</v>
      </c>
    </row>
    <row r="164" spans="2:6" s="148" customFormat="1" ht="19.5" thickBot="1" x14ac:dyDescent="0.2">
      <c r="B164" s="484" t="s">
        <v>726</v>
      </c>
      <c r="C164" s="485"/>
      <c r="D164" s="156">
        <f>SUM(D161:D163)</f>
        <v>0</v>
      </c>
    </row>
    <row r="165" spans="2:6" x14ac:dyDescent="0.15">
      <c r="B165" s="99"/>
    </row>
    <row r="166" spans="2:6" x14ac:dyDescent="0.15">
      <c r="B166" s="478" t="s">
        <v>878</v>
      </c>
      <c r="C166" s="478"/>
      <c r="D166" s="478"/>
      <c r="E166" s="478"/>
      <c r="F166" s="290"/>
    </row>
    <row r="167" spans="2:6" x14ac:dyDescent="0.15">
      <c r="B167" s="477" t="s">
        <v>691</v>
      </c>
      <c r="C167" s="477"/>
      <c r="D167" s="477"/>
      <c r="E167" s="477"/>
      <c r="F167" s="289"/>
    </row>
    <row r="168" spans="2:6" x14ac:dyDescent="0.15">
      <c r="B168" s="477" t="s">
        <v>875</v>
      </c>
      <c r="C168" s="477"/>
      <c r="D168" s="477"/>
      <c r="E168" s="477"/>
      <c r="F168" s="289"/>
    </row>
    <row r="169" spans="2:6" x14ac:dyDescent="0.15">
      <c r="B169" s="477" t="s">
        <v>692</v>
      </c>
      <c r="C169" s="477"/>
      <c r="D169" s="477"/>
      <c r="E169" s="477"/>
      <c r="F169" s="289"/>
    </row>
    <row r="170" spans="2:6" s="148" customFormat="1" x14ac:dyDescent="0.15">
      <c r="B170" s="422" t="s">
        <v>877</v>
      </c>
      <c r="C170" s="422"/>
      <c r="D170" s="422"/>
      <c r="E170" s="422"/>
      <c r="F170" s="422"/>
    </row>
    <row r="171" spans="2:6" s="148" customFormat="1" x14ac:dyDescent="0.15">
      <c r="B171" s="330" t="s">
        <v>1107</v>
      </c>
      <c r="C171" s="330"/>
      <c r="D171" s="330"/>
      <c r="E171" s="330"/>
      <c r="F171" s="330"/>
    </row>
    <row r="172" spans="2:6" ht="18.75" customHeight="1" x14ac:dyDescent="0.15">
      <c r="B172" s="477" t="s">
        <v>1108</v>
      </c>
      <c r="C172" s="477"/>
      <c r="D172" s="477"/>
      <c r="E172" s="477"/>
      <c r="F172" s="289"/>
    </row>
    <row r="173" spans="2:6" ht="18.75" customHeight="1" x14ac:dyDescent="0.15">
      <c r="B173" s="477" t="s">
        <v>1109</v>
      </c>
      <c r="C173" s="477"/>
      <c r="D173" s="477"/>
      <c r="E173" s="477"/>
      <c r="F173" s="289"/>
    </row>
    <row r="174" spans="2:6" ht="33.75" customHeight="1" x14ac:dyDescent="0.15">
      <c r="B174" s="477" t="s">
        <v>1106</v>
      </c>
      <c r="C174" s="477"/>
      <c r="D174" s="477"/>
      <c r="E174" s="477"/>
      <c r="F174" s="289"/>
    </row>
  </sheetData>
  <sheetProtection algorithmName="SHA-512" hashValue="RWgMWQZxqRebFwnC/6aWerYXJPSXh6M3yl8ZY7Y9q8MXQ5BRe30i0DKkdx6AN9XlqOux9DMmKXZ23C7lUKoJIg==" saltValue="e11n25pmqRpJybHQ9g61Kg==" spinCount="100000" sheet="1" formatCells="0"/>
  <mergeCells count="33">
    <mergeCell ref="B60:B67"/>
    <mergeCell ref="B2:D2"/>
    <mergeCell ref="B3:D3"/>
    <mergeCell ref="B4:D4"/>
    <mergeCell ref="B5:E5"/>
    <mergeCell ref="B7:D7"/>
    <mergeCell ref="B13:D13"/>
    <mergeCell ref="B17:B43"/>
    <mergeCell ref="B44:B51"/>
    <mergeCell ref="B52:B59"/>
    <mergeCell ref="B11:D11"/>
    <mergeCell ref="B9:D9"/>
    <mergeCell ref="B10:D10"/>
    <mergeCell ref="B166:E166"/>
    <mergeCell ref="B167:E167"/>
    <mergeCell ref="B68:B75"/>
    <mergeCell ref="B76:B81"/>
    <mergeCell ref="B82:B89"/>
    <mergeCell ref="B90:B99"/>
    <mergeCell ref="B100:B105"/>
    <mergeCell ref="B106:B113"/>
    <mergeCell ref="B114:B121"/>
    <mergeCell ref="B122:B136"/>
    <mergeCell ref="B137:B145"/>
    <mergeCell ref="B146:B157"/>
    <mergeCell ref="B158:C158"/>
    <mergeCell ref="B164:C164"/>
    <mergeCell ref="B161:B163"/>
    <mergeCell ref="B168:E168"/>
    <mergeCell ref="B169:E169"/>
    <mergeCell ref="B172:E172"/>
    <mergeCell ref="B173:E173"/>
    <mergeCell ref="B174:E174"/>
  </mergeCells>
  <phoneticPr fontId="8"/>
  <conditionalFormatting sqref="B17:B43">
    <cfRule type="expression" dxfId="62" priority="24">
      <formula>$R$13="×"</formula>
    </cfRule>
  </conditionalFormatting>
  <conditionalFormatting sqref="B44:B51">
    <cfRule type="expression" dxfId="61" priority="23">
      <formula>$R$33="×"</formula>
    </cfRule>
  </conditionalFormatting>
  <conditionalFormatting sqref="B52:B59">
    <cfRule type="expression" dxfId="60" priority="22">
      <formula>$R$44="×"</formula>
    </cfRule>
  </conditionalFormatting>
  <conditionalFormatting sqref="B60:B67">
    <cfRule type="expression" dxfId="59" priority="21">
      <formula>$R$52="×"</formula>
    </cfRule>
  </conditionalFormatting>
  <conditionalFormatting sqref="B68:B75">
    <cfRule type="expression" dxfId="58" priority="9">
      <formula>$R$60="×"</formula>
    </cfRule>
  </conditionalFormatting>
  <conditionalFormatting sqref="B76:B81">
    <cfRule type="expression" dxfId="57" priority="19">
      <formula>$R$68="×"</formula>
    </cfRule>
  </conditionalFormatting>
  <conditionalFormatting sqref="B82:B99">
    <cfRule type="expression" dxfId="56" priority="18">
      <formula>$R$76="×"</formula>
    </cfRule>
  </conditionalFormatting>
  <conditionalFormatting sqref="B100:B105">
    <cfRule type="expression" dxfId="55" priority="17">
      <formula>$R$90="×"</formula>
    </cfRule>
  </conditionalFormatting>
  <conditionalFormatting sqref="B106:B113">
    <cfRule type="expression" dxfId="54" priority="16">
      <formula>$R$100="×"</formula>
    </cfRule>
  </conditionalFormatting>
  <conditionalFormatting sqref="B114:B121">
    <cfRule type="expression" dxfId="53" priority="7">
      <formula>$R$106="×"</formula>
    </cfRule>
  </conditionalFormatting>
  <conditionalFormatting sqref="B122:B136">
    <cfRule type="expression" dxfId="52" priority="3">
      <formula>$R$114="×"</formula>
    </cfRule>
  </conditionalFormatting>
  <conditionalFormatting sqref="B137:B145">
    <cfRule type="expression" dxfId="51" priority="1">
      <formula>$R$122="×"</formula>
    </cfRule>
  </conditionalFormatting>
  <conditionalFormatting sqref="B146:B160">
    <cfRule type="expression" dxfId="50" priority="12">
      <formula>$R$137="×"</formula>
    </cfRule>
  </conditionalFormatting>
  <conditionalFormatting sqref="B161 B164">
    <cfRule type="expression" dxfId="49" priority="11">
      <formula>OR($R$146="×",$R$147="×")</formula>
    </cfRule>
  </conditionalFormatting>
  <pageMargins left="0.75" right="0.75" top="1" bottom="1" header="0.5" footer="0.5"/>
  <pageSetup paperSize="9" scale="98" fitToHeight="0" orientation="portrait" r:id="rId1"/>
  <rowBreaks count="4" manualBreakCount="4">
    <brk id="40" max="4" man="1"/>
    <brk id="80" max="4" man="1"/>
    <brk id="120" max="4" man="1"/>
    <brk id="15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174"/>
  <sheetViews>
    <sheetView showGridLines="0" view="pageBreakPreview" zoomScaleNormal="100" zoomScaleSheetLayoutView="100" workbookViewId="0">
      <selection activeCell="K37" sqref="K37"/>
    </sheetView>
  </sheetViews>
  <sheetFormatPr defaultRowHeight="18.75" x14ac:dyDescent="0.15"/>
  <cols>
    <col min="1" max="1" width="3.125" style="64" customWidth="1"/>
    <col min="2" max="2" width="28.25" style="64" customWidth="1"/>
    <col min="3" max="3" width="44.875" style="64" customWidth="1"/>
    <col min="4" max="4" width="8.375" style="64" customWidth="1"/>
    <col min="5" max="5" width="4.25" style="64" customWidth="1"/>
    <col min="6" max="6" width="4.25" style="296" customWidth="1"/>
    <col min="7" max="7" width="6.25" style="296" customWidth="1"/>
    <col min="8" max="8" width="12.75" style="64" customWidth="1"/>
    <col min="9" max="16384" width="9" style="64"/>
  </cols>
  <sheetData>
    <row r="1" spans="2:8" ht="19.5" thickBot="1" x14ac:dyDescent="0.2">
      <c r="G1" s="2" t="str">
        <f>IF(COUNTIF(F:F,"×")&gt;0,"×","○")</f>
        <v>×</v>
      </c>
      <c r="H1" s="3" t="s">
        <v>867</v>
      </c>
    </row>
    <row r="2" spans="2:8" ht="17.25" customHeight="1" x14ac:dyDescent="0.15">
      <c r="B2" s="489" t="s">
        <v>1110</v>
      </c>
      <c r="C2" s="489"/>
      <c r="D2" s="489"/>
    </row>
    <row r="3" spans="2:8" x14ac:dyDescent="0.15">
      <c r="B3" s="501" t="s">
        <v>685</v>
      </c>
      <c r="C3" s="501"/>
      <c r="D3" s="501"/>
      <c r="E3" s="63"/>
      <c r="F3" s="299" t="str">
        <f>IF(B3="○○○○○○○○","×","○")</f>
        <v>×</v>
      </c>
      <c r="G3" s="101" t="s">
        <v>705</v>
      </c>
      <c r="H3" s="101"/>
    </row>
    <row r="4" spans="2:8" x14ac:dyDescent="0.15">
      <c r="B4" s="504" t="s">
        <v>720</v>
      </c>
      <c r="C4" s="504"/>
      <c r="D4" s="504"/>
      <c r="E4" s="63"/>
      <c r="F4" s="299" t="str">
        <f>IF(B4="令和　年　月　日","×","○")</f>
        <v>×</v>
      </c>
      <c r="G4" s="101" t="s">
        <v>706</v>
      </c>
      <c r="H4" s="101"/>
    </row>
    <row r="5" spans="2:8" x14ac:dyDescent="0.15">
      <c r="B5" s="502" t="s">
        <v>687</v>
      </c>
      <c r="C5" s="503"/>
      <c r="D5" s="503"/>
      <c r="E5" s="503"/>
    </row>
    <row r="6" spans="2:8" x14ac:dyDescent="0.15">
      <c r="B6" s="66"/>
    </row>
    <row r="7" spans="2:8" x14ac:dyDescent="0.15">
      <c r="B7" s="493" t="str">
        <f>IF('01（学校名入力）'!D5="４号",'01（学校名入力）'!C7&amp;"長","")</f>
        <v/>
      </c>
      <c r="C7" s="493"/>
      <c r="D7" s="493"/>
      <c r="E7" s="63"/>
      <c r="F7" s="292"/>
      <c r="G7" s="101" t="s">
        <v>719</v>
      </c>
      <c r="H7" s="101"/>
    </row>
    <row r="8" spans="2:8" x14ac:dyDescent="0.15">
      <c r="B8" s="66"/>
      <c r="G8" s="101" t="s">
        <v>721</v>
      </c>
      <c r="H8" s="101"/>
    </row>
    <row r="9" spans="2:8" ht="18.75" customHeight="1" x14ac:dyDescent="0.15">
      <c r="B9" s="500" t="s">
        <v>1126</v>
      </c>
      <c r="C9" s="500"/>
      <c r="D9" s="500"/>
      <c r="E9" s="426"/>
      <c r="F9" s="293"/>
    </row>
    <row r="10" spans="2:8" ht="18.75" customHeight="1" x14ac:dyDescent="0.15">
      <c r="B10" s="500" t="s">
        <v>1127</v>
      </c>
      <c r="C10" s="500"/>
      <c r="D10" s="500"/>
      <c r="E10" s="426"/>
      <c r="F10" s="293"/>
    </row>
    <row r="11" spans="2:8" ht="18.75" customHeight="1" x14ac:dyDescent="0.15">
      <c r="B11" s="500" t="s">
        <v>1129</v>
      </c>
      <c r="C11" s="500"/>
      <c r="D11" s="500"/>
      <c r="E11" s="148"/>
      <c r="F11" s="148"/>
    </row>
    <row r="12" spans="2:8" s="146" customFormat="1" x14ac:dyDescent="0.15">
      <c r="B12" s="500"/>
      <c r="C12" s="500"/>
      <c r="D12" s="500"/>
      <c r="E12" s="145"/>
      <c r="F12" s="148"/>
      <c r="G12" s="296"/>
    </row>
    <row r="13" spans="2:8" ht="28.5" customHeight="1" x14ac:dyDescent="0.15">
      <c r="B13" s="505" t="s">
        <v>688</v>
      </c>
      <c r="C13" s="505"/>
      <c r="D13" s="505"/>
      <c r="E13" s="67"/>
      <c r="F13" s="291"/>
      <c r="G13" s="219" t="s">
        <v>810</v>
      </c>
      <c r="H13" s="219"/>
    </row>
    <row r="14" spans="2:8" ht="19.5" thickBot="1" x14ac:dyDescent="0.2">
      <c r="B14" s="68"/>
    </row>
    <row r="15" spans="2:8" ht="13.7" customHeight="1" x14ac:dyDescent="0.15">
      <c r="B15" s="77"/>
      <c r="C15" s="70"/>
      <c r="D15" s="71"/>
      <c r="E15" s="72"/>
      <c r="F15" s="72"/>
      <c r="G15" s="72"/>
    </row>
    <row r="16" spans="2:8" ht="13.7" customHeight="1" thickBot="1" x14ac:dyDescent="0.2">
      <c r="B16" s="78" t="s">
        <v>2</v>
      </c>
      <c r="C16" s="74" t="s">
        <v>689</v>
      </c>
      <c r="D16" s="102" t="s">
        <v>690</v>
      </c>
      <c r="E16" s="72"/>
      <c r="F16" s="72"/>
      <c r="G16" s="72"/>
    </row>
    <row r="17" spans="2:7" ht="19.5" customHeight="1" thickBot="1" x14ac:dyDescent="0.2">
      <c r="B17" s="495" t="s">
        <v>718</v>
      </c>
      <c r="C17" s="104">
        <f>IF(OR('05（様式４）単位数の新旧対照表 '!C12="",'01（学校名入力）'!$D$5="４号"),
'05（様式４）単位数の新旧対照表 '!C12,"")</f>
        <v>0</v>
      </c>
      <c r="D17" s="105">
        <f>IF(OR('05（様式４）単位数の新旧対照表 '!D12="",'01（学校名入力）'!$D$5="４号"),
'05（様式４）単位数の新旧対照表 '!D12,"")</f>
        <v>0</v>
      </c>
      <c r="E17" s="75"/>
      <c r="F17" s="75"/>
      <c r="G17" s="75"/>
    </row>
    <row r="18" spans="2:7" ht="19.5" thickBot="1" x14ac:dyDescent="0.2">
      <c r="B18" s="496"/>
      <c r="C18" s="104">
        <f>IF(OR('05（様式４）単位数の新旧対照表 '!C13="",'01（学校名入力）'!$D$5="４号"),
'05（様式４）単位数の新旧対照表 '!C13,"")</f>
        <v>0</v>
      </c>
      <c r="D18" s="105">
        <f>IF(OR('05（様式４）単位数の新旧対照表 '!D13="",'01（学校名入力）'!$D$5="４号"),
'05（様式４）単位数の新旧対照表 '!D13,"")</f>
        <v>0</v>
      </c>
      <c r="E18" s="75"/>
      <c r="F18" s="75"/>
      <c r="G18" s="75"/>
    </row>
    <row r="19" spans="2:7" ht="19.5" thickBot="1" x14ac:dyDescent="0.2">
      <c r="B19" s="496"/>
      <c r="C19" s="104">
        <f>IF(OR('05（様式４）単位数の新旧対照表 '!C14="",'01（学校名入力）'!$D$5="４号"),
'05（様式４）単位数の新旧対照表 '!C14,"")</f>
        <v>0</v>
      </c>
      <c r="D19" s="105">
        <f>IF(OR('05（様式４）単位数の新旧対照表 '!D14="",'01（学校名入力）'!$D$5="４号"),
'05（様式４）単位数の新旧対照表 '!D14,"")</f>
        <v>0</v>
      </c>
      <c r="E19" s="75"/>
      <c r="F19" s="75"/>
      <c r="G19" s="75"/>
    </row>
    <row r="20" spans="2:7" ht="19.5" thickBot="1" x14ac:dyDescent="0.2">
      <c r="B20" s="496"/>
      <c r="C20" s="104">
        <f>IF(OR('05（様式４）単位数の新旧対照表 '!C15="",'01（学校名入力）'!$D$5="４号"),
'05（様式４）単位数の新旧対照表 '!C15,"")</f>
        <v>0</v>
      </c>
      <c r="D20" s="105">
        <f>IF(OR('05（様式４）単位数の新旧対照表 '!D15="",'01（学校名入力）'!$D$5="４号"),
'05（様式４）単位数の新旧対照表 '!D15,"")</f>
        <v>0</v>
      </c>
      <c r="E20" s="75"/>
      <c r="F20" s="75"/>
      <c r="G20" s="75"/>
    </row>
    <row r="21" spans="2:7" ht="19.5" thickBot="1" x14ac:dyDescent="0.2">
      <c r="B21" s="496"/>
      <c r="C21" s="104">
        <f>IF(OR('05（様式４）単位数の新旧対照表 '!C16="",'01（学校名入力）'!$D$5="４号"),
'05（様式４）単位数の新旧対照表 '!C16,"")</f>
        <v>0</v>
      </c>
      <c r="D21" s="105">
        <f>IF(OR('05（様式４）単位数の新旧対照表 '!D16="",'01（学校名入力）'!$D$5="４号"),
'05（様式４）単位数の新旧対照表 '!D16,"")</f>
        <v>0</v>
      </c>
      <c r="E21" s="75"/>
      <c r="F21" s="75"/>
      <c r="G21" s="75"/>
    </row>
    <row r="22" spans="2:7" ht="19.5" thickBot="1" x14ac:dyDescent="0.2">
      <c r="B22" s="496"/>
      <c r="C22" s="104">
        <f>IF(OR('05（様式４）単位数の新旧対照表 '!C17="",'01（学校名入力）'!$D$5="４号"),
'05（様式４）単位数の新旧対照表 '!C17,"")</f>
        <v>0</v>
      </c>
      <c r="D22" s="105">
        <f>IF(OR('05（様式４）単位数の新旧対照表 '!D17="",'01（学校名入力）'!$D$5="４号"),
'05（様式４）単位数の新旧対照表 '!D17,"")</f>
        <v>0</v>
      </c>
      <c r="E22" s="75"/>
      <c r="F22" s="75"/>
      <c r="G22" s="75"/>
    </row>
    <row r="23" spans="2:7" ht="19.5" thickBot="1" x14ac:dyDescent="0.2">
      <c r="B23" s="496"/>
      <c r="C23" s="104">
        <f>IF(OR('05（様式４）単位数の新旧対照表 '!C18="",'01（学校名入力）'!$D$5="４号"),
'05（様式４）単位数の新旧対照表 '!C18,"")</f>
        <v>0</v>
      </c>
      <c r="D23" s="105">
        <f>IF(OR('05（様式４）単位数の新旧対照表 '!D18="",'01（学校名入力）'!$D$5="４号"),
'05（様式４）単位数の新旧対照表 '!D18,"")</f>
        <v>0</v>
      </c>
      <c r="E23" s="75"/>
      <c r="F23" s="75"/>
      <c r="G23" s="75"/>
    </row>
    <row r="24" spans="2:7" ht="19.5" thickBot="1" x14ac:dyDescent="0.2">
      <c r="B24" s="496"/>
      <c r="C24" s="104">
        <f>IF(OR('05（様式４）単位数の新旧対照表 '!C19="",'01（学校名入力）'!$D$5="４号"),
'05（様式４）単位数の新旧対照表 '!C19,"")</f>
        <v>0</v>
      </c>
      <c r="D24" s="105">
        <f>IF(OR('05（様式４）単位数の新旧対照表 '!D19="",'01（学校名入力）'!$D$5="４号"),
'05（様式４）単位数の新旧対照表 '!D19,"")</f>
        <v>0</v>
      </c>
      <c r="E24" s="75"/>
      <c r="F24" s="75"/>
      <c r="G24" s="75"/>
    </row>
    <row r="25" spans="2:7" ht="19.5" thickBot="1" x14ac:dyDescent="0.2">
      <c r="B25" s="496"/>
      <c r="C25" s="104">
        <f>IF(OR('05（様式４）単位数の新旧対照表 '!C20="",'01（学校名入力）'!$D$5="４号"),
'05（様式４）単位数の新旧対照表 '!C20,"")</f>
        <v>0</v>
      </c>
      <c r="D25" s="105">
        <f>IF(OR('05（様式４）単位数の新旧対照表 '!D20="",'01（学校名入力）'!$D$5="４号"),
'05（様式４）単位数の新旧対照表 '!D20,"")</f>
        <v>0</v>
      </c>
      <c r="E25" s="75"/>
      <c r="F25" s="75"/>
      <c r="G25" s="75"/>
    </row>
    <row r="26" spans="2:7" ht="19.5" thickBot="1" x14ac:dyDescent="0.2">
      <c r="B26" s="496"/>
      <c r="C26" s="104">
        <f>IF(OR('05（様式４）単位数の新旧対照表 '!C21="",'01（学校名入力）'!$D$5="４号"),
'05（様式４）単位数の新旧対照表 '!C21,"")</f>
        <v>0</v>
      </c>
      <c r="D26" s="105">
        <f>IF(OR('05（様式４）単位数の新旧対照表 '!D21="",'01（学校名入力）'!$D$5="４号"),
'05（様式４）単位数の新旧対照表 '!D21,"")</f>
        <v>0</v>
      </c>
      <c r="E26" s="75"/>
      <c r="F26" s="75"/>
      <c r="G26" s="75"/>
    </row>
    <row r="27" spans="2:7" ht="19.5" thickBot="1" x14ac:dyDescent="0.2">
      <c r="B27" s="496"/>
      <c r="C27" s="104">
        <f>IF(OR('05（様式４）単位数の新旧対照表 '!C22="",'01（学校名入力）'!$D$5="４号"),
'05（様式４）単位数の新旧対照表 '!C22,"")</f>
        <v>0</v>
      </c>
      <c r="D27" s="105">
        <f>IF(OR('05（様式４）単位数の新旧対照表 '!D22="",'01（学校名入力）'!$D$5="４号"),
'05（様式４）単位数の新旧対照表 '!D22,"")</f>
        <v>0</v>
      </c>
      <c r="E27" s="75"/>
      <c r="F27" s="75"/>
      <c r="G27" s="75"/>
    </row>
    <row r="28" spans="2:7" ht="19.5" thickBot="1" x14ac:dyDescent="0.2">
      <c r="B28" s="496"/>
      <c r="C28" s="104">
        <f>IF(OR('05（様式４）単位数の新旧対照表 '!C23="",'01（学校名入力）'!$D$5="４号"),
'05（様式４）単位数の新旧対照表 '!C23,"")</f>
        <v>0</v>
      </c>
      <c r="D28" s="105">
        <f>IF(OR('05（様式４）単位数の新旧対照表 '!D23="",'01（学校名入力）'!$D$5="４号"),
'05（様式４）単位数の新旧対照表 '!D23,"")</f>
        <v>0</v>
      </c>
      <c r="E28" s="75"/>
      <c r="F28" s="75"/>
      <c r="G28" s="75"/>
    </row>
    <row r="29" spans="2:7" ht="19.5" thickBot="1" x14ac:dyDescent="0.2">
      <c r="B29" s="496"/>
      <c r="C29" s="104">
        <f>IF(OR('05（様式４）単位数の新旧対照表 '!C24="",'01（学校名入力）'!$D$5="４号"),
'05（様式４）単位数の新旧対照表 '!C24,"")</f>
        <v>0</v>
      </c>
      <c r="D29" s="105">
        <f>IF(OR('05（様式４）単位数の新旧対照表 '!D24="",'01（学校名入力）'!$D$5="４号"),
'05（様式４）単位数の新旧対照表 '!D24,"")</f>
        <v>0</v>
      </c>
      <c r="E29" s="75"/>
      <c r="F29" s="75"/>
      <c r="G29" s="75"/>
    </row>
    <row r="30" spans="2:7" ht="19.5" thickBot="1" x14ac:dyDescent="0.2">
      <c r="B30" s="496"/>
      <c r="C30" s="104">
        <f>IF(OR('05（様式４）単位数の新旧対照表 '!C25="",'01（学校名入力）'!$D$5="４号"),
'05（様式４）単位数の新旧対照表 '!C25,"")</f>
        <v>0</v>
      </c>
      <c r="D30" s="105">
        <f>IF(OR('05（様式４）単位数の新旧対照表 '!D25="",'01（学校名入力）'!$D$5="４号"),
'05（様式４）単位数の新旧対照表 '!D25,"")</f>
        <v>0</v>
      </c>
      <c r="E30" s="75"/>
      <c r="F30" s="75"/>
      <c r="G30" s="75"/>
    </row>
    <row r="31" spans="2:7" ht="19.5" thickBot="1" x14ac:dyDescent="0.2">
      <c r="B31" s="496"/>
      <c r="C31" s="104">
        <f>IF(OR('05（様式４）単位数の新旧対照表 '!C26="",'01（学校名入力）'!$D$5="４号"),
'05（様式４）単位数の新旧対照表 '!C26,"")</f>
        <v>0</v>
      </c>
      <c r="D31" s="105">
        <f>IF(OR('05（様式４）単位数の新旧対照表 '!D26="",'01（学校名入力）'!$D$5="４号"),
'05（様式４）単位数の新旧対照表 '!D26,"")</f>
        <v>0</v>
      </c>
      <c r="E31" s="75"/>
      <c r="F31" s="75"/>
      <c r="G31" s="75"/>
    </row>
    <row r="32" spans="2:7" ht="19.5" thickBot="1" x14ac:dyDescent="0.2">
      <c r="B32" s="496"/>
      <c r="C32" s="104">
        <f>IF(OR('05（様式４）単位数の新旧対照表 '!C27="",'01（学校名入力）'!$D$5="４号"),
'05（様式４）単位数の新旧対照表 '!C27,"")</f>
        <v>0</v>
      </c>
      <c r="D32" s="105">
        <f>IF(OR('05（様式４）単位数の新旧対照表 '!D27="",'01（学校名入力）'!$D$5="４号"),
'05（様式４）単位数の新旧対照表 '!D27,"")</f>
        <v>0</v>
      </c>
      <c r="E32" s="75"/>
      <c r="F32" s="75"/>
      <c r="G32" s="75"/>
    </row>
    <row r="33" spans="2:7" ht="19.5" thickBot="1" x14ac:dyDescent="0.2">
      <c r="B33" s="496"/>
      <c r="C33" s="104">
        <f>IF(OR('05（様式４）単位数の新旧対照表 '!C28="",'01（学校名入力）'!$D$5="４号"),
'05（様式４）単位数の新旧対照表 '!C28,"")</f>
        <v>0</v>
      </c>
      <c r="D33" s="105">
        <f>IF(OR('05（様式４）単位数の新旧対照表 '!D28="",'01（学校名入力）'!$D$5="４号"),
'05（様式４）単位数の新旧対照表 '!D28,"")</f>
        <v>0</v>
      </c>
      <c r="E33" s="75"/>
      <c r="F33" s="75"/>
      <c r="G33" s="75"/>
    </row>
    <row r="34" spans="2:7" ht="19.5" thickBot="1" x14ac:dyDescent="0.2">
      <c r="B34" s="496"/>
      <c r="C34" s="104">
        <f>IF(OR('05（様式４）単位数の新旧対照表 '!C29="",'01（学校名入力）'!$D$5="４号"),
'05（様式４）単位数の新旧対照表 '!C29,"")</f>
        <v>0</v>
      </c>
      <c r="D34" s="105">
        <f>IF(OR('05（様式４）単位数の新旧対照表 '!D29="",'01（学校名入力）'!$D$5="４号"),
'05（様式４）単位数の新旧対照表 '!D29,"")</f>
        <v>0</v>
      </c>
      <c r="E34" s="75"/>
      <c r="F34" s="75"/>
      <c r="G34" s="75"/>
    </row>
    <row r="35" spans="2:7" ht="19.5" thickBot="1" x14ac:dyDescent="0.2">
      <c r="B35" s="496"/>
      <c r="C35" s="104">
        <f>IF(OR('05（様式４）単位数の新旧対照表 '!C30="",'01（学校名入力）'!$D$5="４号"),
'05（様式４）単位数の新旧対照表 '!C30,"")</f>
        <v>0</v>
      </c>
      <c r="D35" s="105">
        <f>IF(OR('05（様式４）単位数の新旧対照表 '!D30="",'01（学校名入力）'!$D$5="４号"),
'05（様式４）単位数の新旧対照表 '!D30,"")</f>
        <v>0</v>
      </c>
      <c r="E35" s="75"/>
      <c r="F35" s="75"/>
      <c r="G35" s="75"/>
    </row>
    <row r="36" spans="2:7" s="253" customFormat="1" ht="19.5" thickBot="1" x14ac:dyDescent="0.2">
      <c r="B36" s="496"/>
      <c r="C36" s="104">
        <f>IF(OR('05（様式４）単位数の新旧対照表 '!C31="",'01（学校名入力）'!$D$5="４号"),
'05（様式４）単位数の新旧対照表 '!C31,"")</f>
        <v>0</v>
      </c>
      <c r="D36" s="105">
        <f>IF(OR('05（様式４）単位数の新旧対照表 '!D31="",'01（学校名入力）'!$D$5="４号"),
'05（様式４）単位数の新旧対照表 '!D31,"")</f>
        <v>0</v>
      </c>
      <c r="E36" s="75"/>
      <c r="F36" s="75"/>
      <c r="G36" s="75"/>
    </row>
    <row r="37" spans="2:7" s="253" customFormat="1" ht="19.5" thickBot="1" x14ac:dyDescent="0.2">
      <c r="B37" s="496"/>
      <c r="C37" s="104">
        <f>IF(OR('05（様式４）単位数の新旧対照表 '!C32="",'01（学校名入力）'!$D$5="４号"),
'05（様式４）単位数の新旧対照表 '!C32,"")</f>
        <v>0</v>
      </c>
      <c r="D37" s="105">
        <f>IF(OR('05（様式４）単位数の新旧対照表 '!D32="",'01（学校名入力）'!$D$5="４号"),
'05（様式４）単位数の新旧対照表 '!D32,"")</f>
        <v>0</v>
      </c>
      <c r="E37" s="75"/>
      <c r="F37" s="75"/>
      <c r="G37" s="75"/>
    </row>
    <row r="38" spans="2:7" s="253" customFormat="1" ht="19.5" thickBot="1" x14ac:dyDescent="0.2">
      <c r="B38" s="496"/>
      <c r="C38" s="104">
        <f>IF(OR('05（様式４）単位数の新旧対照表 '!C33="",'01（学校名入力）'!$D$5="４号"),
'05（様式４）単位数の新旧対照表 '!C33,"")</f>
        <v>0</v>
      </c>
      <c r="D38" s="105">
        <f>IF(OR('05（様式４）単位数の新旧対照表 '!D33="",'01（学校名入力）'!$D$5="４号"),
'05（様式４）単位数の新旧対照表 '!D33,"")</f>
        <v>0</v>
      </c>
      <c r="E38" s="75"/>
      <c r="F38" s="75"/>
      <c r="G38" s="75"/>
    </row>
    <row r="39" spans="2:7" s="253" customFormat="1" ht="19.5" thickBot="1" x14ac:dyDescent="0.2">
      <c r="B39" s="496"/>
      <c r="C39" s="104">
        <f>IF(OR('05（様式４）単位数の新旧対照表 '!C34="",'01（学校名入力）'!$D$5="４号"),
'05（様式４）単位数の新旧対照表 '!C34,"")</f>
        <v>0</v>
      </c>
      <c r="D39" s="105">
        <f>IF(OR('05（様式４）単位数の新旧対照表 '!D34="",'01（学校名入力）'!$D$5="４号"),
'05（様式４）単位数の新旧対照表 '!D34,"")</f>
        <v>0</v>
      </c>
      <c r="E39" s="75"/>
      <c r="F39" s="75"/>
      <c r="G39" s="75"/>
    </row>
    <row r="40" spans="2:7" s="253" customFormat="1" ht="19.5" thickBot="1" x14ac:dyDescent="0.2">
      <c r="B40" s="496"/>
      <c r="C40" s="104">
        <f>IF(OR('05（様式４）単位数の新旧対照表 '!C35="",'01（学校名入力）'!$D$5="４号"),
'05（様式４）単位数の新旧対照表 '!C35,"")</f>
        <v>0</v>
      </c>
      <c r="D40" s="105">
        <f>IF(OR('05（様式４）単位数の新旧対照表 '!D35="",'01（学校名入力）'!$D$5="４号"),
'05（様式４）単位数の新旧対照表 '!D35,"")</f>
        <v>0</v>
      </c>
      <c r="E40" s="75"/>
      <c r="F40" s="75"/>
      <c r="G40" s="75"/>
    </row>
    <row r="41" spans="2:7" s="280" customFormat="1" ht="19.5" thickBot="1" x14ac:dyDescent="0.2">
      <c r="B41" s="496"/>
      <c r="C41" s="104">
        <f>IF(OR('05（様式４）単位数の新旧対照表 '!C36="",'01（学校名入力）'!$D$5="４号"),
'05（様式４）単位数の新旧対照表 '!C36,"")</f>
        <v>0</v>
      </c>
      <c r="D41" s="105">
        <f>IF(OR('05（様式４）単位数の新旧対照表 '!D36="",'01（学校名入力）'!$D$5="４号"),
'05（様式４）単位数の新旧対照表 '!D36,"")</f>
        <v>0</v>
      </c>
      <c r="E41" s="75"/>
      <c r="F41" s="75"/>
      <c r="G41" s="75"/>
    </row>
    <row r="42" spans="2:7" s="280" customFormat="1" ht="19.5" thickBot="1" x14ac:dyDescent="0.2">
      <c r="B42" s="496"/>
      <c r="C42" s="104">
        <f>IF(OR('05（様式４）単位数の新旧対照表 '!C37="",'01（学校名入力）'!$D$5="４号"),
'05（様式４）単位数の新旧対照表 '!C37,"")</f>
        <v>0</v>
      </c>
      <c r="D42" s="105">
        <f>IF(OR('05（様式４）単位数の新旧対照表 '!D37="",'01（学校名入力）'!$D$5="４号"),
'05（様式４）単位数の新旧対照表 '!D37,"")</f>
        <v>0</v>
      </c>
      <c r="E42" s="75"/>
      <c r="F42" s="75"/>
      <c r="G42" s="75"/>
    </row>
    <row r="43" spans="2:7" ht="19.5" thickBot="1" x14ac:dyDescent="0.2">
      <c r="B43" s="497"/>
      <c r="C43" s="104">
        <f>IF(OR('05（様式４）単位数の新旧対照表 '!C38="",'01（学校名入力）'!$D$5="４号"),
'05（様式４）単位数の新旧対照表 '!C38,"")</f>
        <v>0</v>
      </c>
      <c r="D43" s="105">
        <f>IF(OR('05（様式４）単位数の新旧対照表 '!D38="",'01（学校名入力）'!$D$5="４号"),
'05（様式４）単位数の新旧対照表 '!D38,"")</f>
        <v>0</v>
      </c>
      <c r="E43" s="75"/>
      <c r="F43" s="75"/>
      <c r="G43" s="75"/>
    </row>
    <row r="44" spans="2:7" ht="19.5" thickBot="1" x14ac:dyDescent="0.2">
      <c r="B44" s="479" t="s">
        <v>8</v>
      </c>
      <c r="C44" s="104">
        <f>IF(OR('05（様式４）単位数の新旧対照表 '!C39="",'01（学校名入力）'!$D$5="４号"),
'05（様式４）単位数の新旧対照表 '!C39,"")</f>
        <v>0</v>
      </c>
      <c r="D44" s="105">
        <f>IF(OR('05（様式４）単位数の新旧対照表 '!D39="",'01（学校名入力）'!$D$5="４号"),
'05（様式４）単位数の新旧対照表 '!D39,"")</f>
        <v>0</v>
      </c>
      <c r="E44" s="75"/>
      <c r="F44" s="75"/>
      <c r="G44" s="75"/>
    </row>
    <row r="45" spans="2:7" ht="19.5" thickBot="1" x14ac:dyDescent="0.2">
      <c r="B45" s="498"/>
      <c r="C45" s="104">
        <f>IF(OR('05（様式４）単位数の新旧対照表 '!C40="",'01（学校名入力）'!$D$5="４号"),
'05（様式４）単位数の新旧対照表 '!C40,"")</f>
        <v>0</v>
      </c>
      <c r="D45" s="105">
        <f>IF(OR('05（様式４）単位数の新旧対照表 '!D40="",'01（学校名入力）'!$D$5="４号"),
'05（様式４）単位数の新旧対照表 '!D40,"")</f>
        <v>0</v>
      </c>
      <c r="E45" s="75"/>
      <c r="F45" s="75"/>
      <c r="G45" s="75"/>
    </row>
    <row r="46" spans="2:7" s="246" customFormat="1" ht="19.5" thickBot="1" x14ac:dyDescent="0.2">
      <c r="B46" s="498"/>
      <c r="C46" s="104">
        <f>IF(OR('05（様式４）単位数の新旧対照表 '!C41="",'01（学校名入力）'!$D$5="４号"),
'05（様式４）単位数の新旧対照表 '!C41,"")</f>
        <v>0</v>
      </c>
      <c r="D46" s="105">
        <f>IF(OR('05（様式４）単位数の新旧対照表 '!D41="",'01（学校名入力）'!$D$5="４号"),
'05（様式４）単位数の新旧対照表 '!D41,"")</f>
        <v>0</v>
      </c>
      <c r="E46" s="75"/>
      <c r="F46" s="75"/>
      <c r="G46" s="75"/>
    </row>
    <row r="47" spans="2:7" s="253" customFormat="1" ht="19.5" thickBot="1" x14ac:dyDescent="0.2">
      <c r="B47" s="498"/>
      <c r="C47" s="104">
        <f>IF(OR('05（様式４）単位数の新旧対照表 '!C42="",'01（学校名入力）'!$D$5="４号"),
'05（様式４）単位数の新旧対照表 '!C42,"")</f>
        <v>0</v>
      </c>
      <c r="D47" s="105">
        <f>IF(OR('05（様式４）単位数の新旧対照表 '!D42="",'01（学校名入力）'!$D$5="４号"),
'05（様式４）単位数の新旧対照表 '!D42,"")</f>
        <v>0</v>
      </c>
      <c r="E47" s="75"/>
      <c r="F47" s="75"/>
      <c r="G47" s="75"/>
    </row>
    <row r="48" spans="2:7" s="253" customFormat="1" ht="19.5" thickBot="1" x14ac:dyDescent="0.2">
      <c r="B48" s="498"/>
      <c r="C48" s="104">
        <f>IF(OR('05（様式４）単位数の新旧対照表 '!C43="",'01（学校名入力）'!$D$5="４号"),
'05（様式４）単位数の新旧対照表 '!C43,"")</f>
        <v>0</v>
      </c>
      <c r="D48" s="105">
        <f>IF(OR('05（様式４）単位数の新旧対照表 '!D43="",'01（学校名入力）'!$D$5="４号"),
'05（様式４）単位数の新旧対照表 '!D43,"")</f>
        <v>0</v>
      </c>
      <c r="E48" s="75"/>
      <c r="F48" s="75"/>
      <c r="G48" s="75"/>
    </row>
    <row r="49" spans="2:7" s="253" customFormat="1" ht="19.5" thickBot="1" x14ac:dyDescent="0.2">
      <c r="B49" s="498"/>
      <c r="C49" s="104">
        <f>IF(OR('05（様式４）単位数の新旧対照表 '!C44="",'01（学校名入力）'!$D$5="４号"),
'05（様式４）単位数の新旧対照表 '!C44,"")</f>
        <v>0</v>
      </c>
      <c r="D49" s="105">
        <f>IF(OR('05（様式４）単位数の新旧対照表 '!D44="",'01（学校名入力）'!$D$5="４号"),
'05（様式４）単位数の新旧対照表 '!D44,"")</f>
        <v>0</v>
      </c>
      <c r="E49" s="75"/>
      <c r="F49" s="75"/>
      <c r="G49" s="75"/>
    </row>
    <row r="50" spans="2:7" s="253" customFormat="1" ht="19.5" thickBot="1" x14ac:dyDescent="0.2">
      <c r="B50" s="498"/>
      <c r="C50" s="104">
        <f>IF(OR('05（様式４）単位数の新旧対照表 '!C45="",'01（学校名入力）'!$D$5="４号"),
'05（様式４）単位数の新旧対照表 '!C45,"")</f>
        <v>0</v>
      </c>
      <c r="D50" s="105">
        <f>IF(OR('05（様式４）単位数の新旧対照表 '!D45="",'01（学校名入力）'!$D$5="４号"),
'05（様式４）単位数の新旧対照表 '!D45,"")</f>
        <v>0</v>
      </c>
      <c r="E50" s="75"/>
      <c r="F50" s="75"/>
      <c r="G50" s="75"/>
    </row>
    <row r="51" spans="2:7" ht="19.5" thickBot="1" x14ac:dyDescent="0.2">
      <c r="B51" s="499"/>
      <c r="C51" s="104">
        <f>IF(OR('05（様式４）単位数の新旧対照表 '!C46="",'01（学校名入力）'!$D$5="４号"),
'05（様式４）単位数の新旧対照表 '!C46,"")</f>
        <v>0</v>
      </c>
      <c r="D51" s="105">
        <f>IF(OR('05（様式４）単位数の新旧対照表 '!D46="",'01（学校名入力）'!$D$5="４号"),
'05（様式４）単位数の新旧対照表 '!D46,"")</f>
        <v>0</v>
      </c>
      <c r="E51" s="75"/>
      <c r="F51" s="75"/>
      <c r="G51" s="75"/>
    </row>
    <row r="52" spans="2:7" ht="19.5" thickBot="1" x14ac:dyDescent="0.2">
      <c r="B52" s="479" t="s">
        <v>9</v>
      </c>
      <c r="C52" s="104">
        <f>IF(OR('05（様式４）単位数の新旧対照表 '!C47="",'01（学校名入力）'!$D$5="４号"),
'05（様式４）単位数の新旧対照表 '!C47,"")</f>
        <v>0</v>
      </c>
      <c r="D52" s="105">
        <f>IF(OR('05（様式４）単位数の新旧対照表 '!D47="",'01（学校名入力）'!$D$5="４号"),
'05（様式４）単位数の新旧対照表 '!D47,"")</f>
        <v>0</v>
      </c>
      <c r="E52" s="75"/>
      <c r="F52" s="75"/>
      <c r="G52" s="75"/>
    </row>
    <row r="53" spans="2:7" ht="19.5" thickBot="1" x14ac:dyDescent="0.2">
      <c r="B53" s="480"/>
      <c r="C53" s="104">
        <f>IF(OR('05（様式４）単位数の新旧対照表 '!C48="",'01（学校名入力）'!$D$5="４号"),
'05（様式４）単位数の新旧対照表 '!C48,"")</f>
        <v>0</v>
      </c>
      <c r="D53" s="105">
        <f>IF(OR('05（様式４）単位数の新旧対照表 '!D48="",'01（学校名入力）'!$D$5="４号"),
'05（様式４）単位数の新旧対照表 '!D48,"")</f>
        <v>0</v>
      </c>
      <c r="E53" s="75"/>
      <c r="F53" s="75"/>
      <c r="G53" s="75"/>
    </row>
    <row r="54" spans="2:7" s="246" customFormat="1" ht="19.5" thickBot="1" x14ac:dyDescent="0.2">
      <c r="B54" s="480"/>
      <c r="C54" s="104">
        <f>IF(OR('05（様式４）単位数の新旧対照表 '!C49="",'01（学校名入力）'!$D$5="４号"),
'05（様式４）単位数の新旧対照表 '!C49,"")</f>
        <v>0</v>
      </c>
      <c r="D54" s="105">
        <f>IF(OR('05（様式４）単位数の新旧対照表 '!D49="",'01（学校名入力）'!$D$5="４号"),
'05（様式４）単位数の新旧対照表 '!D49,"")</f>
        <v>0</v>
      </c>
      <c r="E54" s="75"/>
      <c r="F54" s="75"/>
      <c r="G54" s="75"/>
    </row>
    <row r="55" spans="2:7" s="253" customFormat="1" ht="19.5" thickBot="1" x14ac:dyDescent="0.2">
      <c r="B55" s="480"/>
      <c r="C55" s="104">
        <f>IF(OR('05（様式４）単位数の新旧対照表 '!C50="",'01（学校名入力）'!$D$5="４号"),
'05（様式４）単位数の新旧対照表 '!C50,"")</f>
        <v>0</v>
      </c>
      <c r="D55" s="105">
        <f>IF(OR('05（様式４）単位数の新旧対照表 '!D50="",'01（学校名入力）'!$D$5="４号"),
'05（様式４）単位数の新旧対照表 '!D50,"")</f>
        <v>0</v>
      </c>
      <c r="E55" s="75"/>
      <c r="F55" s="75"/>
      <c r="G55" s="75"/>
    </row>
    <row r="56" spans="2:7" s="253" customFormat="1" ht="19.5" thickBot="1" x14ac:dyDescent="0.2">
      <c r="B56" s="480"/>
      <c r="C56" s="104">
        <f>IF(OR('05（様式４）単位数の新旧対照表 '!C51="",'01（学校名入力）'!$D$5="４号"),
'05（様式４）単位数の新旧対照表 '!C51,"")</f>
        <v>0</v>
      </c>
      <c r="D56" s="105">
        <f>IF(OR('05（様式４）単位数の新旧対照表 '!D51="",'01（学校名入力）'!$D$5="４号"),
'05（様式４）単位数の新旧対照表 '!D51,"")</f>
        <v>0</v>
      </c>
      <c r="E56" s="75"/>
      <c r="F56" s="75"/>
      <c r="G56" s="75"/>
    </row>
    <row r="57" spans="2:7" s="253" customFormat="1" ht="19.5" thickBot="1" x14ac:dyDescent="0.2">
      <c r="B57" s="480"/>
      <c r="C57" s="104">
        <f>IF(OR('05（様式４）単位数の新旧対照表 '!C52="",'01（学校名入力）'!$D$5="４号"),
'05（様式４）単位数の新旧対照表 '!C52,"")</f>
        <v>0</v>
      </c>
      <c r="D57" s="105">
        <f>IF(OR('05（様式４）単位数の新旧対照表 '!D52="",'01（学校名入力）'!$D$5="４号"),
'05（様式４）単位数の新旧対照表 '!D52,"")</f>
        <v>0</v>
      </c>
      <c r="E57" s="75"/>
      <c r="F57" s="75"/>
      <c r="G57" s="75"/>
    </row>
    <row r="58" spans="2:7" ht="19.5" thickBot="1" x14ac:dyDescent="0.2">
      <c r="B58" s="480"/>
      <c r="C58" s="104">
        <f>IF(OR('05（様式４）単位数の新旧対照表 '!C53="",'01（学校名入力）'!$D$5="４号"),
'05（様式４）単位数の新旧対照表 '!C53,"")</f>
        <v>0</v>
      </c>
      <c r="D58" s="105">
        <f>IF(OR('05（様式４）単位数の新旧対照表 '!D53="",'01（学校名入力）'!$D$5="４号"),
'05（様式４）単位数の新旧対照表 '!D53,"")</f>
        <v>0</v>
      </c>
      <c r="E58" s="75"/>
      <c r="F58" s="75"/>
      <c r="G58" s="75"/>
    </row>
    <row r="59" spans="2:7" ht="19.5" thickBot="1" x14ac:dyDescent="0.2">
      <c r="B59" s="481"/>
      <c r="C59" s="104">
        <f>IF(OR('05（様式４）単位数の新旧対照表 '!C54="",'01（学校名入力）'!$D$5="４号"),
'05（様式４）単位数の新旧対照表 '!C54,"")</f>
        <v>0</v>
      </c>
      <c r="D59" s="105">
        <f>IF(OR('05（様式４）単位数の新旧対照表 '!D54="",'01（学校名入力）'!$D$5="４号"),
'05（様式４）単位数の新旧対照表 '!D54,"")</f>
        <v>0</v>
      </c>
      <c r="E59" s="75"/>
      <c r="F59" s="75"/>
      <c r="G59" s="75"/>
    </row>
    <row r="60" spans="2:7" ht="19.5" thickBot="1" x14ac:dyDescent="0.2">
      <c r="B60" s="479" t="s">
        <v>10</v>
      </c>
      <c r="C60" s="104">
        <f>IF(OR('05（様式４）単位数の新旧対照表 '!C55="",'01（学校名入力）'!$D$5="４号"),
'05（様式４）単位数の新旧対照表 '!C55,"")</f>
        <v>0</v>
      </c>
      <c r="D60" s="105">
        <f>IF(OR('05（様式４）単位数の新旧対照表 '!D55="",'01（学校名入力）'!$D$5="４号"),
'05（様式４）単位数の新旧対照表 '!D55,"")</f>
        <v>0</v>
      </c>
      <c r="E60" s="75"/>
      <c r="F60" s="75"/>
      <c r="G60" s="75"/>
    </row>
    <row r="61" spans="2:7" ht="19.5" thickBot="1" x14ac:dyDescent="0.2">
      <c r="B61" s="480"/>
      <c r="C61" s="104">
        <f>IF(OR('05（様式４）単位数の新旧対照表 '!C56="",'01（学校名入力）'!$D$5="４号"),
'05（様式４）単位数の新旧対照表 '!C56,"")</f>
        <v>0</v>
      </c>
      <c r="D61" s="105">
        <f>IF(OR('05（様式４）単位数の新旧対照表 '!D56="",'01（学校名入力）'!$D$5="４号"),
'05（様式４）単位数の新旧対照表 '!D56,"")</f>
        <v>0</v>
      </c>
      <c r="E61" s="75"/>
      <c r="F61" s="75"/>
      <c r="G61" s="75"/>
    </row>
    <row r="62" spans="2:7" ht="19.5" thickBot="1" x14ac:dyDescent="0.2">
      <c r="B62" s="480"/>
      <c r="C62" s="104">
        <f>IF(OR('05（様式４）単位数の新旧対照表 '!C57="",'01（学校名入力）'!$D$5="４号"),
'05（様式４）単位数の新旧対照表 '!C57,"")</f>
        <v>0</v>
      </c>
      <c r="D62" s="105">
        <f>IF(OR('05（様式４）単位数の新旧対照表 '!D57="",'01（学校名入力）'!$D$5="４号"),
'05（様式４）単位数の新旧対照表 '!D57,"")</f>
        <v>0</v>
      </c>
      <c r="E62" s="75"/>
      <c r="F62" s="75"/>
      <c r="G62" s="75"/>
    </row>
    <row r="63" spans="2:7" s="222" customFormat="1" ht="19.5" thickBot="1" x14ac:dyDescent="0.2">
      <c r="B63" s="480"/>
      <c r="C63" s="104">
        <f>IF(OR('05（様式４）単位数の新旧対照表 '!C58="",'01（学校名入力）'!$D$5="４号"),
'05（様式４）単位数の新旧対照表 '!C58,"")</f>
        <v>0</v>
      </c>
      <c r="D63" s="105">
        <f>IF(OR('05（様式４）単位数の新旧対照表 '!D58="",'01（学校名入力）'!$D$5="４号"),
'05（様式４）単位数の新旧対照表 '!D58,"")</f>
        <v>0</v>
      </c>
      <c r="E63" s="75"/>
      <c r="F63" s="75"/>
      <c r="G63" s="75"/>
    </row>
    <row r="64" spans="2:7" s="253" customFormat="1" ht="19.5" thickBot="1" x14ac:dyDescent="0.2">
      <c r="B64" s="480"/>
      <c r="C64" s="104">
        <f>IF(OR('05（様式４）単位数の新旧対照表 '!C59="",'01（学校名入力）'!$D$5="４号"),
'05（様式４）単位数の新旧対照表 '!C59,"")</f>
        <v>0</v>
      </c>
      <c r="D64" s="105">
        <f>IF(OR('05（様式４）単位数の新旧対照表 '!D59="",'01（学校名入力）'!$D$5="４号"),
'05（様式４）単位数の新旧対照表 '!D59,"")</f>
        <v>0</v>
      </c>
      <c r="E64" s="75"/>
      <c r="F64" s="75"/>
      <c r="G64" s="75"/>
    </row>
    <row r="65" spans="2:7" s="253" customFormat="1" ht="19.5" thickBot="1" x14ac:dyDescent="0.2">
      <c r="B65" s="480"/>
      <c r="C65" s="104">
        <f>IF(OR('05（様式４）単位数の新旧対照表 '!C60="",'01（学校名入力）'!$D$5="４号"),
'05（様式４）単位数の新旧対照表 '!C60,"")</f>
        <v>0</v>
      </c>
      <c r="D65" s="105">
        <f>IF(OR('05（様式４）単位数の新旧対照表 '!D60="",'01（学校名入力）'!$D$5="４号"),
'05（様式４）単位数の新旧対照表 '!D60,"")</f>
        <v>0</v>
      </c>
      <c r="E65" s="75"/>
      <c r="F65" s="75"/>
      <c r="G65" s="75"/>
    </row>
    <row r="66" spans="2:7" s="222" customFormat="1" ht="19.5" thickBot="1" x14ac:dyDescent="0.2">
      <c r="B66" s="480"/>
      <c r="C66" s="104">
        <f>IF(OR('05（様式４）単位数の新旧対照表 '!C61="",'01（学校名入力）'!$D$5="４号"),
'05（様式４）単位数の新旧対照表 '!C61,"")</f>
        <v>0</v>
      </c>
      <c r="D66" s="105">
        <f>IF(OR('05（様式４）単位数の新旧対照表 '!D61="",'01（学校名入力）'!$D$5="４号"),
'05（様式４）単位数の新旧対照表 '!D61,"")</f>
        <v>0</v>
      </c>
      <c r="E66" s="75"/>
      <c r="F66" s="75"/>
      <c r="G66" s="75"/>
    </row>
    <row r="67" spans="2:7" ht="19.5" thickBot="1" x14ac:dyDescent="0.2">
      <c r="B67" s="481"/>
      <c r="C67" s="104">
        <f>IF(OR('05（様式４）単位数の新旧対照表 '!C62="",'01（学校名入力）'!$D$5="４号"),
'05（様式４）単位数の新旧対照表 '!C62,"")</f>
        <v>0</v>
      </c>
      <c r="D67" s="105">
        <f>IF(OR('05（様式４）単位数の新旧対照表 '!D62="",'01（学校名入力）'!$D$5="４号"),
'05（様式４）単位数の新旧対照表 '!D62,"")</f>
        <v>0</v>
      </c>
      <c r="E67" s="75"/>
      <c r="F67" s="75"/>
      <c r="G67" s="75"/>
    </row>
    <row r="68" spans="2:7" ht="19.5" thickBot="1" x14ac:dyDescent="0.2">
      <c r="B68" s="479" t="s">
        <v>11</v>
      </c>
      <c r="C68" s="104">
        <f>IF(OR('05（様式４）単位数の新旧対照表 '!C63="",'01（学校名入力）'!$D$5="４号"),
'05（様式４）単位数の新旧対照表 '!C63,"")</f>
        <v>0</v>
      </c>
      <c r="D68" s="105">
        <f>IF(OR('05（様式４）単位数の新旧対照表 '!D63="",'01（学校名入力）'!$D$5="４号"),
'05（様式４）単位数の新旧対照表 '!D63,"")</f>
        <v>0</v>
      </c>
      <c r="E68" s="75"/>
      <c r="F68" s="75"/>
      <c r="G68" s="75"/>
    </row>
    <row r="69" spans="2:7" ht="19.5" thickBot="1" x14ac:dyDescent="0.2">
      <c r="B69" s="480"/>
      <c r="C69" s="104">
        <f>IF(OR('05（様式４）単位数の新旧対照表 '!C64="",'01（学校名入力）'!$D$5="４号"),
'05（様式４）単位数の新旧対照表 '!C64,"")</f>
        <v>0</v>
      </c>
      <c r="D69" s="105">
        <f>IF(OR('05（様式４）単位数の新旧対照表 '!D64="",'01（学校名入力）'!$D$5="４号"),
'05（様式４）単位数の新旧対照表 '!D64,"")</f>
        <v>0</v>
      </c>
      <c r="E69" s="75"/>
      <c r="F69" s="75"/>
      <c r="G69" s="75"/>
    </row>
    <row r="70" spans="2:7" s="253" customFormat="1" ht="19.5" thickBot="1" x14ac:dyDescent="0.2">
      <c r="B70" s="480"/>
      <c r="C70" s="104">
        <f>IF(OR('05（様式４）単位数の新旧対照表 '!C65="",'01（学校名入力）'!$D$5="４号"),
'05（様式４）単位数の新旧対照表 '!C65,"")</f>
        <v>0</v>
      </c>
      <c r="D70" s="105">
        <f>IF(OR('05（様式４）単位数の新旧対照表 '!D65="",'01（学校名入力）'!$D$5="４号"),
'05（様式４）単位数の新旧対照表 '!D65,"")</f>
        <v>0</v>
      </c>
      <c r="E70" s="75"/>
      <c r="F70" s="75"/>
      <c r="G70" s="75"/>
    </row>
    <row r="71" spans="2:7" s="253" customFormat="1" ht="19.5" thickBot="1" x14ac:dyDescent="0.2">
      <c r="B71" s="480"/>
      <c r="C71" s="104">
        <f>IF(OR('05（様式４）単位数の新旧対照表 '!C66="",'01（学校名入力）'!$D$5="４号"),
'05（様式４）単位数の新旧対照表 '!C66,"")</f>
        <v>0</v>
      </c>
      <c r="D71" s="105">
        <f>IF(OR('05（様式４）単位数の新旧対照表 '!D66="",'01（学校名入力）'!$D$5="４号"),
'05（様式４）単位数の新旧対照表 '!D66,"")</f>
        <v>0</v>
      </c>
      <c r="E71" s="75"/>
      <c r="F71" s="75"/>
      <c r="G71" s="75"/>
    </row>
    <row r="72" spans="2:7" ht="19.5" thickBot="1" x14ac:dyDescent="0.2">
      <c r="B72" s="480"/>
      <c r="C72" s="104">
        <f>IF(OR('05（様式４）単位数の新旧対照表 '!C67="",'01（学校名入力）'!$D$5="４号"),
'05（様式４）単位数の新旧対照表 '!C67,"")</f>
        <v>0</v>
      </c>
      <c r="D72" s="105">
        <f>IF(OR('05（様式４）単位数の新旧対照表 '!D67="",'01（学校名入力）'!$D$5="４号"),
'05（様式４）単位数の新旧対照表 '!D67,"")</f>
        <v>0</v>
      </c>
      <c r="E72" s="75"/>
      <c r="F72" s="75"/>
      <c r="G72" s="75"/>
    </row>
    <row r="73" spans="2:7" s="253" customFormat="1" ht="19.5" thickBot="1" x14ac:dyDescent="0.2">
      <c r="B73" s="480"/>
      <c r="C73" s="104">
        <f>IF(OR('05（様式４）単位数の新旧対照表 '!C68="",'01（学校名入力）'!$D$5="４号"),
'05（様式４）単位数の新旧対照表 '!C68,"")</f>
        <v>0</v>
      </c>
      <c r="D73" s="105">
        <f>IF(OR('05（様式４）単位数の新旧対照表 '!D68="",'01（学校名入力）'!$D$5="４号"),
'05（様式４）単位数の新旧対照表 '!D68,"")</f>
        <v>0</v>
      </c>
      <c r="E73" s="75"/>
      <c r="F73" s="75"/>
      <c r="G73" s="75"/>
    </row>
    <row r="74" spans="2:7" s="108" customFormat="1" ht="19.5" thickBot="1" x14ac:dyDescent="0.2">
      <c r="B74" s="480"/>
      <c r="C74" s="104">
        <f>IF(OR('05（様式４）単位数の新旧対照表 '!C69="",'01（学校名入力）'!$D$5="４号"),
'05（様式４）単位数の新旧対照表 '!C69,"")</f>
        <v>0</v>
      </c>
      <c r="D74" s="105">
        <f>IF(OR('05（様式４）単位数の新旧対照表 '!D69="",'01（学校名入力）'!$D$5="４号"),
'05（様式４）単位数の新旧対照表 '!D69,"")</f>
        <v>0</v>
      </c>
      <c r="E74" s="75"/>
      <c r="F74" s="75"/>
      <c r="G74" s="75"/>
    </row>
    <row r="75" spans="2:7" ht="19.5" thickBot="1" x14ac:dyDescent="0.2">
      <c r="B75" s="481"/>
      <c r="C75" s="104">
        <f>IF(OR('05（様式４）単位数の新旧対照表 '!C70="",'01（学校名入力）'!$D$5="４号"),
'05（様式４）単位数の新旧対照表 '!C70,"")</f>
        <v>0</v>
      </c>
      <c r="D75" s="105">
        <f>IF(OR('05（様式４）単位数の新旧対照表 '!D70="",'01（学校名入力）'!$D$5="４号"),
'05（様式４）単位数の新旧対照表 '!D70,"")</f>
        <v>0</v>
      </c>
      <c r="E75" s="75"/>
      <c r="F75" s="75"/>
      <c r="G75" s="75"/>
    </row>
    <row r="76" spans="2:7" ht="19.5" thickBot="1" x14ac:dyDescent="0.2">
      <c r="B76" s="479" t="s">
        <v>12</v>
      </c>
      <c r="C76" s="104">
        <f>IF(OR('05（様式４）単位数の新旧対照表 '!C71="",'01（学校名入力）'!$D$5="４号"),
'05（様式４）単位数の新旧対照表 '!C71,"")</f>
        <v>0</v>
      </c>
      <c r="D76" s="105">
        <f>IF(OR('05（様式４）単位数の新旧対照表 '!D71="",'01（学校名入力）'!$D$5="４号"),
'05（様式４）単位数の新旧対照表 '!D71,"")</f>
        <v>0</v>
      </c>
      <c r="E76" s="75"/>
      <c r="F76" s="75"/>
      <c r="G76" s="75"/>
    </row>
    <row r="77" spans="2:7" ht="19.5" thickBot="1" x14ac:dyDescent="0.2">
      <c r="B77" s="480"/>
      <c r="C77" s="104">
        <f>IF(OR('05（様式４）単位数の新旧対照表 '!C72="",'01（学校名入力）'!$D$5="４号"),
'05（様式４）単位数の新旧対照表 '!C72,"")</f>
        <v>0</v>
      </c>
      <c r="D77" s="105">
        <f>IF(OR('05（様式４）単位数の新旧対照表 '!D72="",'01（学校名入力）'!$D$5="４号"),
'05（様式４）単位数の新旧対照表 '!D72,"")</f>
        <v>0</v>
      </c>
      <c r="E77" s="75"/>
      <c r="F77" s="75"/>
      <c r="G77" s="75"/>
    </row>
    <row r="78" spans="2:7" ht="19.5" thickBot="1" x14ac:dyDescent="0.2">
      <c r="B78" s="480"/>
      <c r="C78" s="104">
        <f>IF(OR('05（様式４）単位数の新旧対照表 '!C73="",'01（学校名入力）'!$D$5="４号"),
'05（様式４）単位数の新旧対照表 '!C73,"")</f>
        <v>0</v>
      </c>
      <c r="D78" s="105">
        <f>IF(OR('05（様式４）単位数の新旧対照表 '!D73="",'01（学校名入力）'!$D$5="４号"),
'05（様式４）単位数の新旧対照表 '!D73,"")</f>
        <v>0</v>
      </c>
      <c r="E78" s="75"/>
      <c r="F78" s="75"/>
      <c r="G78" s="75"/>
    </row>
    <row r="79" spans="2:7" s="253" customFormat="1" ht="19.5" thickBot="1" x14ac:dyDescent="0.2">
      <c r="B79" s="480"/>
      <c r="C79" s="104">
        <f>IF(OR('05（様式４）単位数の新旧対照表 '!C74="",'01（学校名入力）'!$D$5="４号"),
'05（様式４）単位数の新旧対照表 '!C74,"")</f>
        <v>0</v>
      </c>
      <c r="D79" s="105">
        <f>IF(OR('05（様式４）単位数の新旧対照表 '!D74="",'01（学校名入力）'!$D$5="４号"),
'05（様式４）単位数の新旧対照表 '!D74,"")</f>
        <v>0</v>
      </c>
      <c r="E79" s="75"/>
      <c r="F79" s="75"/>
      <c r="G79" s="75"/>
    </row>
    <row r="80" spans="2:7" s="253" customFormat="1" ht="19.5" thickBot="1" x14ac:dyDescent="0.2">
      <c r="B80" s="480"/>
      <c r="C80" s="104">
        <f>IF(OR('05（様式４）単位数の新旧対照表 '!C75="",'01（学校名入力）'!$D$5="４号"),
'05（様式４）単位数の新旧対照表 '!C75,"")</f>
        <v>0</v>
      </c>
      <c r="D80" s="105">
        <f>IF(OR('05（様式４）単位数の新旧対照表 '!D75="",'01（学校名入力）'!$D$5="４号"),
'05（様式４）単位数の新旧対照表 '!D75,"")</f>
        <v>0</v>
      </c>
      <c r="E80" s="75"/>
      <c r="F80" s="75"/>
      <c r="G80" s="75"/>
    </row>
    <row r="81" spans="2:7" ht="19.5" thickBot="1" x14ac:dyDescent="0.2">
      <c r="B81" s="481"/>
      <c r="C81" s="104">
        <f>IF(OR('05（様式４）単位数の新旧対照表 '!C76="",'01（学校名入力）'!$D$5="４号"),
'05（様式４）単位数の新旧対照表 '!C76,"")</f>
        <v>0</v>
      </c>
      <c r="D81" s="105">
        <f>IF(OR('05（様式４）単位数の新旧対照表 '!D76="",'01（学校名入力）'!$D$5="４号"),
'05（様式４）単位数の新旧対照表 '!D76,"")</f>
        <v>0</v>
      </c>
      <c r="E81" s="75"/>
      <c r="F81" s="75"/>
      <c r="G81" s="75"/>
    </row>
    <row r="82" spans="2:7" ht="19.5" thickBot="1" x14ac:dyDescent="0.2">
      <c r="B82" s="479" t="s">
        <v>14</v>
      </c>
      <c r="C82" s="104">
        <f>IF(OR('05（様式４）単位数の新旧対照表 '!C77="",'01（学校名入力）'!$D$5="４号"),
'05（様式４）単位数の新旧対照表 '!C77,"")</f>
        <v>0</v>
      </c>
      <c r="D82" s="105">
        <f>IF(OR('05（様式４）単位数の新旧対照表 '!D77="",'01（学校名入力）'!$D$5="４号"),
'05（様式４）単位数の新旧対照表 '!D77,"")</f>
        <v>0</v>
      </c>
      <c r="E82" s="75"/>
      <c r="F82" s="75"/>
      <c r="G82" s="75"/>
    </row>
    <row r="83" spans="2:7" ht="19.5" thickBot="1" x14ac:dyDescent="0.2">
      <c r="B83" s="480"/>
      <c r="C83" s="104">
        <f>IF(OR('05（様式４）単位数の新旧対照表 '!C78="",'01（学校名入力）'!$D$5="４号"),
'05（様式４）単位数の新旧対照表 '!C78,"")</f>
        <v>0</v>
      </c>
      <c r="D83" s="105">
        <f>IF(OR('05（様式４）単位数の新旧対照表 '!D78="",'01（学校名入力）'!$D$5="４号"),
'05（様式４）単位数の新旧対照表 '!D78,"")</f>
        <v>0</v>
      </c>
      <c r="E83" s="75"/>
      <c r="F83" s="75"/>
      <c r="G83" s="75"/>
    </row>
    <row r="84" spans="2:7" s="253" customFormat="1" ht="19.5" thickBot="1" x14ac:dyDescent="0.2">
      <c r="B84" s="480"/>
      <c r="C84" s="104">
        <f>IF(OR('05（様式４）単位数の新旧対照表 '!C79="",'01（学校名入力）'!$D$5="４号"),
'05（様式４）単位数の新旧対照表 '!C79,"")</f>
        <v>0</v>
      </c>
      <c r="D84" s="105">
        <f>IF(OR('05（様式４）単位数の新旧対照表 '!D79="",'01（学校名入力）'!$D$5="４号"),
'05（様式４）単位数の新旧対照表 '!D79,"")</f>
        <v>0</v>
      </c>
      <c r="E84" s="75"/>
      <c r="F84" s="75"/>
      <c r="G84" s="75"/>
    </row>
    <row r="85" spans="2:7" s="253" customFormat="1" ht="19.5" thickBot="1" x14ac:dyDescent="0.2">
      <c r="B85" s="480"/>
      <c r="C85" s="104">
        <f>IF(OR('05（様式４）単位数の新旧対照表 '!C80="",'01（学校名入力）'!$D$5="４号"),
'05（様式４）単位数の新旧対照表 '!C80,"")</f>
        <v>0</v>
      </c>
      <c r="D85" s="105">
        <f>IF(OR('05（様式４）単位数の新旧対照表 '!D80="",'01（学校名入力）'!$D$5="４号"),
'05（様式４）単位数の新旧対照表 '!D80,"")</f>
        <v>0</v>
      </c>
      <c r="E85" s="75"/>
      <c r="F85" s="75"/>
      <c r="G85" s="75"/>
    </row>
    <row r="86" spans="2:7" ht="19.5" thickBot="1" x14ac:dyDescent="0.2">
      <c r="B86" s="480"/>
      <c r="C86" s="104">
        <f>IF(OR('05（様式４）単位数の新旧対照表 '!C81="",'01（学校名入力）'!$D$5="４号"),
'05（様式４）単位数の新旧対照表 '!C81,"")</f>
        <v>0</v>
      </c>
      <c r="D86" s="105">
        <f>IF(OR('05（様式４）単位数の新旧対照表 '!D81="",'01（学校名入力）'!$D$5="４号"),
'05（様式４）単位数の新旧対照表 '!D81,"")</f>
        <v>0</v>
      </c>
      <c r="E86" s="75"/>
      <c r="F86" s="75"/>
      <c r="G86" s="75"/>
    </row>
    <row r="87" spans="2:7" s="280" customFormat="1" ht="19.5" thickBot="1" x14ac:dyDescent="0.2">
      <c r="B87" s="480"/>
      <c r="C87" s="104">
        <f>IF(OR('05（様式４）単位数の新旧対照表 '!C82="",'01（学校名入力）'!$D$5="４号"),
'05（様式４）単位数の新旧対照表 '!C82,"")</f>
        <v>0</v>
      </c>
      <c r="D87" s="105">
        <f>IF(OR('05（様式４）単位数の新旧対照表 '!D82="",'01（学校名入力）'!$D$5="４号"),
'05（様式４）単位数の新旧対照表 '!D82,"")</f>
        <v>0</v>
      </c>
      <c r="E87" s="75"/>
      <c r="F87" s="75"/>
      <c r="G87" s="75"/>
    </row>
    <row r="88" spans="2:7" s="280" customFormat="1" ht="19.5" thickBot="1" x14ac:dyDescent="0.2">
      <c r="B88" s="480"/>
      <c r="C88" s="104">
        <f>IF(OR('05（様式４）単位数の新旧対照表 '!C83="",'01（学校名入力）'!$D$5="４号"),
'05（様式４）単位数の新旧対照表 '!C83,"")</f>
        <v>0</v>
      </c>
      <c r="D88" s="105">
        <f>IF(OR('05（様式４）単位数の新旧対照表 '!D83="",'01（学校名入力）'!$D$5="４号"),
'05（様式４）単位数の新旧対照表 '!D83,"")</f>
        <v>0</v>
      </c>
      <c r="E88" s="75"/>
      <c r="F88" s="75"/>
      <c r="G88" s="75"/>
    </row>
    <row r="89" spans="2:7" ht="19.5" thickBot="1" x14ac:dyDescent="0.2">
      <c r="B89" s="481"/>
      <c r="C89" s="104">
        <f>IF(OR('05（様式４）単位数の新旧対照表 '!C84="",'01（学校名入力）'!$D$5="４号"),
'05（様式４）単位数の新旧対照表 '!C84,"")</f>
        <v>0</v>
      </c>
      <c r="D89" s="105">
        <f>IF(OR('05（様式４）単位数の新旧対照表 '!D84="",'01（学校名入力）'!$D$5="４号"),
'05（様式４）単位数の新旧対照表 '!D84,"")</f>
        <v>0</v>
      </c>
      <c r="E89" s="75"/>
      <c r="F89" s="75"/>
      <c r="G89" s="75"/>
    </row>
    <row r="90" spans="2:7" ht="19.5" thickBot="1" x14ac:dyDescent="0.2">
      <c r="B90" s="479" t="s">
        <v>15</v>
      </c>
      <c r="C90" s="104">
        <f>IF(OR('05（様式４）単位数の新旧対照表 '!C85="",'01（学校名入力）'!$D$5="４号"),
'05（様式４）単位数の新旧対照表 '!C85,"")</f>
        <v>0</v>
      </c>
      <c r="D90" s="105">
        <f>IF(OR('05（様式４）単位数の新旧対照表 '!D85="",'01（学校名入力）'!$D$5="４号"),
'05（様式４）単位数の新旧対照表 '!D85,"")</f>
        <v>0</v>
      </c>
      <c r="E90" s="75"/>
      <c r="F90" s="75"/>
      <c r="G90" s="75"/>
    </row>
    <row r="91" spans="2:7" s="253" customFormat="1" ht="19.5" thickBot="1" x14ac:dyDescent="0.2">
      <c r="B91" s="480"/>
      <c r="C91" s="104">
        <f>IF(OR('05（様式４）単位数の新旧対照表 '!C86="",'01（学校名入力）'!$D$5="４号"),
'05（様式４）単位数の新旧対照表 '!C86,"")</f>
        <v>0</v>
      </c>
      <c r="D91" s="105">
        <f>IF(OR('05（様式４）単位数の新旧対照表 '!D86="",'01（学校名入力）'!$D$5="４号"),
'05（様式４）単位数の新旧対照表 '!D86,"")</f>
        <v>0</v>
      </c>
      <c r="E91" s="75"/>
      <c r="F91" s="75"/>
      <c r="G91" s="75"/>
    </row>
    <row r="92" spans="2:7" s="253" customFormat="1" ht="19.5" thickBot="1" x14ac:dyDescent="0.2">
      <c r="B92" s="480"/>
      <c r="C92" s="104">
        <f>IF(OR('05（様式４）単位数の新旧対照表 '!C87="",'01（学校名入力）'!$D$5="４号"),
'05（様式４）単位数の新旧対照表 '!C87,"")</f>
        <v>0</v>
      </c>
      <c r="D92" s="105">
        <f>IF(OR('05（様式４）単位数の新旧対照表 '!D87="",'01（学校名入力）'!$D$5="４号"),
'05（様式４）単位数の新旧対照表 '!D87,"")</f>
        <v>0</v>
      </c>
      <c r="E92" s="75"/>
      <c r="F92" s="75"/>
      <c r="G92" s="75"/>
    </row>
    <row r="93" spans="2:7" ht="19.5" thickBot="1" x14ac:dyDescent="0.2">
      <c r="B93" s="480"/>
      <c r="C93" s="104">
        <f>IF(OR('05（様式４）単位数の新旧対照表 '!C88="",'01（学校名入力）'!$D$5="４号"),
'05（様式４）単位数の新旧対照表 '!C88,"")</f>
        <v>0</v>
      </c>
      <c r="D93" s="105">
        <f>IF(OR('05（様式４）単位数の新旧対照表 '!D88="",'01（学校名入力）'!$D$5="４号"),
'05（様式４）単位数の新旧対照表 '!D88,"")</f>
        <v>0</v>
      </c>
      <c r="E93" s="75"/>
      <c r="F93" s="75"/>
      <c r="G93" s="75"/>
    </row>
    <row r="94" spans="2:7" ht="19.5" thickBot="1" x14ac:dyDescent="0.2">
      <c r="B94" s="480"/>
      <c r="C94" s="104">
        <f>IF(OR('05（様式４）単位数の新旧対照表 '!C89="",'01（学校名入力）'!$D$5="４号"),
'05（様式４）単位数の新旧対照表 '!C89,"")</f>
        <v>0</v>
      </c>
      <c r="D94" s="105">
        <f>IF(OR('05（様式４）単位数の新旧対照表 '!D89="",'01（学校名入力）'!$D$5="４号"),
'05（様式４）単位数の新旧対照表 '!D89,"")</f>
        <v>0</v>
      </c>
      <c r="E94" s="75"/>
      <c r="F94" s="75"/>
      <c r="G94" s="75"/>
    </row>
    <row r="95" spans="2:7" s="280" customFormat="1" ht="19.5" thickBot="1" x14ac:dyDescent="0.2">
      <c r="B95" s="480"/>
      <c r="C95" s="104">
        <f>IF(OR('05（様式４）単位数の新旧対照表 '!C90="",'01（学校名入力）'!$D$5="４号"),
'05（様式４）単位数の新旧対照表 '!C90,"")</f>
        <v>0</v>
      </c>
      <c r="D95" s="105">
        <f>IF(OR('05（様式４）単位数の新旧対照表 '!D90="",'01（学校名入力）'!$D$5="４号"),
'05（様式４）単位数の新旧対照表 '!D90,"")</f>
        <v>0</v>
      </c>
      <c r="E95" s="75"/>
      <c r="F95" s="75"/>
      <c r="G95" s="75"/>
    </row>
    <row r="96" spans="2:7" s="280" customFormat="1" ht="19.5" thickBot="1" x14ac:dyDescent="0.2">
      <c r="B96" s="480"/>
      <c r="C96" s="104">
        <f>IF(OR('05（様式４）単位数の新旧対照表 '!C91="",'01（学校名入力）'!$D$5="４号"),
'05（様式４）単位数の新旧対照表 '!C91,"")</f>
        <v>0</v>
      </c>
      <c r="D96" s="105">
        <f>IF(OR('05（様式４）単位数の新旧対照表 '!D91="",'01（学校名入力）'!$D$5="４号"),
'05（様式４）単位数の新旧対照表 '!D91,"")</f>
        <v>0</v>
      </c>
      <c r="E96" s="75"/>
      <c r="F96" s="75"/>
      <c r="G96" s="75"/>
    </row>
    <row r="97" spans="2:7" s="280" customFormat="1" ht="19.5" thickBot="1" x14ac:dyDescent="0.2">
      <c r="B97" s="480"/>
      <c r="C97" s="104">
        <f>IF(OR('05（様式４）単位数の新旧対照表 '!C92="",'01（学校名入力）'!$D$5="４号"),
'05（様式４）単位数の新旧対照表 '!C92,"")</f>
        <v>0</v>
      </c>
      <c r="D97" s="105">
        <f>IF(OR('05（様式４）単位数の新旧対照表 '!D92="",'01（学校名入力）'!$D$5="４号"),
'05（様式４）単位数の新旧対照表 '!D92,"")</f>
        <v>0</v>
      </c>
      <c r="E97" s="75"/>
      <c r="F97" s="75"/>
      <c r="G97" s="75"/>
    </row>
    <row r="98" spans="2:7" s="280" customFormat="1" ht="19.5" thickBot="1" x14ac:dyDescent="0.2">
      <c r="B98" s="480"/>
      <c r="C98" s="104">
        <f>IF(OR('05（様式４）単位数の新旧対照表 '!C93="",'01（学校名入力）'!$D$5="４号"),
'05（様式４）単位数の新旧対照表 '!C93,"")</f>
        <v>0</v>
      </c>
      <c r="D98" s="105">
        <f>IF(OR('05（様式４）単位数の新旧対照表 '!D93="",'01（学校名入力）'!$D$5="４号"),
'05（様式４）単位数の新旧対照表 '!D93,"")</f>
        <v>0</v>
      </c>
      <c r="E98" s="75"/>
      <c r="F98" s="75"/>
      <c r="G98" s="75"/>
    </row>
    <row r="99" spans="2:7" ht="19.5" thickBot="1" x14ac:dyDescent="0.2">
      <c r="B99" s="481"/>
      <c r="C99" s="104">
        <f>IF(OR('05（様式４）単位数の新旧対照表 '!C94="",'01（学校名入力）'!$D$5="４号"),
'05（様式４）単位数の新旧対照表 '!C94,"")</f>
        <v>0</v>
      </c>
      <c r="D99" s="105">
        <f>IF(OR('05（様式４）単位数の新旧対照表 '!D94="",'01（学校名入力）'!$D$5="４号"),
'05（様式４）単位数の新旧対照表 '!D94,"")</f>
        <v>0</v>
      </c>
      <c r="E99" s="75"/>
      <c r="F99" s="75"/>
      <c r="G99" s="75"/>
    </row>
    <row r="100" spans="2:7" ht="19.5" thickBot="1" x14ac:dyDescent="0.2">
      <c r="B100" s="479" t="s">
        <v>16</v>
      </c>
      <c r="C100" s="104">
        <f>IF(OR('05（様式４）単位数の新旧対照表 '!C95="",'01（学校名入力）'!$D$5="４号"),
'05（様式４）単位数の新旧対照表 '!C95,"")</f>
        <v>0</v>
      </c>
      <c r="D100" s="105">
        <f>IF(OR('05（様式４）単位数の新旧対照表 '!D95="",'01（学校名入力）'!$D$5="４号"),
'05（様式４）単位数の新旧対照表 '!D95,"")</f>
        <v>0</v>
      </c>
      <c r="E100" s="75"/>
      <c r="F100" s="75"/>
      <c r="G100" s="75"/>
    </row>
    <row r="101" spans="2:7" ht="19.5" thickBot="1" x14ac:dyDescent="0.2">
      <c r="B101" s="480"/>
      <c r="C101" s="104">
        <f>IF(OR('05（様式４）単位数の新旧対照表 '!C96="",'01（学校名入力）'!$D$5="４号"),
'05（様式４）単位数の新旧対照表 '!C96,"")</f>
        <v>0</v>
      </c>
      <c r="D101" s="105">
        <f>IF(OR('05（様式４）単位数の新旧対照表 '!D96="",'01（学校名入力）'!$D$5="４号"),
'05（様式４）単位数の新旧対照表 '!D96,"")</f>
        <v>0</v>
      </c>
      <c r="E101" s="75"/>
      <c r="F101" s="75"/>
      <c r="G101" s="75"/>
    </row>
    <row r="102" spans="2:7" s="253" customFormat="1" ht="19.5" thickBot="1" x14ac:dyDescent="0.2">
      <c r="B102" s="480"/>
      <c r="C102" s="104">
        <f>IF(OR('05（様式４）単位数の新旧対照表 '!C97="",'01（学校名入力）'!$D$5="４号"),
'05（様式４）単位数の新旧対照表 '!C97,"")</f>
        <v>0</v>
      </c>
      <c r="D102" s="105">
        <f>IF(OR('05（様式４）単位数の新旧対照表 '!D97="",'01（学校名入力）'!$D$5="４号"),
'05（様式４）単位数の新旧対照表 '!D97,"")</f>
        <v>0</v>
      </c>
      <c r="E102" s="75"/>
      <c r="F102" s="75"/>
      <c r="G102" s="75"/>
    </row>
    <row r="103" spans="2:7" s="253" customFormat="1" ht="19.5" thickBot="1" x14ac:dyDescent="0.2">
      <c r="B103" s="480"/>
      <c r="C103" s="104">
        <f>IF(OR('05（様式４）単位数の新旧対照表 '!C98="",'01（学校名入力）'!$D$5="４号"),
'05（様式４）単位数の新旧対照表 '!C98,"")</f>
        <v>0</v>
      </c>
      <c r="D103" s="105">
        <f>IF(OR('05（様式４）単位数の新旧対照表 '!D98="",'01（学校名入力）'!$D$5="４号"),
'05（様式４）単位数の新旧対照表 '!D98,"")</f>
        <v>0</v>
      </c>
      <c r="E103" s="75"/>
      <c r="F103" s="75"/>
      <c r="G103" s="75"/>
    </row>
    <row r="104" spans="2:7" ht="19.5" thickBot="1" x14ac:dyDescent="0.2">
      <c r="B104" s="480"/>
      <c r="C104" s="104">
        <f>IF(OR('05（様式４）単位数の新旧対照表 '!C99="",'01（学校名入力）'!$D$5="４号"),
'05（様式４）単位数の新旧対照表 '!C99,"")</f>
        <v>0</v>
      </c>
      <c r="D104" s="105">
        <f>IF(OR('05（様式４）単位数の新旧対照表 '!D99="",'01（学校名入力）'!$D$5="４号"),
'05（様式４）単位数の新旧対照表 '!D99,"")</f>
        <v>0</v>
      </c>
      <c r="E104" s="75"/>
      <c r="F104" s="75"/>
      <c r="G104" s="75"/>
    </row>
    <row r="105" spans="2:7" ht="19.5" thickBot="1" x14ac:dyDescent="0.2">
      <c r="B105" s="481"/>
      <c r="C105" s="104">
        <f>IF(OR('05（様式４）単位数の新旧対照表 '!C100="",'01（学校名入力）'!$D$5="４号"),
'05（様式４）単位数の新旧対照表 '!C100,"")</f>
        <v>0</v>
      </c>
      <c r="D105" s="105">
        <f>IF(OR('05（様式４）単位数の新旧対照表 '!D100="",'01（学校名入力）'!$D$5="４号"),
'05（様式４）単位数の新旧対照表 '!D100,"")</f>
        <v>0</v>
      </c>
      <c r="E105" s="75"/>
      <c r="F105" s="75"/>
      <c r="G105" s="75"/>
    </row>
    <row r="106" spans="2:7" ht="19.5" thickBot="1" x14ac:dyDescent="0.2">
      <c r="B106" s="479" t="s">
        <v>17</v>
      </c>
      <c r="C106" s="104">
        <f>IF(OR('05（様式４）単位数の新旧対照表 '!C101="",'01（学校名入力）'!$D$5="４号"),
'05（様式４）単位数の新旧対照表 '!C101,"")</f>
        <v>0</v>
      </c>
      <c r="D106" s="105">
        <f>IF(OR('05（様式４）単位数の新旧対照表 '!D101="",'01（学校名入力）'!$D$5="４号"),
'05（様式４）単位数の新旧対照表 '!D101,"")</f>
        <v>0</v>
      </c>
      <c r="E106" s="75"/>
      <c r="F106" s="75"/>
      <c r="G106" s="75"/>
    </row>
    <row r="107" spans="2:7" ht="19.5" thickBot="1" x14ac:dyDescent="0.2">
      <c r="B107" s="480"/>
      <c r="C107" s="104">
        <f>IF(OR('05（様式４）単位数の新旧対照表 '!C102="",'01（学校名入力）'!$D$5="４号"),
'05（様式４）単位数の新旧対照表 '!C102,"")</f>
        <v>0</v>
      </c>
      <c r="D107" s="105">
        <f>IF(OR('05（様式４）単位数の新旧対照表 '!D102="",'01（学校名入力）'!$D$5="４号"),
'05（様式４）単位数の新旧対照表 '!D102,"")</f>
        <v>0</v>
      </c>
      <c r="E107" s="75"/>
      <c r="F107" s="75"/>
      <c r="G107" s="75"/>
    </row>
    <row r="108" spans="2:7" s="253" customFormat="1" ht="19.5" thickBot="1" x14ac:dyDescent="0.2">
      <c r="B108" s="480"/>
      <c r="C108" s="104">
        <f>IF(OR('05（様式４）単位数の新旧対照表 '!C103="",'01（学校名入力）'!$D$5="４号"),
'05（様式４）単位数の新旧対照表 '!C103,"")</f>
        <v>0</v>
      </c>
      <c r="D108" s="105">
        <f>IF(OR('05（様式４）単位数の新旧対照表 '!D103="",'01（学校名入力）'!$D$5="４号"),
'05（様式４）単位数の新旧対照表 '!D103,"")</f>
        <v>0</v>
      </c>
      <c r="E108" s="75"/>
      <c r="F108" s="75"/>
      <c r="G108" s="75"/>
    </row>
    <row r="109" spans="2:7" s="253" customFormat="1" ht="19.5" thickBot="1" x14ac:dyDescent="0.2">
      <c r="B109" s="480"/>
      <c r="C109" s="104">
        <f>IF(OR('05（様式４）単位数の新旧対照表 '!C104="",'01（学校名入力）'!$D$5="４号"),
'05（様式４）単位数の新旧対照表 '!C104,"")</f>
        <v>0</v>
      </c>
      <c r="D109" s="105">
        <f>IF(OR('05（様式４）単位数の新旧対照表 '!D104="",'01（学校名入力）'!$D$5="４号"),
'05（様式４）単位数の新旧対照表 '!D104,"")</f>
        <v>0</v>
      </c>
      <c r="E109" s="75"/>
      <c r="F109" s="75"/>
      <c r="G109" s="75"/>
    </row>
    <row r="110" spans="2:7" s="253" customFormat="1" ht="19.5" thickBot="1" x14ac:dyDescent="0.2">
      <c r="B110" s="480"/>
      <c r="C110" s="104">
        <f>IF(OR('05（様式４）単位数の新旧対照表 '!C105="",'01（学校名入力）'!$D$5="４号"),
'05（様式４）単位数の新旧対照表 '!C105,"")</f>
        <v>0</v>
      </c>
      <c r="D110" s="105">
        <f>IF(OR('05（様式４）単位数の新旧対照表 '!D105="",'01（学校名入力）'!$D$5="４号"),
'05（様式４）単位数の新旧対照表 '!D105,"")</f>
        <v>0</v>
      </c>
      <c r="E110" s="75"/>
      <c r="F110" s="75"/>
      <c r="G110" s="75"/>
    </row>
    <row r="111" spans="2:7" ht="19.5" thickBot="1" x14ac:dyDescent="0.2">
      <c r="B111" s="480"/>
      <c r="C111" s="104">
        <f>IF(OR('05（様式４）単位数の新旧対照表 '!C106="",'01（学校名入力）'!$D$5="４号"),
'05（様式４）単位数の新旧対照表 '!C106,"")</f>
        <v>0</v>
      </c>
      <c r="D111" s="105">
        <f>IF(OR('05（様式４）単位数の新旧対照表 '!D106="",'01（学校名入力）'!$D$5="４号"),
'05（様式４）単位数の新旧対照表 '!D106,"")</f>
        <v>0</v>
      </c>
      <c r="E111" s="75"/>
      <c r="F111" s="75"/>
      <c r="G111" s="75"/>
    </row>
    <row r="112" spans="2:7" s="253" customFormat="1" ht="19.5" thickBot="1" x14ac:dyDescent="0.2">
      <c r="B112" s="480"/>
      <c r="C112" s="104">
        <f>IF(OR('05（様式４）単位数の新旧対照表 '!C107="",'01（学校名入力）'!$D$5="４号"),
'05（様式４）単位数の新旧対照表 '!C107,"")</f>
        <v>0</v>
      </c>
      <c r="D112" s="105">
        <f>IF(OR('05（様式４）単位数の新旧対照表 '!D107="",'01（学校名入力）'!$D$5="４号"),
'05（様式４）単位数の新旧対照表 '!D107,"")</f>
        <v>0</v>
      </c>
      <c r="E112" s="75"/>
      <c r="F112" s="75"/>
      <c r="G112" s="75"/>
    </row>
    <row r="113" spans="2:7" ht="19.5" thickBot="1" x14ac:dyDescent="0.2">
      <c r="B113" s="481"/>
      <c r="C113" s="104">
        <f>IF(OR('05（様式４）単位数の新旧対照表 '!C108="",'01（学校名入力）'!$D$5="４号"),
'05（様式４）単位数の新旧対照表 '!C108,"")</f>
        <v>0</v>
      </c>
      <c r="D113" s="105">
        <f>IF(OR('05（様式４）単位数の新旧対照表 '!D108="",'01（学校名入力）'!$D$5="４号"),
'05（様式４）単位数の新旧対照表 '!D108,"")</f>
        <v>0</v>
      </c>
      <c r="E113" s="75"/>
      <c r="F113" s="75"/>
      <c r="G113" s="75"/>
    </row>
    <row r="114" spans="2:7" ht="19.5" thickBot="1" x14ac:dyDescent="0.2">
      <c r="B114" s="479" t="s">
        <v>18</v>
      </c>
      <c r="C114" s="104">
        <f>IF(OR('05（様式４）単位数の新旧対照表 '!C109="",'01（学校名入力）'!$D$5="４号"),
'05（様式４）単位数の新旧対照表 '!C109,"")</f>
        <v>0</v>
      </c>
      <c r="D114" s="105">
        <f>IF(OR('05（様式４）単位数の新旧対照表 '!D109="",'01（学校名入力）'!$D$5="４号"),
'05（様式４）単位数の新旧対照表 '!D109,"")</f>
        <v>0</v>
      </c>
      <c r="E114" s="75"/>
      <c r="F114" s="75"/>
      <c r="G114" s="75"/>
    </row>
    <row r="115" spans="2:7" ht="19.5" thickBot="1" x14ac:dyDescent="0.2">
      <c r="B115" s="480"/>
      <c r="C115" s="104">
        <f>IF(OR('05（様式４）単位数の新旧対照表 '!C110="",'01（学校名入力）'!$D$5="４号"),
'05（様式４）単位数の新旧対照表 '!C110,"")</f>
        <v>0</v>
      </c>
      <c r="D115" s="105">
        <f>IF(OR('05（様式４）単位数の新旧対照表 '!D110="",'01（学校名入力）'!$D$5="４号"),
'05（様式４）単位数の新旧対照表 '!D110,"")</f>
        <v>0</v>
      </c>
      <c r="E115" s="75"/>
      <c r="F115" s="75"/>
      <c r="G115" s="75"/>
    </row>
    <row r="116" spans="2:7" ht="19.5" thickBot="1" x14ac:dyDescent="0.2">
      <c r="B116" s="480"/>
      <c r="C116" s="104">
        <f>IF(OR('05（様式４）単位数の新旧対照表 '!C111="",'01（学校名入力）'!$D$5="４号"),
'05（様式４）単位数の新旧対照表 '!C111,"")</f>
        <v>0</v>
      </c>
      <c r="D116" s="105">
        <f>IF(OR('05（様式４）単位数の新旧対照表 '!D111="",'01（学校名入力）'!$D$5="４号"),
'05（様式４）単位数の新旧対照表 '!D111,"")</f>
        <v>0</v>
      </c>
      <c r="E116" s="75"/>
      <c r="F116" s="75"/>
      <c r="G116" s="75"/>
    </row>
    <row r="117" spans="2:7" s="230" customFormat="1" ht="19.5" thickBot="1" x14ac:dyDescent="0.2">
      <c r="B117" s="480"/>
      <c r="C117" s="104">
        <f>IF(OR('05（様式４）単位数の新旧対照表 '!C112="",'01（学校名入力）'!$D$5="４号"),
'05（様式４）単位数の新旧対照表 '!C112,"")</f>
        <v>0</v>
      </c>
      <c r="D117" s="105">
        <f>IF(OR('05（様式４）単位数の新旧対照表 '!D112="",'01（学校名入力）'!$D$5="４号"),
'05（様式４）単位数の新旧対照表 '!D112,"")</f>
        <v>0</v>
      </c>
      <c r="E117" s="75"/>
      <c r="F117" s="75"/>
      <c r="G117" s="75"/>
    </row>
    <row r="118" spans="2:7" s="253" customFormat="1" ht="19.5" thickBot="1" x14ac:dyDescent="0.2">
      <c r="B118" s="480"/>
      <c r="C118" s="104">
        <f>IF(OR('05（様式４）単位数の新旧対照表 '!C113="",'01（学校名入力）'!$D$5="４号"),
'05（様式４）単位数の新旧対照表 '!C113,"")</f>
        <v>0</v>
      </c>
      <c r="D118" s="105">
        <f>IF(OR('05（様式４）単位数の新旧対照表 '!D113="",'01（学校名入力）'!$D$5="４号"),
'05（様式４）単位数の新旧対照表 '!D113,"")</f>
        <v>0</v>
      </c>
      <c r="E118" s="75"/>
      <c r="F118" s="75"/>
      <c r="G118" s="75"/>
    </row>
    <row r="119" spans="2:7" s="253" customFormat="1" ht="19.5" thickBot="1" x14ac:dyDescent="0.2">
      <c r="B119" s="480"/>
      <c r="C119" s="104">
        <f>IF(OR('05（様式４）単位数の新旧対照表 '!C114="",'01（学校名入力）'!$D$5="４号"),
'05（様式４）単位数の新旧対照表 '!C114,"")</f>
        <v>0</v>
      </c>
      <c r="D119" s="105">
        <f>IF(OR('05（様式４）単位数の新旧対照表 '!D114="",'01（学校名入力）'!$D$5="４号"),
'05（様式４）単位数の新旧対照表 '!D114,"")</f>
        <v>0</v>
      </c>
      <c r="E119" s="75"/>
      <c r="F119" s="75"/>
      <c r="G119" s="75"/>
    </row>
    <row r="120" spans="2:7" s="108" customFormat="1" ht="19.5" thickBot="1" x14ac:dyDescent="0.2">
      <c r="B120" s="480"/>
      <c r="C120" s="104">
        <f>IF(OR('05（様式４）単位数の新旧対照表 '!C115="",'01（学校名入力）'!$D$5="４号"),
'05（様式４）単位数の新旧対照表 '!C115,"")</f>
        <v>0</v>
      </c>
      <c r="D120" s="105">
        <f>IF(OR('05（様式４）単位数の新旧対照表 '!D115="",'01（学校名入力）'!$D$5="４号"),
'05（様式４）単位数の新旧対照表 '!D115,"")</f>
        <v>0</v>
      </c>
      <c r="E120" s="75"/>
      <c r="F120" s="75"/>
      <c r="G120" s="75"/>
    </row>
    <row r="121" spans="2:7" ht="19.5" thickBot="1" x14ac:dyDescent="0.2">
      <c r="B121" s="481"/>
      <c r="C121" s="104">
        <f>IF(OR('05（様式４）単位数の新旧対照表 '!C116="",'01（学校名入力）'!$D$5="４号"),
'05（様式４）単位数の新旧対照表 '!C116,"")</f>
        <v>0</v>
      </c>
      <c r="D121" s="105">
        <f>IF(OR('05（様式４）単位数の新旧対照表 '!D116="",'01（学校名入力）'!$D$5="４号"),
'05（様式４）単位数の新旧対照表 '!D116,"")</f>
        <v>0</v>
      </c>
      <c r="E121" s="75"/>
      <c r="F121" s="75"/>
      <c r="G121" s="75"/>
    </row>
    <row r="122" spans="2:7" ht="19.5" thickBot="1" x14ac:dyDescent="0.2">
      <c r="B122" s="479" t="s">
        <v>19</v>
      </c>
      <c r="C122" s="104">
        <f>IF(OR('05（様式４）単位数の新旧対照表 '!C117="",'01（学校名入力）'!$D$5="４号"),
'05（様式４）単位数の新旧対照表 '!C117,"")</f>
        <v>0</v>
      </c>
      <c r="D122" s="105">
        <f>IF(OR('05（様式４）単位数の新旧対照表 '!D117="",'01（学校名入力）'!$D$5="４号"),
'05（様式４）単位数の新旧対照表 '!D117,"")</f>
        <v>0</v>
      </c>
      <c r="E122" s="75"/>
      <c r="F122" s="75"/>
      <c r="G122" s="75"/>
    </row>
    <row r="123" spans="2:7" ht="19.5" thickBot="1" x14ac:dyDescent="0.2">
      <c r="B123" s="480"/>
      <c r="C123" s="104">
        <f>IF(OR('05（様式４）単位数の新旧対照表 '!C118="",'01（学校名入力）'!$D$5="４号"),
'05（様式４）単位数の新旧対照表 '!C118,"")</f>
        <v>0</v>
      </c>
      <c r="D123" s="105">
        <f>IF(OR('05（様式４）単位数の新旧対照表 '!D118="",'01（学校名入力）'!$D$5="４号"),
'05（様式４）単位数の新旧対照表 '!D118,"")</f>
        <v>0</v>
      </c>
      <c r="E123" s="75"/>
      <c r="F123" s="75"/>
      <c r="G123" s="75"/>
    </row>
    <row r="124" spans="2:7" ht="19.5" thickBot="1" x14ac:dyDescent="0.2">
      <c r="B124" s="480"/>
      <c r="C124" s="104">
        <f>IF(OR('05（様式４）単位数の新旧対照表 '!C119="",'01（学校名入力）'!$D$5="４号"),
'05（様式４）単位数の新旧対照表 '!C119,"")</f>
        <v>0</v>
      </c>
      <c r="D124" s="105">
        <f>IF(OR('05（様式４）単位数の新旧対照表 '!D119="",'01（学校名入力）'!$D$5="４号"),
'05（様式４）単位数の新旧対照表 '!D119,"")</f>
        <v>0</v>
      </c>
      <c r="E124" s="75"/>
      <c r="F124" s="75"/>
      <c r="G124" s="75"/>
    </row>
    <row r="125" spans="2:7" s="108" customFormat="1" ht="19.5" thickBot="1" x14ac:dyDescent="0.2">
      <c r="B125" s="480"/>
      <c r="C125" s="104">
        <f>IF(OR('05（様式４）単位数の新旧対照表 '!C120="",'01（学校名入力）'!$D$5="４号"),
'05（様式４）単位数の新旧対照表 '!C120,"")</f>
        <v>0</v>
      </c>
      <c r="D125" s="105">
        <f>IF(OR('05（様式４）単位数の新旧対照表 '!D120="",'01（学校名入力）'!$D$5="４号"),
'05（様式４）単位数の新旧対照表 '!D120,"")</f>
        <v>0</v>
      </c>
      <c r="E125" s="75"/>
      <c r="F125" s="75"/>
      <c r="G125" s="75"/>
    </row>
    <row r="126" spans="2:7" s="108" customFormat="1" ht="19.5" thickBot="1" x14ac:dyDescent="0.2">
      <c r="B126" s="480"/>
      <c r="C126" s="104">
        <f>IF(OR('05（様式４）単位数の新旧対照表 '!C121="",'01（学校名入力）'!$D$5="４号"),
'05（様式４）単位数の新旧対照表 '!C121,"")</f>
        <v>0</v>
      </c>
      <c r="D126" s="105">
        <f>IF(OR('05（様式４）単位数の新旧対照表 '!D121="",'01（学校名入力）'!$D$5="４号"),
'05（様式４）単位数の新旧対照表 '!D121,"")</f>
        <v>0</v>
      </c>
      <c r="E126" s="75"/>
      <c r="F126" s="75"/>
      <c r="G126" s="75"/>
    </row>
    <row r="127" spans="2:7" s="108" customFormat="1" ht="19.5" thickBot="1" x14ac:dyDescent="0.2">
      <c r="B127" s="480"/>
      <c r="C127" s="104">
        <f>IF(OR('05（様式４）単位数の新旧対照表 '!C122="",'01（学校名入力）'!$D$5="４号"),
'05（様式４）単位数の新旧対照表 '!C122,"")</f>
        <v>0</v>
      </c>
      <c r="D127" s="105">
        <f>IF(OR('05（様式４）単位数の新旧対照表 '!D122="",'01（学校名入力）'!$D$5="４号"),
'05（様式４）単位数の新旧対照表 '!D122,"")</f>
        <v>0</v>
      </c>
      <c r="E127" s="75"/>
      <c r="F127" s="75"/>
      <c r="G127" s="75"/>
    </row>
    <row r="128" spans="2:7" s="222" customFormat="1" ht="19.5" thickBot="1" x14ac:dyDescent="0.2">
      <c r="B128" s="480"/>
      <c r="C128" s="104">
        <f>IF(OR('05（様式４）単位数の新旧対照表 '!C123="",'01（学校名入力）'!$D$5="４号"),
'05（様式４）単位数の新旧対照表 '!C123,"")</f>
        <v>0</v>
      </c>
      <c r="D128" s="105">
        <f>IF(OR('05（様式４）単位数の新旧対照表 '!D123="",'01（学校名入力）'!$D$5="４号"),
'05（様式４）単位数の新旧対照表 '!D123,"")</f>
        <v>0</v>
      </c>
      <c r="E128" s="75"/>
      <c r="F128" s="75"/>
      <c r="G128" s="75"/>
    </row>
    <row r="129" spans="2:7" s="222" customFormat="1" ht="19.5" thickBot="1" x14ac:dyDescent="0.2">
      <c r="B129" s="480"/>
      <c r="C129" s="104">
        <f>IF(OR('05（様式４）単位数の新旧対照表 '!C124="",'01（学校名入力）'!$D$5="４号"),
'05（様式４）単位数の新旧対照表 '!C124,"")</f>
        <v>0</v>
      </c>
      <c r="D129" s="105">
        <f>IF(OR('05（様式４）単位数の新旧対照表 '!D124="",'01（学校名入力）'!$D$5="４号"),
'05（様式４）単位数の新旧対照表 '!D124,"")</f>
        <v>0</v>
      </c>
      <c r="E129" s="75"/>
      <c r="F129" s="75"/>
      <c r="G129" s="75"/>
    </row>
    <row r="130" spans="2:7" s="222" customFormat="1" ht="19.5" thickBot="1" x14ac:dyDescent="0.2">
      <c r="B130" s="480"/>
      <c r="C130" s="104">
        <f>IF(OR('05（様式４）単位数の新旧対照表 '!C125="",'01（学校名入力）'!$D$5="４号"),
'05（様式４）単位数の新旧対照表 '!C125,"")</f>
        <v>0</v>
      </c>
      <c r="D130" s="105">
        <f>IF(OR('05（様式４）単位数の新旧対照表 '!D125="",'01（学校名入力）'!$D$5="４号"),
'05（様式４）単位数の新旧対照表 '!D125,"")</f>
        <v>0</v>
      </c>
      <c r="E130" s="75"/>
      <c r="F130" s="75"/>
      <c r="G130" s="75"/>
    </row>
    <row r="131" spans="2:7" s="222" customFormat="1" ht="19.5" thickBot="1" x14ac:dyDescent="0.2">
      <c r="B131" s="480"/>
      <c r="C131" s="104">
        <f>IF(OR('05（様式４）単位数の新旧対照表 '!C126="",'01（学校名入力）'!$D$5="４号"),
'05（様式４）単位数の新旧対照表 '!C126,"")</f>
        <v>0</v>
      </c>
      <c r="D131" s="105">
        <f>IF(OR('05（様式４）単位数の新旧対照表 '!D126="",'01（学校名入力）'!$D$5="４号"),
'05（様式４）単位数の新旧対照表 '!D126,"")</f>
        <v>0</v>
      </c>
      <c r="E131" s="75"/>
      <c r="F131" s="75"/>
      <c r="G131" s="75"/>
    </row>
    <row r="132" spans="2:7" s="253" customFormat="1" ht="19.5" thickBot="1" x14ac:dyDescent="0.2">
      <c r="B132" s="480"/>
      <c r="C132" s="104">
        <f>IF(OR('05（様式４）単位数の新旧対照表 '!C127="",'01（学校名入力）'!$D$5="４号"),
'05（様式４）単位数の新旧対照表 '!C127,"")</f>
        <v>0</v>
      </c>
      <c r="D132" s="105">
        <f>IF(OR('05（様式４）単位数の新旧対照表 '!D127="",'01（学校名入力）'!$D$5="４号"),
'05（様式４）単位数の新旧対照表 '!D127,"")</f>
        <v>0</v>
      </c>
      <c r="E132" s="75"/>
      <c r="F132" s="75"/>
      <c r="G132" s="75"/>
    </row>
    <row r="133" spans="2:7" s="253" customFormat="1" ht="19.5" thickBot="1" x14ac:dyDescent="0.2">
      <c r="B133" s="480"/>
      <c r="C133" s="104">
        <f>IF(OR('05（様式４）単位数の新旧対照表 '!C128="",'01（学校名入力）'!$D$5="４号"),
'05（様式４）単位数の新旧対照表 '!C128,"")</f>
        <v>0</v>
      </c>
      <c r="D133" s="105">
        <f>IF(OR('05（様式４）単位数の新旧対照表 '!D128="",'01（学校名入力）'!$D$5="４号"),
'05（様式４）単位数の新旧対照表 '!D128,"")</f>
        <v>0</v>
      </c>
      <c r="E133" s="75"/>
      <c r="F133" s="75"/>
      <c r="G133" s="75"/>
    </row>
    <row r="134" spans="2:7" s="253" customFormat="1" ht="19.5" thickBot="1" x14ac:dyDescent="0.2">
      <c r="B134" s="480"/>
      <c r="C134" s="104">
        <f>IF(OR('05（様式４）単位数の新旧対照表 '!C129="",'01（学校名入力）'!$D$5="４号"),
'05（様式４）単位数の新旧対照表 '!C129,"")</f>
        <v>0</v>
      </c>
      <c r="D134" s="105">
        <f>IF(OR('05（様式４）単位数の新旧対照表 '!D129="",'01（学校名入力）'!$D$5="４号"),
'05（様式４）単位数の新旧対照表 '!D129,"")</f>
        <v>0</v>
      </c>
      <c r="E134" s="75"/>
      <c r="F134" s="75"/>
      <c r="G134" s="75"/>
    </row>
    <row r="135" spans="2:7" s="108" customFormat="1" ht="19.5" thickBot="1" x14ac:dyDescent="0.2">
      <c r="B135" s="480"/>
      <c r="C135" s="104">
        <f>IF(OR('05（様式４）単位数の新旧対照表 '!C130="",'01（学校名入力）'!$D$5="４号"),
'05（様式４）単位数の新旧対照表 '!C130,"")</f>
        <v>0</v>
      </c>
      <c r="D135" s="105">
        <f>IF(OR('05（様式４）単位数の新旧対照表 '!D130="",'01（学校名入力）'!$D$5="４号"),
'05（様式４）単位数の新旧対照表 '!D130,"")</f>
        <v>0</v>
      </c>
      <c r="E135" s="75"/>
      <c r="F135" s="75"/>
      <c r="G135" s="75"/>
    </row>
    <row r="136" spans="2:7" ht="19.5" thickBot="1" x14ac:dyDescent="0.2">
      <c r="B136" s="481"/>
      <c r="C136" s="104">
        <f>IF(OR('05（様式４）単位数の新旧対照表 '!C131="",'01（学校名入力）'!$D$5="４号"),
'05（様式４）単位数の新旧対照表 '!C131,"")</f>
        <v>0</v>
      </c>
      <c r="D136" s="105">
        <f>IF(OR('05（様式４）単位数の新旧対照表 '!D131="",'01（学校名入力）'!$D$5="４号"),
'05（様式４）単位数の新旧対照表 '!D131,"")</f>
        <v>0</v>
      </c>
      <c r="E136" s="75"/>
      <c r="F136" s="75"/>
      <c r="G136" s="75"/>
    </row>
    <row r="137" spans="2:7" ht="19.5" thickBot="1" x14ac:dyDescent="0.2">
      <c r="B137" s="479" t="s">
        <v>20</v>
      </c>
      <c r="C137" s="104">
        <f>IF(OR('05（様式４）単位数の新旧対照表 '!C132="",'01（学校名入力）'!$D$5="４号"),
'05（様式４）単位数の新旧対照表 '!C132,"")</f>
        <v>0</v>
      </c>
      <c r="D137" s="105">
        <f>IF(OR('05（様式４）単位数の新旧対照表 '!D132="",'01（学校名入力）'!$D$5="４号"),
'05（様式４）単位数の新旧対照表 '!D132,"")</f>
        <v>0</v>
      </c>
      <c r="E137" s="75"/>
      <c r="F137" s="75"/>
      <c r="G137" s="75"/>
    </row>
    <row r="138" spans="2:7" ht="19.5" thickBot="1" x14ac:dyDescent="0.2">
      <c r="B138" s="480"/>
      <c r="C138" s="104">
        <f>IF(OR('05（様式４）単位数の新旧対照表 '!C133="",'01（学校名入力）'!$D$5="４号"),
'05（様式４）単位数の新旧対照表 '!C133,"")</f>
        <v>0</v>
      </c>
      <c r="D138" s="105">
        <f>IF(OR('05（様式４）単位数の新旧対照表 '!D133="",'01（学校名入力）'!$D$5="４号"),
'05（様式４）単位数の新旧対照表 '!D133,"")</f>
        <v>0</v>
      </c>
      <c r="E138" s="75"/>
      <c r="F138" s="75"/>
      <c r="G138" s="75"/>
    </row>
    <row r="139" spans="2:7" ht="19.5" thickBot="1" x14ac:dyDescent="0.2">
      <c r="B139" s="480"/>
      <c r="C139" s="104">
        <f>IF(OR('05（様式４）単位数の新旧対照表 '!C134="",'01（学校名入力）'!$D$5="４号"),
'05（様式４）単位数の新旧対照表 '!C134,"")</f>
        <v>0</v>
      </c>
      <c r="D139" s="105">
        <f>IF(OR('05（様式４）単位数の新旧対照表 '!D134="",'01（学校名入力）'!$D$5="４号"),
'05（様式４）単位数の新旧対照表 '!D134,"")</f>
        <v>0</v>
      </c>
      <c r="E139" s="75"/>
      <c r="F139" s="75"/>
      <c r="G139" s="75"/>
    </row>
    <row r="140" spans="2:7" s="246" customFormat="1" ht="19.5" thickBot="1" x14ac:dyDescent="0.2">
      <c r="B140" s="480"/>
      <c r="C140" s="104">
        <f>IF(OR('05（様式４）単位数の新旧対照表 '!C135="",'01（学校名入力）'!$D$5="４号"),
'05（様式４）単位数の新旧対照表 '!C135,"")</f>
        <v>0</v>
      </c>
      <c r="D140" s="105">
        <f>IF(OR('05（様式４）単位数の新旧対照表 '!D135="",'01（学校名入力）'!$D$5="４号"),
'05（様式４）単位数の新旧対照表 '!D135,"")</f>
        <v>0</v>
      </c>
      <c r="E140" s="75"/>
      <c r="F140" s="75"/>
      <c r="G140" s="75"/>
    </row>
    <row r="141" spans="2:7" s="253" customFormat="1" ht="19.5" thickBot="1" x14ac:dyDescent="0.2">
      <c r="B141" s="480"/>
      <c r="C141" s="104">
        <f>IF(OR('05（様式４）単位数の新旧対照表 '!C136="",'01（学校名入力）'!$D$5="４号"),
'05（様式４）単位数の新旧対照表 '!C136,"")</f>
        <v>0</v>
      </c>
      <c r="D141" s="105">
        <f>IF(OR('05（様式４）単位数の新旧対照表 '!D136="",'01（学校名入力）'!$D$5="４号"),
'05（様式４）単位数の新旧対照表 '!D136,"")</f>
        <v>0</v>
      </c>
      <c r="E141" s="75"/>
      <c r="F141" s="75"/>
      <c r="G141" s="75"/>
    </row>
    <row r="142" spans="2:7" s="253" customFormat="1" ht="19.5" thickBot="1" x14ac:dyDescent="0.2">
      <c r="B142" s="480"/>
      <c r="C142" s="104">
        <f>IF(OR('05（様式４）単位数の新旧対照表 '!C137="",'01（学校名入力）'!$D$5="４号"),
'05（様式４）単位数の新旧対照表 '!C137,"")</f>
        <v>0</v>
      </c>
      <c r="D142" s="105">
        <f>IF(OR('05（様式４）単位数の新旧対照表 '!D137="",'01（学校名入力）'!$D$5="４号"),
'05（様式４）単位数の新旧対照表 '!D137,"")</f>
        <v>0</v>
      </c>
      <c r="E142" s="75"/>
      <c r="F142" s="75"/>
      <c r="G142" s="75"/>
    </row>
    <row r="143" spans="2:7" s="108" customFormat="1" ht="19.5" thickBot="1" x14ac:dyDescent="0.2">
      <c r="B143" s="480"/>
      <c r="C143" s="104">
        <f>IF(OR('05（様式４）単位数の新旧対照表 '!C138="",'01（学校名入力）'!$D$5="４号"),
'05（様式４）単位数の新旧対照表 '!C138,"")</f>
        <v>0</v>
      </c>
      <c r="D143" s="105">
        <f>IF(OR('05（様式４）単位数の新旧対照表 '!D138="",'01（学校名入力）'!$D$5="４号"),
'05（様式４）単位数の新旧対照表 '!D138,"")</f>
        <v>0</v>
      </c>
      <c r="E143" s="75"/>
      <c r="F143" s="75"/>
      <c r="G143" s="75"/>
    </row>
    <row r="144" spans="2:7" s="280" customFormat="1" ht="19.5" thickBot="1" x14ac:dyDescent="0.2">
      <c r="B144" s="480"/>
      <c r="C144" s="104">
        <f>IF(OR('05（様式４）単位数の新旧対照表 '!C139="",'01（学校名入力）'!$D$5="４号"),
'05（様式４）単位数の新旧対照表 '!C139,"")</f>
        <v>0</v>
      </c>
      <c r="D144" s="105">
        <f>IF(OR('05（様式４）単位数の新旧対照表 '!D139="",'01（学校名入力）'!$D$5="４号"),
'05（様式４）単位数の新旧対照表 '!D139,"")</f>
        <v>0</v>
      </c>
      <c r="E144" s="75"/>
      <c r="F144" s="75"/>
      <c r="G144" s="75"/>
    </row>
    <row r="145" spans="1:7" ht="19.5" thickBot="1" x14ac:dyDescent="0.2">
      <c r="B145" s="481"/>
      <c r="C145" s="104">
        <f>IF(OR('05（様式４）単位数の新旧対照表 '!C140="",'01（学校名入力）'!$D$5="４号"),
'05（様式４）単位数の新旧対照表 '!C140,"")</f>
        <v>0</v>
      </c>
      <c r="D145" s="105">
        <f>IF(OR('05（様式４）単位数の新旧対照表 '!D140="",'01（学校名入力）'!$D$5="４号"),
'05（様式４）単位数の新旧対照表 '!D140,"")</f>
        <v>0</v>
      </c>
      <c r="E145" s="75"/>
      <c r="F145" s="75"/>
      <c r="G145" s="75"/>
    </row>
    <row r="146" spans="1:7" ht="19.5" thickBot="1" x14ac:dyDescent="0.2">
      <c r="B146" s="479" t="s">
        <v>21</v>
      </c>
      <c r="C146" s="104">
        <f>IF(OR('05（様式４）単位数の新旧対照表 '!C141="",'01（学校名入力）'!$D$5="４号"),
'05（様式４）単位数の新旧対照表 '!C141,"")</f>
        <v>0</v>
      </c>
      <c r="D146" s="105">
        <f>IF(OR('05（様式４）単位数の新旧対照表 '!D141="",'01（学校名入力）'!$D$5="４号"),
'05（様式４）単位数の新旧対照表 '!D141,"")</f>
        <v>0</v>
      </c>
      <c r="E146" s="75"/>
      <c r="F146" s="75"/>
      <c r="G146" s="75"/>
    </row>
    <row r="147" spans="1:7" ht="19.5" thickBot="1" x14ac:dyDescent="0.2">
      <c r="B147" s="480"/>
      <c r="C147" s="104">
        <f>IF(OR('05（様式４）単位数の新旧対照表 '!C142="",'01（学校名入力）'!$D$5="４号"),
'05（様式４）単位数の新旧対照表 '!C142,"")</f>
        <v>0</v>
      </c>
      <c r="D147" s="105">
        <f>IF(OR('05（様式４）単位数の新旧対照表 '!D142="",'01（学校名入力）'!$D$5="４号"),
'05（様式４）単位数の新旧対照表 '!D142,"")</f>
        <v>0</v>
      </c>
      <c r="E147" s="75"/>
      <c r="F147" s="75"/>
      <c r="G147" s="75"/>
    </row>
    <row r="148" spans="1:7" ht="19.5" thickBot="1" x14ac:dyDescent="0.2">
      <c r="B148" s="480"/>
      <c r="C148" s="104">
        <f>IF(OR('05（様式４）単位数の新旧対照表 '!C143="",'01（学校名入力）'!$D$5="４号"),
'05（様式４）単位数の新旧対照表 '!C143,"")</f>
        <v>0</v>
      </c>
      <c r="D148" s="105">
        <f>IF(OR('05（様式４）単位数の新旧対照表 '!D143="",'01（学校名入力）'!$D$5="４号"),
'05（様式４）単位数の新旧対照表 '!D143,"")</f>
        <v>0</v>
      </c>
      <c r="E148" s="75"/>
      <c r="F148" s="75"/>
      <c r="G148" s="75"/>
    </row>
    <row r="149" spans="1:7" s="253" customFormat="1" ht="19.5" thickBot="1" x14ac:dyDescent="0.2">
      <c r="B149" s="480"/>
      <c r="C149" s="104">
        <f>IF(OR('05（様式４）単位数の新旧対照表 '!C144="",'01（学校名入力）'!$D$5="４号"),
'05（様式４）単位数の新旧対照表 '!C144,"")</f>
        <v>0</v>
      </c>
      <c r="D149" s="105">
        <f>IF(OR('05（様式４）単位数の新旧対照表 '!D144="",'01（学校名入力）'!$D$5="４号"),
'05（様式４）単位数の新旧対照表 '!D144,"")</f>
        <v>0</v>
      </c>
      <c r="E149" s="75"/>
      <c r="F149" s="75"/>
      <c r="G149" s="75"/>
    </row>
    <row r="150" spans="1:7" s="253" customFormat="1" ht="19.5" thickBot="1" x14ac:dyDescent="0.2">
      <c r="B150" s="480"/>
      <c r="C150" s="104">
        <f>IF(OR('05（様式４）単位数の新旧対照表 '!C145="",'01（学校名入力）'!$D$5="４号"),
'05（様式４）単位数の新旧対照表 '!C145,"")</f>
        <v>0</v>
      </c>
      <c r="D150" s="105">
        <f>IF(OR('05（様式４）単位数の新旧対照表 '!D145="",'01（学校名入力）'!$D$5="４号"),
'05（様式４）単位数の新旧対照表 '!D145,"")</f>
        <v>0</v>
      </c>
      <c r="E150" s="75"/>
      <c r="F150" s="75"/>
      <c r="G150" s="75"/>
    </row>
    <row r="151" spans="1:7" s="253" customFormat="1" ht="19.5" thickBot="1" x14ac:dyDescent="0.2">
      <c r="B151" s="480"/>
      <c r="C151" s="104">
        <f>IF(OR('05（様式４）単位数の新旧対照表 '!C146="",'01（学校名入力）'!$D$5="４号"),
'05（様式４）単位数の新旧対照表 '!C146,"")</f>
        <v>0</v>
      </c>
      <c r="D151" s="105">
        <f>IF(OR('05（様式４）単位数の新旧対照表 '!D146="",'01（学校名入力）'!$D$5="４号"),
'05（様式４）単位数の新旧対照表 '!D146,"")</f>
        <v>0</v>
      </c>
      <c r="E151" s="75"/>
      <c r="F151" s="75"/>
      <c r="G151" s="75"/>
    </row>
    <row r="152" spans="1:7" s="280" customFormat="1" ht="19.5" thickBot="1" x14ac:dyDescent="0.2">
      <c r="B152" s="480"/>
      <c r="C152" s="104">
        <f>IF(OR('05（様式４）単位数の新旧対照表 '!C147="",'01（学校名入力）'!$D$5="４号"),
'05（様式４）単位数の新旧対照表 '!C147,"")</f>
        <v>0</v>
      </c>
      <c r="D152" s="105">
        <f>IF(OR('05（様式４）単位数の新旧対照表 '!D147="",'01（学校名入力）'!$D$5="４号"),
'05（様式４）単位数の新旧対照表 '!D147,"")</f>
        <v>0</v>
      </c>
      <c r="E152" s="75"/>
      <c r="F152" s="75"/>
      <c r="G152" s="75"/>
    </row>
    <row r="153" spans="1:7" s="280" customFormat="1" ht="19.5" thickBot="1" x14ac:dyDescent="0.2">
      <c r="B153" s="480"/>
      <c r="C153" s="104">
        <f>IF(OR('05（様式４）単位数の新旧対照表 '!C148="",'01（学校名入力）'!$D$5="４号"),
'05（様式４）単位数の新旧対照表 '!C148,"")</f>
        <v>0</v>
      </c>
      <c r="D153" s="105">
        <f>IF(OR('05（様式４）単位数の新旧対照表 '!D148="",'01（学校名入力）'!$D$5="４号"),
'05（様式４）単位数の新旧対照表 '!D148,"")</f>
        <v>0</v>
      </c>
      <c r="E153" s="75"/>
      <c r="F153" s="75"/>
      <c r="G153" s="75"/>
    </row>
    <row r="154" spans="1:7" s="253" customFormat="1" ht="19.5" thickBot="1" x14ac:dyDescent="0.2">
      <c r="B154" s="480"/>
      <c r="C154" s="104">
        <f>IF(OR('05（様式４）単位数の新旧対照表 '!C149="",'01（学校名入力）'!$D$5="４号"),
'05（様式４）単位数の新旧対照表 '!C149,"")</f>
        <v>0</v>
      </c>
      <c r="D154" s="105">
        <f>IF(OR('05（様式４）単位数の新旧対照表 '!D149="",'01（学校名入力）'!$D$5="４号"),
'05（様式４）単位数の新旧対照表 '!D149,"")</f>
        <v>0</v>
      </c>
      <c r="E154" s="75"/>
      <c r="F154" s="75"/>
      <c r="G154" s="75"/>
    </row>
    <row r="155" spans="1:7" s="280" customFormat="1" ht="19.5" thickBot="1" x14ac:dyDescent="0.2">
      <c r="B155" s="480"/>
      <c r="C155" s="104">
        <f>IF(OR('05（様式４）単位数の新旧対照表 '!C150="",'01（学校名入力）'!$D$5="４号"),
'05（様式４）単位数の新旧対照表 '!C150,"")</f>
        <v>0</v>
      </c>
      <c r="D155" s="105">
        <f>IF(OR('05（様式４）単位数の新旧対照表 '!D150="",'01（学校名入力）'!$D$5="４号"),
'05（様式４）単位数の新旧対照表 '!D150,"")</f>
        <v>0</v>
      </c>
      <c r="E155" s="75"/>
      <c r="F155" s="75"/>
      <c r="G155" s="75"/>
    </row>
    <row r="156" spans="1:7" s="280" customFormat="1" ht="19.5" thickBot="1" x14ac:dyDescent="0.2">
      <c r="B156" s="480"/>
      <c r="C156" s="104">
        <f>IF(OR('05（様式４）単位数の新旧対照表 '!C151="",'01（学校名入力）'!$D$5="４号"),
'05（様式４）単位数の新旧対照表 '!C151,"")</f>
        <v>0</v>
      </c>
      <c r="D156" s="105">
        <f>IF(OR('05（様式４）単位数の新旧対照表 '!D151="",'01（学校名入力）'!$D$5="４号"),
'05（様式４）単位数の新旧対照表 '!D151,"")</f>
        <v>0</v>
      </c>
      <c r="E156" s="75"/>
      <c r="F156" s="75"/>
      <c r="G156" s="75"/>
    </row>
    <row r="157" spans="1:7" ht="19.5" thickBot="1" x14ac:dyDescent="0.2">
      <c r="B157" s="481"/>
      <c r="C157" s="104">
        <f>IF(OR('05（様式４）単位数の新旧対照表 '!C152="",'01（学校名入力）'!$D$5="４号"),
'05（様式４）単位数の新旧対照表 '!C152,"")</f>
        <v>0</v>
      </c>
      <c r="D157" s="105">
        <f>IF(OR('05（様式４）単位数の新旧対照表 '!D152="",'01（学校名入力）'!$D$5="４号"),
'05（様式４）単位数の新旧対照表 '!D152,"")</f>
        <v>0</v>
      </c>
      <c r="E157" s="75"/>
      <c r="F157" s="75"/>
      <c r="G157" s="75"/>
    </row>
    <row r="158" spans="1:7" s="149" customFormat="1" ht="19.5" thickBot="1" x14ac:dyDescent="0.2">
      <c r="B158" s="482" t="s">
        <v>726</v>
      </c>
      <c r="C158" s="483"/>
      <c r="D158" s="154">
        <f>SUM(D17:D157)</f>
        <v>0</v>
      </c>
      <c r="E158" s="75"/>
      <c r="F158" s="75"/>
      <c r="G158" s="75"/>
    </row>
    <row r="159" spans="1:7" s="149" customFormat="1" ht="19.5" thickBot="1" x14ac:dyDescent="0.2">
      <c r="A159" s="157"/>
      <c r="B159" s="152"/>
      <c r="C159" s="150"/>
      <c r="D159" s="162"/>
      <c r="E159" s="158"/>
      <c r="F159" s="158"/>
      <c r="G159" s="158"/>
    </row>
    <row r="160" spans="1:7" s="149" customFormat="1" ht="19.5" thickBot="1" x14ac:dyDescent="0.2">
      <c r="A160" s="157"/>
      <c r="B160" s="155" t="s">
        <v>727</v>
      </c>
      <c r="C160" s="163" t="s">
        <v>730</v>
      </c>
      <c r="D160" s="154" t="s">
        <v>729</v>
      </c>
      <c r="E160" s="158"/>
      <c r="F160" s="158"/>
      <c r="G160" s="158"/>
    </row>
    <row r="161" spans="1:7" s="259" customFormat="1" ht="19.5" thickBot="1" x14ac:dyDescent="0.2">
      <c r="A161" s="157"/>
      <c r="B161" s="486" t="s">
        <v>723</v>
      </c>
      <c r="C161" s="104" t="str">
        <f>IF(OR('05（様式４）単位数の新旧対照表 '!C157="",'01（学校名入力）'!$D$5="４号"),
'05（様式４）単位数の新旧対照表 '!C157,"")</f>
        <v/>
      </c>
      <c r="D161" s="105">
        <f>IF(OR('05（様式４）単位数の新旧対照表 '!D157="",'01（学校名入力）'!$D$5="４号"),
'05（様式４）単位数の新旧対照表 '!D157,"")</f>
        <v>0</v>
      </c>
      <c r="E161" s="158"/>
      <c r="F161" s="158"/>
      <c r="G161" s="158"/>
    </row>
    <row r="162" spans="1:7" ht="19.5" thickBot="1" x14ac:dyDescent="0.2">
      <c r="B162" s="487"/>
      <c r="C162" s="104" t="str">
        <f>IF(OR('05（様式４）単位数の新旧対照表 '!C158="",'01（学校名入力）'!$D$5="４号"),
'05（様式４）単位数の新旧対照表 '!C158,"")</f>
        <v/>
      </c>
      <c r="D162" s="105">
        <f>IF(OR('05（様式４）単位数の新旧対照表 '!D158="",'01（学校名入力）'!$D$5="４号"),
'05（様式４）単位数の新旧対照表 '!D158,"")</f>
        <v>0</v>
      </c>
      <c r="E162" s="75"/>
      <c r="F162" s="75"/>
      <c r="G162" s="75"/>
    </row>
    <row r="163" spans="1:7" ht="19.5" thickBot="1" x14ac:dyDescent="0.2">
      <c r="B163" s="488"/>
      <c r="C163" s="104" t="str">
        <f>IF(OR('05（様式４）単位数の新旧対照表 '!C159="",'01（学校名入力）'!$D$5="４号"),
'05（様式４）単位数の新旧対照表 '!C159,"")</f>
        <v/>
      </c>
      <c r="D163" s="105">
        <f>IF(OR('05（様式４）単位数の新旧対照表 '!D159="",'01（学校名入力）'!$D$5="４号"),
'05（様式４）単位数の新旧対照表 '!D159,"")</f>
        <v>0</v>
      </c>
    </row>
    <row r="164" spans="1:7" s="65" customFormat="1" ht="19.5" thickBot="1" x14ac:dyDescent="0.2">
      <c r="B164" s="159" t="s">
        <v>726</v>
      </c>
      <c r="C164" s="160"/>
      <c r="D164" s="170">
        <f>SUM(D161:D163)</f>
        <v>0</v>
      </c>
      <c r="F164" s="296"/>
      <c r="G164" s="296"/>
    </row>
    <row r="165" spans="1:7" s="149" customFormat="1" x14ac:dyDescent="0.15">
      <c r="B165" s="76"/>
      <c r="F165" s="296"/>
      <c r="G165" s="296"/>
    </row>
    <row r="166" spans="1:7" x14ac:dyDescent="0.15">
      <c r="B166" s="478" t="s">
        <v>878</v>
      </c>
      <c r="C166" s="478"/>
      <c r="D166" s="478"/>
      <c r="E166" s="478"/>
      <c r="F166" s="295"/>
      <c r="G166" s="295"/>
    </row>
    <row r="167" spans="1:7" x14ac:dyDescent="0.15">
      <c r="B167" s="477" t="s">
        <v>691</v>
      </c>
      <c r="C167" s="477"/>
      <c r="D167" s="477"/>
      <c r="E167" s="477"/>
      <c r="F167" s="294"/>
      <c r="G167" s="294"/>
    </row>
    <row r="168" spans="1:7" ht="18.75" customHeight="1" x14ac:dyDescent="0.15">
      <c r="B168" s="477" t="s">
        <v>875</v>
      </c>
      <c r="C168" s="477"/>
      <c r="D168" s="477"/>
      <c r="E168" s="477"/>
      <c r="F168" s="294"/>
      <c r="G168" s="294"/>
    </row>
    <row r="169" spans="1:7" s="331" customFormat="1" ht="18.75" customHeight="1" x14ac:dyDescent="0.15">
      <c r="B169" s="477" t="s">
        <v>692</v>
      </c>
      <c r="C169" s="477"/>
      <c r="D169" s="477"/>
      <c r="E169" s="477"/>
      <c r="F169" s="332"/>
      <c r="G169" s="332"/>
    </row>
    <row r="170" spans="1:7" x14ac:dyDescent="0.15">
      <c r="B170" s="330" t="s">
        <v>877</v>
      </c>
      <c r="C170" s="330"/>
      <c r="D170" s="330"/>
      <c r="E170" s="330"/>
      <c r="F170" s="294"/>
      <c r="G170" s="294"/>
    </row>
    <row r="171" spans="1:7" s="423" customFormat="1" x14ac:dyDescent="0.15">
      <c r="B171" s="422" t="s">
        <v>1107</v>
      </c>
      <c r="C171" s="422"/>
      <c r="D171" s="422"/>
      <c r="E171" s="422"/>
      <c r="F171" s="332"/>
      <c r="G171" s="332"/>
    </row>
    <row r="172" spans="1:7" ht="18.75" customHeight="1" x14ac:dyDescent="0.15">
      <c r="B172" s="477" t="s">
        <v>1108</v>
      </c>
      <c r="C172" s="477"/>
      <c r="D172" s="477"/>
      <c r="E172" s="477"/>
      <c r="F172" s="294"/>
      <c r="G172" s="294"/>
    </row>
    <row r="173" spans="1:7" ht="18.75" customHeight="1" x14ac:dyDescent="0.15">
      <c r="B173" s="477" t="s">
        <v>1109</v>
      </c>
      <c r="C173" s="477"/>
      <c r="D173" s="477"/>
      <c r="E173" s="477"/>
      <c r="F173" s="294"/>
      <c r="G173" s="294"/>
    </row>
    <row r="174" spans="1:7" ht="18.75" customHeight="1" x14ac:dyDescent="0.15">
      <c r="B174" s="477" t="s">
        <v>1111</v>
      </c>
      <c r="C174" s="477"/>
      <c r="D174" s="477"/>
      <c r="E174" s="477"/>
      <c r="F174" s="294"/>
      <c r="G174" s="294"/>
    </row>
  </sheetData>
  <sheetProtection algorithmName="SHA-512" hashValue="1Q2YZ1arl2q4Z2LcG+h+etkdW6N742DpxnsKGBeXy2K0QjC8fv4mHA2CuYkJ9wr7ScGJ8VJg9RqzQU1LFo3uDQ==" saltValue="F79Tm7x1ol/r8FtWPoZLkg==" spinCount="100000" sheet="1" formatCells="0"/>
  <mergeCells count="33">
    <mergeCell ref="B174:E174"/>
    <mergeCell ref="B169:E169"/>
    <mergeCell ref="B106:B113"/>
    <mergeCell ref="B68:B75"/>
    <mergeCell ref="B76:B81"/>
    <mergeCell ref="B82:B89"/>
    <mergeCell ref="B90:B99"/>
    <mergeCell ref="B100:B105"/>
    <mergeCell ref="B167:E167"/>
    <mergeCell ref="B114:B121"/>
    <mergeCell ref="B122:B136"/>
    <mergeCell ref="B137:B145"/>
    <mergeCell ref="B146:B157"/>
    <mergeCell ref="B166:E166"/>
    <mergeCell ref="B161:B163"/>
    <mergeCell ref="B168:E168"/>
    <mergeCell ref="B2:D2"/>
    <mergeCell ref="B3:D3"/>
    <mergeCell ref="B5:E5"/>
    <mergeCell ref="B17:B43"/>
    <mergeCell ref="B7:D7"/>
    <mergeCell ref="B4:D4"/>
    <mergeCell ref="B13:D13"/>
    <mergeCell ref="B11:D11"/>
    <mergeCell ref="B12:D12"/>
    <mergeCell ref="B9:D9"/>
    <mergeCell ref="B10:D10"/>
    <mergeCell ref="B172:E172"/>
    <mergeCell ref="B173:E173"/>
    <mergeCell ref="B60:B67"/>
    <mergeCell ref="B158:C158"/>
    <mergeCell ref="B44:B51"/>
    <mergeCell ref="B52:B59"/>
  </mergeCells>
  <phoneticPr fontId="8"/>
  <conditionalFormatting sqref="B17:B43">
    <cfRule type="expression" dxfId="48" priority="27">
      <formula>$S$13="×"</formula>
    </cfRule>
  </conditionalFormatting>
  <conditionalFormatting sqref="B44:B51">
    <cfRule type="expression" dxfId="47" priority="1">
      <formula>$S$33="×"</formula>
    </cfRule>
  </conditionalFormatting>
  <conditionalFormatting sqref="B52:B59">
    <cfRule type="expression" dxfId="46" priority="25">
      <formula>$S$44="×"</formula>
    </cfRule>
  </conditionalFormatting>
  <conditionalFormatting sqref="B60:B67">
    <cfRule type="expression" dxfId="45" priority="24">
      <formula>$S$52="×"</formula>
    </cfRule>
  </conditionalFormatting>
  <conditionalFormatting sqref="B68:B75">
    <cfRule type="expression" dxfId="44" priority="2">
      <formula>$S$60="×"</formula>
    </cfRule>
  </conditionalFormatting>
  <conditionalFormatting sqref="B76:B81">
    <cfRule type="expression" dxfId="43" priority="22">
      <formula>$S$68="×"</formula>
    </cfRule>
  </conditionalFormatting>
  <conditionalFormatting sqref="B82:B99">
    <cfRule type="expression" dxfId="42" priority="21">
      <formula>$S$76="×"</formula>
    </cfRule>
  </conditionalFormatting>
  <conditionalFormatting sqref="B100:B105">
    <cfRule type="expression" dxfId="41" priority="20">
      <formula>$S$90="×"</formula>
    </cfRule>
  </conditionalFormatting>
  <conditionalFormatting sqref="B106:B113">
    <cfRule type="expression" dxfId="40" priority="19">
      <formula>$S$100="×"</formula>
    </cfRule>
  </conditionalFormatting>
  <conditionalFormatting sqref="B114:B121">
    <cfRule type="expression" dxfId="39" priority="4">
      <formula>$S$106="×"</formula>
    </cfRule>
  </conditionalFormatting>
  <conditionalFormatting sqref="B122:B136">
    <cfRule type="expression" dxfId="38" priority="6">
      <formula>$S$114="×"</formula>
    </cfRule>
  </conditionalFormatting>
  <conditionalFormatting sqref="B137:B145">
    <cfRule type="expression" dxfId="37" priority="12">
      <formula>$S$122="×"</formula>
    </cfRule>
  </conditionalFormatting>
  <conditionalFormatting sqref="B146:B160">
    <cfRule type="expression" dxfId="36" priority="15">
      <formula>$S$137="×"</formula>
    </cfRule>
  </conditionalFormatting>
  <conditionalFormatting sqref="B161">
    <cfRule type="expression" dxfId="35" priority="14">
      <formula>OR($S$146="×",$S$147="×")</formula>
    </cfRule>
  </conditionalFormatting>
  <pageMargins left="0.75" right="0.75" top="1" bottom="1" header="0.5" footer="0.5"/>
  <pageSetup paperSize="9" scale="98" fitToHeight="0" orientation="portrait" r:id="rId1"/>
  <rowBreaks count="1" manualBreakCount="1">
    <brk id="1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K174"/>
  <sheetViews>
    <sheetView showGridLines="0" view="pageBreakPreview" zoomScaleNormal="100" zoomScaleSheetLayoutView="100" workbookViewId="0">
      <selection activeCell="D24" sqref="D24"/>
    </sheetView>
  </sheetViews>
  <sheetFormatPr defaultRowHeight="18.75" x14ac:dyDescent="0.15"/>
  <cols>
    <col min="1" max="1" width="2.5" style="63" customWidth="1"/>
    <col min="2" max="2" width="2.5" style="129" customWidth="1"/>
    <col min="3" max="3" width="28.25" style="79" customWidth="1"/>
    <col min="4" max="4" width="44.875" style="63" customWidth="1"/>
    <col min="5" max="5" width="8.375" style="63" customWidth="1"/>
    <col min="6" max="6" width="14.75" style="63" customWidth="1"/>
    <col min="7" max="7" width="2.5" style="129" customWidth="1"/>
    <col min="8" max="8" width="2.5" style="63" customWidth="1"/>
    <col min="9" max="9" width="6.125" style="63" customWidth="1"/>
    <col min="10" max="10" width="9" style="63" hidden="1" customWidth="1"/>
    <col min="11" max="11" width="8.375" style="63" customWidth="1"/>
    <col min="12" max="16384" width="9" style="63"/>
  </cols>
  <sheetData>
    <row r="1" spans="2:11" ht="19.5" thickBot="1" x14ac:dyDescent="0.2">
      <c r="I1" s="226"/>
      <c r="J1" s="3"/>
      <c r="K1" s="2" t="str">
        <f>IF(COUNTIF(I:I,"×")&gt;0,"×","○")</f>
        <v>×</v>
      </c>
    </row>
    <row r="2" spans="2:11" x14ac:dyDescent="0.15">
      <c r="C2" s="489" t="s">
        <v>1112</v>
      </c>
      <c r="D2" s="489"/>
      <c r="E2" s="489"/>
      <c r="F2" s="508"/>
      <c r="G2" s="130"/>
      <c r="I2" s="301"/>
      <c r="K2" s="301" t="s">
        <v>869</v>
      </c>
    </row>
    <row r="3" spans="2:11" ht="19.5" thickBot="1" x14ac:dyDescent="0.2"/>
    <row r="4" spans="2:11" ht="19.5" thickBot="1" x14ac:dyDescent="0.2">
      <c r="B4" s="513" t="s">
        <v>693</v>
      </c>
      <c r="C4" s="514"/>
      <c r="D4" s="514"/>
      <c r="E4" s="514"/>
      <c r="F4" s="514"/>
      <c r="G4" s="515"/>
      <c r="I4" s="95"/>
    </row>
    <row r="5" spans="2:11" x14ac:dyDescent="0.15">
      <c r="B5" s="135"/>
      <c r="C5" s="509"/>
      <c r="D5" s="509"/>
      <c r="E5" s="509"/>
      <c r="F5" s="509"/>
      <c r="G5" s="131"/>
      <c r="I5" s="95"/>
    </row>
    <row r="6" spans="2:11" x14ac:dyDescent="0.15">
      <c r="B6" s="136"/>
      <c r="C6" s="510" t="s">
        <v>694</v>
      </c>
      <c r="D6" s="510"/>
      <c r="E6" s="510"/>
      <c r="F6" s="510"/>
      <c r="G6" s="132"/>
      <c r="I6" s="95"/>
    </row>
    <row r="7" spans="2:11" x14ac:dyDescent="0.15">
      <c r="B7" s="136"/>
      <c r="C7" s="510" t="s">
        <v>695</v>
      </c>
      <c r="D7" s="510"/>
      <c r="E7" s="510"/>
      <c r="F7" s="510"/>
      <c r="G7" s="132"/>
      <c r="I7" s="95"/>
    </row>
    <row r="8" spans="2:11" x14ac:dyDescent="0.15">
      <c r="B8" s="136"/>
      <c r="C8" s="510" t="s">
        <v>696</v>
      </c>
      <c r="D8" s="510"/>
      <c r="E8" s="510"/>
      <c r="F8" s="510"/>
      <c r="G8" s="132"/>
      <c r="I8" s="95"/>
    </row>
    <row r="9" spans="2:11" x14ac:dyDescent="0.15">
      <c r="B9" s="136"/>
      <c r="C9" s="511"/>
      <c r="D9" s="511"/>
      <c r="E9" s="511"/>
      <c r="F9" s="511"/>
      <c r="G9" s="133"/>
      <c r="I9" s="95"/>
    </row>
    <row r="10" spans="2:11" ht="64.5" customHeight="1" thickBot="1" x14ac:dyDescent="0.2">
      <c r="B10" s="136"/>
      <c r="C10" s="512" t="str">
        <f>IF('01（学校名入力）'!D5="３号",J10,IF('01（学校名入力）'!D5="４号",'04（様式３）履修証明書'!J11,'04（様式３）履修証明書'!J12))</f>
        <v>上記の者は、本学において臨床検査技師等に関する法律施行令第18条第三号及び第四号の規定に基づき厚生労働大臣が定める検体検査、生理学的検査、採血及び検体採取に関する科目第○条に規定する科目として、次のものを修めて卒業したことを証明する。</v>
      </c>
      <c r="D10" s="512"/>
      <c r="E10" s="512"/>
      <c r="F10" s="512"/>
      <c r="G10" s="133"/>
      <c r="I10" s="95"/>
      <c r="J10" s="216" t="s">
        <v>803</v>
      </c>
    </row>
    <row r="11" spans="2:11" x14ac:dyDescent="0.15">
      <c r="B11" s="136"/>
      <c r="C11" s="69"/>
      <c r="D11" s="83"/>
      <c r="E11" s="131"/>
      <c r="F11" s="84"/>
      <c r="G11" s="86"/>
      <c r="I11" s="95"/>
      <c r="J11" s="216" t="s">
        <v>804</v>
      </c>
    </row>
    <row r="12" spans="2:11" x14ac:dyDescent="0.15">
      <c r="B12" s="136"/>
      <c r="C12" s="80" t="s">
        <v>2</v>
      </c>
      <c r="D12" s="85" t="s">
        <v>697</v>
      </c>
      <c r="E12" s="86" t="s">
        <v>690</v>
      </c>
      <c r="F12" s="86" t="s">
        <v>698</v>
      </c>
      <c r="G12" s="86"/>
      <c r="I12" s="95"/>
      <c r="J12" s="216" t="s">
        <v>805</v>
      </c>
    </row>
    <row r="13" spans="2:11" ht="19.5" thickBot="1" x14ac:dyDescent="0.2">
      <c r="B13" s="136"/>
      <c r="C13" s="81"/>
      <c r="D13" s="87"/>
      <c r="E13" s="88"/>
      <c r="F13" s="87"/>
      <c r="G13" s="137"/>
      <c r="I13" s="95"/>
    </row>
    <row r="14" spans="2:11" ht="19.5" thickBot="1" x14ac:dyDescent="0.2">
      <c r="B14" s="136"/>
      <c r="C14" s="495" t="s">
        <v>722</v>
      </c>
      <c r="D14" s="89" t="str">
        <f>IF('05（様式４）単位数の新旧対照表 '!C12="","",'05（様式４）単位数の新旧対照表 '!C12)</f>
        <v/>
      </c>
      <c r="E14" s="90" t="str">
        <f>IF('05（様式４）単位数の新旧対照表 '!D12="","",'05（様式４）単位数の新旧対照表 '!D12)</f>
        <v/>
      </c>
      <c r="F14" s="89" t="s">
        <v>699</v>
      </c>
      <c r="G14" s="138"/>
    </row>
    <row r="15" spans="2:11" ht="19.5" thickBot="1" x14ac:dyDescent="0.2">
      <c r="B15" s="136"/>
      <c r="C15" s="496"/>
      <c r="D15" s="89" t="str">
        <f>IF('05（様式４）単位数の新旧対照表 '!C13="","",'05（様式４）単位数の新旧対照表 '!C13)</f>
        <v/>
      </c>
      <c r="E15" s="90" t="str">
        <f>IF('05（様式４）単位数の新旧対照表 '!D13="","",'05（様式４）単位数の新旧対照表 '!D13)</f>
        <v/>
      </c>
      <c r="F15" s="89"/>
      <c r="G15" s="138"/>
    </row>
    <row r="16" spans="2:11" ht="19.5" thickBot="1" x14ac:dyDescent="0.2">
      <c r="B16" s="136"/>
      <c r="C16" s="496"/>
      <c r="D16" s="89" t="str">
        <f>IF('05（様式４）単位数の新旧対照表 '!C14="","",'05（様式４）単位数の新旧対照表 '!C14)</f>
        <v/>
      </c>
      <c r="E16" s="90" t="str">
        <f>IF('05（様式４）単位数の新旧対照表 '!D14="","",'05（様式４）単位数の新旧対照表 '!D14)</f>
        <v/>
      </c>
      <c r="F16" s="89"/>
      <c r="G16" s="138"/>
    </row>
    <row r="17" spans="2:7" ht="19.5" thickBot="1" x14ac:dyDescent="0.2">
      <c r="B17" s="136"/>
      <c r="C17" s="496"/>
      <c r="D17" s="89" t="str">
        <f>IF('05（様式４）単位数の新旧対照表 '!C15="","",'05（様式４）単位数の新旧対照表 '!C15)</f>
        <v/>
      </c>
      <c r="E17" s="90" t="str">
        <f>IF('05（様式４）単位数の新旧対照表 '!D15="","",'05（様式４）単位数の新旧対照表 '!D15)</f>
        <v/>
      </c>
      <c r="F17" s="89"/>
      <c r="G17" s="138"/>
    </row>
    <row r="18" spans="2:7" ht="19.5" thickBot="1" x14ac:dyDescent="0.2">
      <c r="B18" s="136"/>
      <c r="C18" s="496"/>
      <c r="D18" s="89" t="str">
        <f>IF('05（様式４）単位数の新旧対照表 '!C16="","",'05（様式４）単位数の新旧対照表 '!C16)</f>
        <v/>
      </c>
      <c r="E18" s="90" t="str">
        <f>IF('05（様式４）単位数の新旧対照表 '!D16="","",'05（様式４）単位数の新旧対照表 '!D16)</f>
        <v/>
      </c>
      <c r="F18" s="89"/>
      <c r="G18" s="138"/>
    </row>
    <row r="19" spans="2:7" ht="19.5" thickBot="1" x14ac:dyDescent="0.2">
      <c r="B19" s="136"/>
      <c r="C19" s="496"/>
      <c r="D19" s="89" t="str">
        <f>IF('05（様式４）単位数の新旧対照表 '!C17="","",'05（様式４）単位数の新旧対照表 '!C17)</f>
        <v/>
      </c>
      <c r="E19" s="90" t="str">
        <f>IF('05（様式４）単位数の新旧対照表 '!D17="","",'05（様式４）単位数の新旧対照表 '!D17)</f>
        <v/>
      </c>
      <c r="F19" s="89"/>
      <c r="G19" s="138"/>
    </row>
    <row r="20" spans="2:7" ht="19.5" thickBot="1" x14ac:dyDescent="0.2">
      <c r="B20" s="136"/>
      <c r="C20" s="496"/>
      <c r="D20" s="89" t="str">
        <f>IF('05（様式４）単位数の新旧対照表 '!C18="","",'05（様式４）単位数の新旧対照表 '!C18)</f>
        <v/>
      </c>
      <c r="E20" s="90" t="str">
        <f>IF('05（様式４）単位数の新旧対照表 '!D18="","",'05（様式４）単位数の新旧対照表 '!D18)</f>
        <v/>
      </c>
      <c r="F20" s="89"/>
      <c r="G20" s="138"/>
    </row>
    <row r="21" spans="2:7" ht="19.5" thickBot="1" x14ac:dyDescent="0.2">
      <c r="B21" s="136"/>
      <c r="C21" s="496"/>
      <c r="D21" s="89" t="str">
        <f>IF('05（様式４）単位数の新旧対照表 '!C19="","",'05（様式４）単位数の新旧対照表 '!C19)</f>
        <v/>
      </c>
      <c r="E21" s="90" t="str">
        <f>IF('05（様式４）単位数の新旧対照表 '!D19="","",'05（様式４）単位数の新旧対照表 '!D19)</f>
        <v/>
      </c>
      <c r="F21" s="89"/>
      <c r="G21" s="138"/>
    </row>
    <row r="22" spans="2:7" ht="19.5" thickBot="1" x14ac:dyDescent="0.2">
      <c r="B22" s="136"/>
      <c r="C22" s="496"/>
      <c r="D22" s="89" t="str">
        <f>IF('05（様式４）単位数の新旧対照表 '!C20="","",'05（様式４）単位数の新旧対照表 '!C20)</f>
        <v/>
      </c>
      <c r="E22" s="90" t="str">
        <f>IF('05（様式４）単位数の新旧対照表 '!D20="","",'05（様式４）単位数の新旧対照表 '!D20)</f>
        <v/>
      </c>
      <c r="F22" s="89"/>
      <c r="G22" s="138"/>
    </row>
    <row r="23" spans="2:7" ht="19.5" thickBot="1" x14ac:dyDescent="0.2">
      <c r="B23" s="136"/>
      <c r="C23" s="496"/>
      <c r="D23" s="89" t="str">
        <f>IF('05（様式４）単位数の新旧対照表 '!C21="","",'05（様式４）単位数の新旧対照表 '!C21)</f>
        <v/>
      </c>
      <c r="E23" s="90" t="str">
        <f>IF('05（様式４）単位数の新旧対照表 '!D21="","",'05（様式４）単位数の新旧対照表 '!D21)</f>
        <v/>
      </c>
      <c r="F23" s="89"/>
      <c r="G23" s="138"/>
    </row>
    <row r="24" spans="2:7" ht="19.5" thickBot="1" x14ac:dyDescent="0.2">
      <c r="B24" s="136"/>
      <c r="C24" s="496"/>
      <c r="D24" s="89" t="str">
        <f>IF('05（様式４）単位数の新旧対照表 '!C22="","",'05（様式４）単位数の新旧対照表 '!C22)</f>
        <v/>
      </c>
      <c r="E24" s="90" t="str">
        <f>IF('05（様式４）単位数の新旧対照表 '!D22="","",'05（様式４）単位数の新旧対照表 '!D22)</f>
        <v/>
      </c>
      <c r="F24" s="89"/>
      <c r="G24" s="138"/>
    </row>
    <row r="25" spans="2:7" ht="19.5" thickBot="1" x14ac:dyDescent="0.2">
      <c r="B25" s="136"/>
      <c r="C25" s="496"/>
      <c r="D25" s="89" t="str">
        <f>IF('05（様式４）単位数の新旧対照表 '!C23="","",'05（様式４）単位数の新旧対照表 '!C23)</f>
        <v/>
      </c>
      <c r="E25" s="90" t="str">
        <f>IF('05（様式４）単位数の新旧対照表 '!D23="","",'05（様式４）単位数の新旧対照表 '!D23)</f>
        <v/>
      </c>
      <c r="F25" s="89"/>
      <c r="G25" s="138"/>
    </row>
    <row r="26" spans="2:7" ht="19.5" thickBot="1" x14ac:dyDescent="0.2">
      <c r="B26" s="136"/>
      <c r="C26" s="496"/>
      <c r="D26" s="89" t="str">
        <f>IF('05（様式４）単位数の新旧対照表 '!C24="","",'05（様式４）単位数の新旧対照表 '!C24)</f>
        <v/>
      </c>
      <c r="E26" s="90" t="str">
        <f>IF('05（様式４）単位数の新旧対照表 '!D24="","",'05（様式４）単位数の新旧対照表 '!D24)</f>
        <v/>
      </c>
      <c r="F26" s="89"/>
      <c r="G26" s="138"/>
    </row>
    <row r="27" spans="2:7" ht="19.5" thickBot="1" x14ac:dyDescent="0.2">
      <c r="B27" s="136"/>
      <c r="C27" s="496"/>
      <c r="D27" s="89" t="str">
        <f>IF('05（様式４）単位数の新旧対照表 '!C25="","",'05（様式４）単位数の新旧対照表 '!C25)</f>
        <v/>
      </c>
      <c r="E27" s="90" t="str">
        <f>IF('05（様式４）単位数の新旧対照表 '!D25="","",'05（様式４）単位数の新旧対照表 '!D25)</f>
        <v/>
      </c>
      <c r="F27" s="89"/>
      <c r="G27" s="138"/>
    </row>
    <row r="28" spans="2:7" ht="19.5" thickBot="1" x14ac:dyDescent="0.2">
      <c r="B28" s="136"/>
      <c r="C28" s="496"/>
      <c r="D28" s="89" t="str">
        <f>IF('05（様式４）単位数の新旧対照表 '!C26="","",'05（様式４）単位数の新旧対照表 '!C26)</f>
        <v/>
      </c>
      <c r="E28" s="90" t="str">
        <f>IF('05（様式４）単位数の新旧対照表 '!D26="","",'05（様式４）単位数の新旧対照表 '!D26)</f>
        <v/>
      </c>
      <c r="F28" s="89"/>
      <c r="G28" s="138"/>
    </row>
    <row r="29" spans="2:7" ht="19.5" thickBot="1" x14ac:dyDescent="0.2">
      <c r="B29" s="136"/>
      <c r="C29" s="496"/>
      <c r="D29" s="89" t="str">
        <f>IF('05（様式４）単位数の新旧対照表 '!C27="","",'05（様式４）単位数の新旧対照表 '!C27)</f>
        <v/>
      </c>
      <c r="E29" s="90" t="str">
        <f>IF('05（様式４）単位数の新旧対照表 '!D27="","",'05（様式４）単位数の新旧対照表 '!D27)</f>
        <v/>
      </c>
      <c r="F29" s="89"/>
      <c r="G29" s="138"/>
    </row>
    <row r="30" spans="2:7" ht="19.5" thickBot="1" x14ac:dyDescent="0.2">
      <c r="B30" s="136"/>
      <c r="C30" s="496"/>
      <c r="D30" s="89" t="str">
        <f>IF('05（様式４）単位数の新旧対照表 '!C28="","",'05（様式４）単位数の新旧対照表 '!C28)</f>
        <v/>
      </c>
      <c r="E30" s="90" t="str">
        <f>IF('05（様式４）単位数の新旧対照表 '!D28="","",'05（様式４）単位数の新旧対照表 '!D28)</f>
        <v/>
      </c>
      <c r="F30" s="89"/>
      <c r="G30" s="138"/>
    </row>
    <row r="31" spans="2:7" ht="19.5" thickBot="1" x14ac:dyDescent="0.2">
      <c r="B31" s="136"/>
      <c r="C31" s="496"/>
      <c r="D31" s="89" t="str">
        <f>IF('05（様式４）単位数の新旧対照表 '!C29="","",'05（様式４）単位数の新旧対照表 '!C29)</f>
        <v/>
      </c>
      <c r="E31" s="90" t="str">
        <f>IF('05（様式４）単位数の新旧対照表 '!D29="","",'05（様式４）単位数の新旧対照表 '!D29)</f>
        <v/>
      </c>
      <c r="F31" s="89"/>
      <c r="G31" s="138"/>
    </row>
    <row r="32" spans="2:7" s="252" customFormat="1" ht="19.5" thickBot="1" x14ac:dyDescent="0.2">
      <c r="B32" s="136"/>
      <c r="C32" s="496"/>
      <c r="D32" s="89" t="str">
        <f>IF('05（様式４）単位数の新旧対照表 '!C30="","",'05（様式４）単位数の新旧対照表 '!C30)</f>
        <v/>
      </c>
      <c r="E32" s="90" t="str">
        <f>IF('05（様式４）単位数の新旧対照表 '!D30="","",'05（様式４）単位数の新旧対照表 '!D30)</f>
        <v/>
      </c>
      <c r="F32" s="89"/>
      <c r="G32" s="138"/>
    </row>
    <row r="33" spans="2:7" s="252" customFormat="1" ht="19.5" thickBot="1" x14ac:dyDescent="0.2">
      <c r="B33" s="136"/>
      <c r="C33" s="496"/>
      <c r="D33" s="89" t="str">
        <f>IF('05（様式４）単位数の新旧対照表 '!C31="","",'05（様式４）単位数の新旧対照表 '!C31)</f>
        <v/>
      </c>
      <c r="E33" s="90" t="str">
        <f>IF('05（様式４）単位数の新旧対照表 '!D31="","",'05（様式４）単位数の新旧対照表 '!D31)</f>
        <v/>
      </c>
      <c r="F33" s="89"/>
      <c r="G33" s="138"/>
    </row>
    <row r="34" spans="2:7" s="252" customFormat="1" ht="19.5" thickBot="1" x14ac:dyDescent="0.2">
      <c r="B34" s="136"/>
      <c r="C34" s="496"/>
      <c r="D34" s="89" t="str">
        <f>IF('05（様式４）単位数の新旧対照表 '!C32="","",'05（様式４）単位数の新旧対照表 '!C32)</f>
        <v/>
      </c>
      <c r="E34" s="90" t="str">
        <f>IF('05（様式４）単位数の新旧対照表 '!D32="","",'05（様式４）単位数の新旧対照表 '!D32)</f>
        <v/>
      </c>
      <c r="F34" s="89"/>
      <c r="G34" s="138"/>
    </row>
    <row r="35" spans="2:7" s="252" customFormat="1" ht="19.5" thickBot="1" x14ac:dyDescent="0.2">
      <c r="B35" s="136"/>
      <c r="C35" s="496"/>
      <c r="D35" s="89" t="str">
        <f>IF('05（様式４）単位数の新旧対照表 '!C33="","",'05（様式４）単位数の新旧対照表 '!C33)</f>
        <v/>
      </c>
      <c r="E35" s="90" t="str">
        <f>IF('05（様式４）単位数の新旧対照表 '!D33="","",'05（様式４）単位数の新旧対照表 '!D33)</f>
        <v/>
      </c>
      <c r="F35" s="89"/>
      <c r="G35" s="138"/>
    </row>
    <row r="36" spans="2:7" ht="19.5" thickBot="1" x14ac:dyDescent="0.2">
      <c r="B36" s="136"/>
      <c r="C36" s="496"/>
      <c r="D36" s="89" t="str">
        <f>IF('05（様式４）単位数の新旧対照表 '!C34="","",'05（様式４）単位数の新旧対照表 '!C34)</f>
        <v/>
      </c>
      <c r="E36" s="90" t="str">
        <f>IF('05（様式４）単位数の新旧対照表 '!D34="","",'05（様式４）単位数の新旧対照表 '!D34)</f>
        <v/>
      </c>
      <c r="F36" s="89"/>
      <c r="G36" s="138"/>
    </row>
    <row r="37" spans="2:7" s="252" customFormat="1" ht="19.5" thickBot="1" x14ac:dyDescent="0.2">
      <c r="B37" s="136"/>
      <c r="C37" s="496"/>
      <c r="D37" s="89" t="str">
        <f>IF('05（様式４）単位数の新旧対照表 '!C35="","",'05（様式４）単位数の新旧対照表 '!C35)</f>
        <v/>
      </c>
      <c r="E37" s="90" t="str">
        <f>IF('05（様式４）単位数の新旧対照表 '!D35="","",'05（様式４）単位数の新旧対照表 '!D35)</f>
        <v/>
      </c>
      <c r="F37" s="89"/>
      <c r="G37" s="138"/>
    </row>
    <row r="38" spans="2:7" s="279" customFormat="1" ht="19.5" thickBot="1" x14ac:dyDescent="0.2">
      <c r="B38" s="136"/>
      <c r="C38" s="496"/>
      <c r="D38" s="89" t="str">
        <f>IF('05（様式４）単位数の新旧対照表 '!C36="","",'05（様式４）単位数の新旧対照表 '!C36)</f>
        <v/>
      </c>
      <c r="E38" s="90" t="str">
        <f>IF('05（様式４）単位数の新旧対照表 '!D36="","",'05（様式４）単位数の新旧対照表 '!D36)</f>
        <v/>
      </c>
      <c r="F38" s="89"/>
      <c r="G38" s="138"/>
    </row>
    <row r="39" spans="2:7" s="279" customFormat="1" ht="19.5" thickBot="1" x14ac:dyDescent="0.2">
      <c r="B39" s="136"/>
      <c r="C39" s="496"/>
      <c r="D39" s="89" t="str">
        <f>IF('05（様式４）単位数の新旧対照表 '!C37="","",'05（様式４）単位数の新旧対照表 '!C37)</f>
        <v/>
      </c>
      <c r="E39" s="90" t="str">
        <f>IF('05（様式４）単位数の新旧対照表 '!D37="","",'05（様式４）単位数の新旧対照表 '!D37)</f>
        <v/>
      </c>
      <c r="F39" s="89"/>
      <c r="G39" s="138"/>
    </row>
    <row r="40" spans="2:7" ht="19.5" thickBot="1" x14ac:dyDescent="0.2">
      <c r="B40" s="136"/>
      <c r="C40" s="497"/>
      <c r="D40" s="89" t="str">
        <f>IF('05（様式４）単位数の新旧対照表 '!C38="","",'05（様式４）単位数の新旧対照表 '!C38)</f>
        <v/>
      </c>
      <c r="E40" s="90" t="str">
        <f>IF('05（様式４）単位数の新旧対照表 '!D38="","",'05（様式４）単位数の新旧対照表 '!D38)</f>
        <v/>
      </c>
      <c r="F40" s="89"/>
      <c r="G40" s="138"/>
    </row>
    <row r="41" spans="2:7" ht="19.5" thickBot="1" x14ac:dyDescent="0.2">
      <c r="B41" s="136"/>
      <c r="C41" s="479" t="s">
        <v>8</v>
      </c>
      <c r="D41" s="89" t="str">
        <f>IF('05（様式４）単位数の新旧対照表 '!C39="","",'05（様式４）単位数の新旧対照表 '!C39)</f>
        <v/>
      </c>
      <c r="E41" s="90" t="str">
        <f>IF('05（様式４）単位数の新旧対照表 '!D39="","",'05（様式４）単位数の新旧対照表 '!D39)</f>
        <v/>
      </c>
      <c r="F41" s="89"/>
      <c r="G41" s="138"/>
    </row>
    <row r="42" spans="2:7" ht="19.5" thickBot="1" x14ac:dyDescent="0.2">
      <c r="B42" s="136"/>
      <c r="C42" s="498"/>
      <c r="D42" s="89" t="str">
        <f>IF('05（様式４）単位数の新旧対照表 '!C40="","",'05（様式４）単位数の新旧対照表 '!C40)</f>
        <v/>
      </c>
      <c r="E42" s="90" t="str">
        <f>IF('05（様式４）単位数の新旧対照表 '!D40="","",'05（様式４）単位数の新旧対照表 '!D40)</f>
        <v/>
      </c>
      <c r="F42" s="89"/>
      <c r="G42" s="138"/>
    </row>
    <row r="43" spans="2:7" s="245" customFormat="1" ht="19.5" thickBot="1" x14ac:dyDescent="0.2">
      <c r="B43" s="136"/>
      <c r="C43" s="498"/>
      <c r="D43" s="89" t="str">
        <f>IF('05（様式４）単位数の新旧対照表 '!C41="","",'05（様式４）単位数の新旧対照表 '!C41)</f>
        <v/>
      </c>
      <c r="E43" s="90" t="str">
        <f>IF('05（様式４）単位数の新旧対照表 '!D41="","",'05（様式４）単位数の新旧対照表 '!D41)</f>
        <v/>
      </c>
      <c r="F43" s="89"/>
      <c r="G43" s="138"/>
    </row>
    <row r="44" spans="2:7" s="252" customFormat="1" ht="19.5" thickBot="1" x14ac:dyDescent="0.2">
      <c r="B44" s="136"/>
      <c r="C44" s="498"/>
      <c r="D44" s="89" t="str">
        <f>IF('05（様式４）単位数の新旧対照表 '!C42="","",'05（様式４）単位数の新旧対照表 '!C42)</f>
        <v/>
      </c>
      <c r="E44" s="90" t="str">
        <f>IF('05（様式４）単位数の新旧対照表 '!D42="","",'05（様式４）単位数の新旧対照表 '!D42)</f>
        <v/>
      </c>
      <c r="F44" s="89"/>
      <c r="G44" s="138"/>
    </row>
    <row r="45" spans="2:7" s="252" customFormat="1" ht="19.5" thickBot="1" x14ac:dyDescent="0.2">
      <c r="B45" s="136"/>
      <c r="C45" s="498"/>
      <c r="D45" s="89" t="str">
        <f>IF('05（様式４）単位数の新旧対照表 '!C43="","",'05（様式４）単位数の新旧対照表 '!C43)</f>
        <v/>
      </c>
      <c r="E45" s="90" t="str">
        <f>IF('05（様式４）単位数の新旧対照表 '!D43="","",'05（様式４）単位数の新旧対照表 '!D43)</f>
        <v/>
      </c>
      <c r="F45" s="89"/>
      <c r="G45" s="138"/>
    </row>
    <row r="46" spans="2:7" s="252" customFormat="1" ht="19.5" thickBot="1" x14ac:dyDescent="0.2">
      <c r="B46" s="136"/>
      <c r="C46" s="498"/>
      <c r="D46" s="89" t="str">
        <f>IF('05（様式４）単位数の新旧対照表 '!C44="","",'05（様式４）単位数の新旧対照表 '!C44)</f>
        <v/>
      </c>
      <c r="E46" s="90" t="str">
        <f>IF('05（様式４）単位数の新旧対照表 '!D44="","",'05（様式４）単位数の新旧対照表 '!D44)</f>
        <v/>
      </c>
      <c r="F46" s="89"/>
      <c r="G46" s="138"/>
    </row>
    <row r="47" spans="2:7" ht="19.5" thickBot="1" x14ac:dyDescent="0.2">
      <c r="B47" s="136"/>
      <c r="C47" s="498"/>
      <c r="D47" s="89" t="str">
        <f>IF('05（様式４）単位数の新旧対照表 '!C45="","",'05（様式４）単位数の新旧対照表 '!C45)</f>
        <v/>
      </c>
      <c r="E47" s="90" t="str">
        <f>IF('05（様式４）単位数の新旧対照表 '!D45="","",'05（様式４）単位数の新旧対照表 '!D45)</f>
        <v/>
      </c>
      <c r="F47" s="89"/>
      <c r="G47" s="138"/>
    </row>
    <row r="48" spans="2:7" ht="19.5" thickBot="1" x14ac:dyDescent="0.2">
      <c r="B48" s="136"/>
      <c r="C48" s="499"/>
      <c r="D48" s="89" t="str">
        <f>IF('05（様式４）単位数の新旧対照表 '!C46="","",'05（様式４）単位数の新旧対照表 '!C46)</f>
        <v/>
      </c>
      <c r="E48" s="90" t="str">
        <f>IF('05（様式４）単位数の新旧対照表 '!D46="","",'05（様式４）単位数の新旧対照表 '!D46)</f>
        <v/>
      </c>
      <c r="F48" s="89"/>
      <c r="G48" s="138"/>
    </row>
    <row r="49" spans="2:7" ht="19.5" thickBot="1" x14ac:dyDescent="0.2">
      <c r="B49" s="136"/>
      <c r="C49" s="479" t="s">
        <v>9</v>
      </c>
      <c r="D49" s="89" t="str">
        <f>IF('05（様式４）単位数の新旧対照表 '!C47="","",'05（様式４）単位数の新旧対照表 '!C47)</f>
        <v/>
      </c>
      <c r="E49" s="90" t="str">
        <f>IF('05（様式４）単位数の新旧対照表 '!D47="","",'05（様式４）単位数の新旧対照表 '!D47)</f>
        <v/>
      </c>
      <c r="F49" s="89"/>
      <c r="G49" s="138"/>
    </row>
    <row r="50" spans="2:7" ht="19.5" thickBot="1" x14ac:dyDescent="0.2">
      <c r="B50" s="136"/>
      <c r="C50" s="480"/>
      <c r="D50" s="89" t="str">
        <f>IF('05（様式４）単位数の新旧対照表 '!C48="","",'05（様式４）単位数の新旧対照表 '!C48)</f>
        <v/>
      </c>
      <c r="E50" s="90" t="str">
        <f>IF('05（様式４）単位数の新旧対照表 '!D48="","",'05（様式４）単位数の新旧対照表 '!D48)</f>
        <v/>
      </c>
      <c r="F50" s="89"/>
      <c r="G50" s="138"/>
    </row>
    <row r="51" spans="2:7" s="245" customFormat="1" ht="19.5" thickBot="1" x14ac:dyDescent="0.2">
      <c r="B51" s="136"/>
      <c r="C51" s="480"/>
      <c r="D51" s="89" t="str">
        <f>IF('05（様式４）単位数の新旧対照表 '!C49="","",'05（様式４）単位数の新旧対照表 '!C49)</f>
        <v/>
      </c>
      <c r="E51" s="90" t="str">
        <f>IF('05（様式４）単位数の新旧対照表 '!D49="","",'05（様式４）単位数の新旧対照表 '!D49)</f>
        <v/>
      </c>
      <c r="F51" s="89"/>
      <c r="G51" s="138"/>
    </row>
    <row r="52" spans="2:7" s="252" customFormat="1" ht="19.5" thickBot="1" x14ac:dyDescent="0.2">
      <c r="B52" s="136"/>
      <c r="C52" s="480"/>
      <c r="D52" s="89" t="str">
        <f>IF('05（様式４）単位数の新旧対照表 '!C50="","",'05（様式４）単位数の新旧対照表 '!C50)</f>
        <v/>
      </c>
      <c r="E52" s="90" t="str">
        <f>IF('05（様式４）単位数の新旧対照表 '!D50="","",'05（様式４）単位数の新旧対照表 '!D50)</f>
        <v/>
      </c>
      <c r="F52" s="89"/>
      <c r="G52" s="138"/>
    </row>
    <row r="53" spans="2:7" s="252" customFormat="1" ht="19.5" thickBot="1" x14ac:dyDescent="0.2">
      <c r="B53" s="136"/>
      <c r="C53" s="480"/>
      <c r="D53" s="89" t="str">
        <f>IF('05（様式４）単位数の新旧対照表 '!C51="","",'05（様式４）単位数の新旧対照表 '!C51)</f>
        <v/>
      </c>
      <c r="E53" s="90" t="str">
        <f>IF('05（様式４）単位数の新旧対照表 '!D51="","",'05（様式４）単位数の新旧対照表 '!D51)</f>
        <v/>
      </c>
      <c r="F53" s="89"/>
      <c r="G53" s="138"/>
    </row>
    <row r="54" spans="2:7" s="252" customFormat="1" ht="19.5" thickBot="1" x14ac:dyDescent="0.2">
      <c r="B54" s="136"/>
      <c r="C54" s="480"/>
      <c r="D54" s="89" t="str">
        <f>IF('05（様式４）単位数の新旧対照表 '!C52="","",'05（様式４）単位数の新旧対照表 '!C52)</f>
        <v/>
      </c>
      <c r="E54" s="90" t="str">
        <f>IF('05（様式４）単位数の新旧対照表 '!D52="","",'05（様式４）単位数の新旧対照表 '!D52)</f>
        <v/>
      </c>
      <c r="F54" s="89"/>
      <c r="G54" s="138"/>
    </row>
    <row r="55" spans="2:7" ht="19.5" thickBot="1" x14ac:dyDescent="0.2">
      <c r="B55" s="136"/>
      <c r="C55" s="480"/>
      <c r="D55" s="89" t="str">
        <f>IF('05（様式４）単位数の新旧対照表 '!C53="","",'05（様式４）単位数の新旧対照表 '!C53)</f>
        <v/>
      </c>
      <c r="E55" s="90" t="str">
        <f>IF('05（様式４）単位数の新旧対照表 '!D53="","",'05（様式４）単位数の新旧対照表 '!D53)</f>
        <v/>
      </c>
      <c r="F55" s="89"/>
      <c r="G55" s="138"/>
    </row>
    <row r="56" spans="2:7" ht="19.5" thickBot="1" x14ac:dyDescent="0.2">
      <c r="B56" s="136"/>
      <c r="C56" s="481"/>
      <c r="D56" s="89" t="str">
        <f>IF('05（様式４）単位数の新旧対照表 '!C54="","",'05（様式４）単位数の新旧対照表 '!C54)</f>
        <v/>
      </c>
      <c r="E56" s="90" t="str">
        <f>IF('05（様式４）単位数の新旧対照表 '!D54="","",'05（様式４）単位数の新旧対照表 '!D54)</f>
        <v/>
      </c>
      <c r="F56" s="89"/>
      <c r="G56" s="138"/>
    </row>
    <row r="57" spans="2:7" ht="19.5" thickBot="1" x14ac:dyDescent="0.2">
      <c r="B57" s="136"/>
      <c r="C57" s="479" t="s">
        <v>10</v>
      </c>
      <c r="D57" s="89" t="str">
        <f>IF('05（様式４）単位数の新旧対照表 '!C55="","",'05（様式４）単位数の新旧対照表 '!C55)</f>
        <v/>
      </c>
      <c r="E57" s="90" t="str">
        <f>IF('05（様式４）単位数の新旧対照表 '!D55="","",'05（様式４）単位数の新旧対照表 '!D55)</f>
        <v/>
      </c>
      <c r="F57" s="89"/>
      <c r="G57" s="138"/>
    </row>
    <row r="58" spans="2:7" ht="19.5" thickBot="1" x14ac:dyDescent="0.2">
      <c r="B58" s="136"/>
      <c r="C58" s="480"/>
      <c r="D58" s="89" t="str">
        <f>IF('05（様式４）単位数の新旧対照表 '!C56="","",'05（様式４）単位数の新旧対照表 '!C56)</f>
        <v/>
      </c>
      <c r="E58" s="90" t="str">
        <f>IF('05（様式４）単位数の新旧対照表 '!D56="","",'05（様式４）単位数の新旧対照表 '!D56)</f>
        <v/>
      </c>
      <c r="F58" s="89"/>
      <c r="G58" s="138"/>
    </row>
    <row r="59" spans="2:7" s="221" customFormat="1" ht="19.5" thickBot="1" x14ac:dyDescent="0.2">
      <c r="B59" s="136"/>
      <c r="C59" s="480"/>
      <c r="D59" s="89" t="str">
        <f>IF('05（様式４）単位数の新旧対照表 '!C57="","",'05（様式４）単位数の新旧対照表 '!C57)</f>
        <v/>
      </c>
      <c r="E59" s="90" t="str">
        <f>IF('05（様式４）単位数の新旧対照表 '!D57="","",'05（様式４）単位数の新旧対照表 '!D57)</f>
        <v/>
      </c>
      <c r="F59" s="89"/>
      <c r="G59" s="138"/>
    </row>
    <row r="60" spans="2:7" s="252" customFormat="1" ht="19.5" thickBot="1" x14ac:dyDescent="0.2">
      <c r="B60" s="136"/>
      <c r="C60" s="480"/>
      <c r="D60" s="89" t="str">
        <f>IF('05（様式４）単位数の新旧対照表 '!C58="","",'05（様式４）単位数の新旧対照表 '!C58)</f>
        <v/>
      </c>
      <c r="E60" s="90" t="str">
        <f>IF('05（様式４）単位数の新旧対照表 '!D58="","",'05（様式４）単位数の新旧対照表 '!D58)</f>
        <v/>
      </c>
      <c r="F60" s="89"/>
      <c r="G60" s="138"/>
    </row>
    <row r="61" spans="2:7" s="252" customFormat="1" ht="19.5" thickBot="1" x14ac:dyDescent="0.2">
      <c r="B61" s="136"/>
      <c r="C61" s="480"/>
      <c r="D61" s="89" t="str">
        <f>IF('05（様式４）単位数の新旧対照表 '!C59="","",'05（様式４）単位数の新旧対照表 '!C59)</f>
        <v/>
      </c>
      <c r="E61" s="90" t="str">
        <f>IF('05（様式４）単位数の新旧対照表 '!D59="","",'05（様式４）単位数の新旧対照表 '!D59)</f>
        <v/>
      </c>
      <c r="F61" s="89"/>
      <c r="G61" s="138"/>
    </row>
    <row r="62" spans="2:7" s="252" customFormat="1" ht="19.5" thickBot="1" x14ac:dyDescent="0.2">
      <c r="B62" s="136"/>
      <c r="C62" s="480"/>
      <c r="D62" s="89" t="str">
        <f>IF('05（様式４）単位数の新旧対照表 '!C60="","",'05（様式４）単位数の新旧対照表 '!C60)</f>
        <v/>
      </c>
      <c r="E62" s="90" t="str">
        <f>IF('05（様式４）単位数の新旧対照表 '!D60="","",'05（様式４）単位数の新旧対照表 '!D60)</f>
        <v/>
      </c>
      <c r="F62" s="89"/>
      <c r="G62" s="138"/>
    </row>
    <row r="63" spans="2:7" s="221" customFormat="1" ht="19.5" thickBot="1" x14ac:dyDescent="0.2">
      <c r="B63" s="136"/>
      <c r="C63" s="480"/>
      <c r="D63" s="89" t="str">
        <f>IF('05（様式４）単位数の新旧対照表 '!C61="","",'05（様式４）単位数の新旧対照表 '!C61)</f>
        <v/>
      </c>
      <c r="E63" s="90" t="str">
        <f>IF('05（様式４）単位数の新旧対照表 '!D61="","",'05（様式４）単位数の新旧対照表 '!D61)</f>
        <v/>
      </c>
      <c r="F63" s="89"/>
      <c r="G63" s="138"/>
    </row>
    <row r="64" spans="2:7" ht="19.5" thickBot="1" x14ac:dyDescent="0.2">
      <c r="B64" s="136"/>
      <c r="C64" s="480"/>
      <c r="D64" s="89" t="str">
        <f>IF('05（様式４）単位数の新旧対照表 '!C62="","",'05（様式４）単位数の新旧対照表 '!C62)</f>
        <v/>
      </c>
      <c r="E64" s="90" t="str">
        <f>IF('05（様式４）単位数の新旧対照表 '!D62="","",'05（様式４）単位数の新旧対照表 '!D62)</f>
        <v/>
      </c>
      <c r="F64" s="89"/>
      <c r="G64" s="138"/>
    </row>
    <row r="65" spans="2:7" ht="19.5" thickBot="1" x14ac:dyDescent="0.2">
      <c r="B65" s="136"/>
      <c r="C65" s="479" t="s">
        <v>11</v>
      </c>
      <c r="D65" s="89" t="str">
        <f>IF('05（様式４）単位数の新旧対照表 '!C63="","",'05（様式４）単位数の新旧対照表 '!C63)</f>
        <v/>
      </c>
      <c r="E65" s="90" t="str">
        <f>IF('05（様式４）単位数の新旧対照表 '!D63="","",'05（様式４）単位数の新旧対照表 '!D63)</f>
        <v/>
      </c>
      <c r="F65" s="89"/>
      <c r="G65" s="138"/>
    </row>
    <row r="66" spans="2:7" ht="19.5" thickBot="1" x14ac:dyDescent="0.2">
      <c r="B66" s="136"/>
      <c r="C66" s="480"/>
      <c r="D66" s="89" t="str">
        <f>IF('05（様式４）単位数の新旧対照表 '!C64="","",'05（様式４）単位数の新旧対照表 '!C64)</f>
        <v/>
      </c>
      <c r="E66" s="90" t="str">
        <f>IF('05（様式４）単位数の新旧対照表 '!D64="","",'05（様式４）単位数の新旧対照表 '!D64)</f>
        <v/>
      </c>
      <c r="F66" s="89"/>
      <c r="G66" s="138"/>
    </row>
    <row r="67" spans="2:7" ht="19.5" thickBot="1" x14ac:dyDescent="0.2">
      <c r="B67" s="136"/>
      <c r="C67" s="480"/>
      <c r="D67" s="89" t="str">
        <f>IF('05（様式４）単位数の新旧対照表 '!C65="","",'05（様式４）単位数の新旧対照表 '!C65)</f>
        <v/>
      </c>
      <c r="E67" s="90" t="str">
        <f>IF('05（様式４）単位数の新旧対照表 '!D65="","",'05（様式４）単位数の新旧対照表 '!D65)</f>
        <v/>
      </c>
      <c r="F67" s="89"/>
      <c r="G67" s="138"/>
    </row>
    <row r="68" spans="2:7" s="252" customFormat="1" ht="19.5" thickBot="1" x14ac:dyDescent="0.2">
      <c r="B68" s="136"/>
      <c r="C68" s="480"/>
      <c r="D68" s="89" t="str">
        <f>IF('05（様式４）単位数の新旧対照表 '!C66="","",'05（様式４）単位数の新旧対照表 '!C66)</f>
        <v/>
      </c>
      <c r="E68" s="90" t="str">
        <f>IF('05（様式４）単位数の新旧対照表 '!D66="","",'05（様式４）単位数の新旧対照表 '!D66)</f>
        <v/>
      </c>
      <c r="F68" s="89"/>
      <c r="G68" s="138"/>
    </row>
    <row r="69" spans="2:7" s="252" customFormat="1" ht="19.5" thickBot="1" x14ac:dyDescent="0.2">
      <c r="B69" s="136"/>
      <c r="C69" s="480"/>
      <c r="D69" s="89" t="str">
        <f>IF('05（様式４）単位数の新旧対照表 '!C67="","",'05（様式４）単位数の新旧対照表 '!C67)</f>
        <v/>
      </c>
      <c r="E69" s="90" t="str">
        <f>IF('05（様式４）単位数の新旧対照表 '!D67="","",'05（様式４）単位数の新旧対照表 '!D67)</f>
        <v/>
      </c>
      <c r="F69" s="89"/>
      <c r="G69" s="138"/>
    </row>
    <row r="70" spans="2:7" s="252" customFormat="1" ht="19.5" thickBot="1" x14ac:dyDescent="0.2">
      <c r="B70" s="136"/>
      <c r="C70" s="480"/>
      <c r="D70" s="89" t="str">
        <f>IF('05（様式４）単位数の新旧対照表 '!C68="","",'05（様式４）単位数の新旧対照表 '!C68)</f>
        <v/>
      </c>
      <c r="E70" s="90" t="str">
        <f>IF('05（様式４）単位数の新旧対照表 '!D68="","",'05（様式４）単位数の新旧対照表 '!D68)</f>
        <v/>
      </c>
      <c r="F70" s="89"/>
      <c r="G70" s="138"/>
    </row>
    <row r="71" spans="2:7" s="106" customFormat="1" ht="19.5" thickBot="1" x14ac:dyDescent="0.2">
      <c r="B71" s="136"/>
      <c r="C71" s="480"/>
      <c r="D71" s="89" t="str">
        <f>IF('05（様式４）単位数の新旧対照表 '!C69="","",'05（様式４）単位数の新旧対照表 '!C69)</f>
        <v/>
      </c>
      <c r="E71" s="90" t="str">
        <f>IF('05（様式４）単位数の新旧対照表 '!D69="","",'05（様式４）単位数の新旧対照表 '!D69)</f>
        <v/>
      </c>
      <c r="F71" s="89"/>
      <c r="G71" s="138"/>
    </row>
    <row r="72" spans="2:7" ht="19.5" thickBot="1" x14ac:dyDescent="0.2">
      <c r="B72" s="136"/>
      <c r="C72" s="481"/>
      <c r="D72" s="89" t="str">
        <f>IF('05（様式４）単位数の新旧対照表 '!C70="","",'05（様式４）単位数の新旧対照表 '!C70)</f>
        <v/>
      </c>
      <c r="E72" s="90" t="str">
        <f>IF('05（様式４）単位数の新旧対照表 '!D70="","",'05（様式４）単位数の新旧対照表 '!D70)</f>
        <v/>
      </c>
      <c r="F72" s="89"/>
      <c r="G72" s="138"/>
    </row>
    <row r="73" spans="2:7" ht="19.5" thickBot="1" x14ac:dyDescent="0.2">
      <c r="B73" s="136"/>
      <c r="C73" s="479" t="s">
        <v>12</v>
      </c>
      <c r="D73" s="89" t="str">
        <f>IF('05（様式４）単位数の新旧対照表 '!C71="","",'05（様式４）単位数の新旧対照表 '!C71)</f>
        <v/>
      </c>
      <c r="E73" s="90" t="str">
        <f>IF('05（様式４）単位数の新旧対照表 '!D71="","",'05（様式４）単位数の新旧対照表 '!D71)</f>
        <v/>
      </c>
      <c r="F73" s="89"/>
      <c r="G73" s="138"/>
    </row>
    <row r="74" spans="2:7" ht="19.5" thickBot="1" x14ac:dyDescent="0.2">
      <c r="B74" s="136"/>
      <c r="C74" s="480"/>
      <c r="D74" s="89" t="str">
        <f>IF('05（様式４）単位数の新旧対照表 '!C72="","",'05（様式４）単位数の新旧対照表 '!C72)</f>
        <v/>
      </c>
      <c r="E74" s="90" t="str">
        <f>IF('05（様式４）単位数の新旧対照表 '!D72="","",'05（様式４）単位数の新旧対照表 '!D72)</f>
        <v/>
      </c>
      <c r="F74" s="89"/>
      <c r="G74" s="138"/>
    </row>
    <row r="75" spans="2:7" ht="19.5" thickBot="1" x14ac:dyDescent="0.2">
      <c r="B75" s="136"/>
      <c r="C75" s="480"/>
      <c r="D75" s="89" t="str">
        <f>IF('05（様式４）単位数の新旧対照表 '!C73="","",'05（様式４）単位数の新旧対照表 '!C73)</f>
        <v/>
      </c>
      <c r="E75" s="90" t="str">
        <f>IF('05（様式４）単位数の新旧対照表 '!D73="","",'05（様式４）単位数の新旧対照表 '!D73)</f>
        <v/>
      </c>
      <c r="F75" s="89"/>
      <c r="G75" s="138"/>
    </row>
    <row r="76" spans="2:7" s="252" customFormat="1" ht="19.5" thickBot="1" x14ac:dyDescent="0.2">
      <c r="B76" s="136"/>
      <c r="C76" s="480"/>
      <c r="D76" s="89" t="str">
        <f>IF('05（様式４）単位数の新旧対照表 '!C74="","",'05（様式４）単位数の新旧対照表 '!C74)</f>
        <v/>
      </c>
      <c r="E76" s="90" t="str">
        <f>IF('05（様式４）単位数の新旧対照表 '!D74="","",'05（様式４）単位数の新旧対照表 '!D74)</f>
        <v/>
      </c>
      <c r="F76" s="89"/>
      <c r="G76" s="138"/>
    </row>
    <row r="77" spans="2:7" s="252" customFormat="1" ht="19.5" thickBot="1" x14ac:dyDescent="0.2">
      <c r="B77" s="136"/>
      <c r="C77" s="480"/>
      <c r="D77" s="89" t="str">
        <f>IF('05（様式４）単位数の新旧対照表 '!C75="","",'05（様式４）単位数の新旧対照表 '!C75)</f>
        <v/>
      </c>
      <c r="E77" s="90" t="str">
        <f>IF('05（様式４）単位数の新旧対照表 '!D75="","",'05（様式４）単位数の新旧対照表 '!D75)</f>
        <v/>
      </c>
      <c r="F77" s="89"/>
      <c r="G77" s="138"/>
    </row>
    <row r="78" spans="2:7" ht="19.5" thickBot="1" x14ac:dyDescent="0.2">
      <c r="B78" s="136"/>
      <c r="C78" s="481"/>
      <c r="D78" s="89" t="str">
        <f>IF('05（様式４）単位数の新旧対照表 '!C76="","",'05（様式４）単位数の新旧対照表 '!C76)</f>
        <v/>
      </c>
      <c r="E78" s="90" t="str">
        <f>IF('05（様式４）単位数の新旧対照表 '!D76="","",'05（様式４）単位数の新旧対照表 '!D76)</f>
        <v/>
      </c>
      <c r="F78" s="89"/>
      <c r="G78" s="138"/>
    </row>
    <row r="79" spans="2:7" ht="19.5" thickBot="1" x14ac:dyDescent="0.2">
      <c r="B79" s="136"/>
      <c r="C79" s="479" t="s">
        <v>14</v>
      </c>
      <c r="D79" s="89" t="str">
        <f>IF('05（様式４）単位数の新旧対照表 '!C77="","",'05（様式４）単位数の新旧対照表 '!C77)</f>
        <v/>
      </c>
      <c r="E79" s="90" t="str">
        <f>IF('05（様式４）単位数の新旧対照表 '!D77="","",'05（様式４）単位数の新旧対照表 '!D77)</f>
        <v/>
      </c>
      <c r="F79" s="89"/>
      <c r="G79" s="138"/>
    </row>
    <row r="80" spans="2:7" ht="19.5" thickBot="1" x14ac:dyDescent="0.2">
      <c r="B80" s="136"/>
      <c r="C80" s="480"/>
      <c r="D80" s="89" t="str">
        <f>IF('05（様式４）単位数の新旧対照表 '!C78="","",'05（様式４）単位数の新旧対照表 '!C78)</f>
        <v/>
      </c>
      <c r="E80" s="90" t="str">
        <f>IF('05（様式４）単位数の新旧対照表 '!D78="","",'05（様式４）単位数の新旧対照表 '!D78)</f>
        <v/>
      </c>
      <c r="F80" s="89"/>
      <c r="G80" s="138"/>
    </row>
    <row r="81" spans="2:7" ht="19.5" thickBot="1" x14ac:dyDescent="0.2">
      <c r="B81" s="136"/>
      <c r="C81" s="480"/>
      <c r="D81" s="89" t="str">
        <f>IF('05（様式４）単位数の新旧対照表 '!C79="","",'05（様式４）単位数の新旧対照表 '!C79)</f>
        <v/>
      </c>
      <c r="E81" s="90" t="str">
        <f>IF('05（様式４）単位数の新旧対照表 '!D79="","",'05（様式４）単位数の新旧対照表 '!D79)</f>
        <v/>
      </c>
      <c r="F81" s="89"/>
      <c r="G81" s="138"/>
    </row>
    <row r="82" spans="2:7" s="252" customFormat="1" ht="19.5" thickBot="1" x14ac:dyDescent="0.2">
      <c r="B82" s="136"/>
      <c r="C82" s="480"/>
      <c r="D82" s="89" t="str">
        <f>IF('05（様式４）単位数の新旧対照表 '!C80="","",'05（様式４）単位数の新旧対照表 '!C80)</f>
        <v/>
      </c>
      <c r="E82" s="90" t="str">
        <f>IF('05（様式４）単位数の新旧対照表 '!D80="","",'05（様式４）単位数の新旧対照表 '!D80)</f>
        <v/>
      </c>
      <c r="F82" s="89"/>
      <c r="G82" s="138"/>
    </row>
    <row r="83" spans="2:7" s="252" customFormat="1" ht="19.5" thickBot="1" x14ac:dyDescent="0.2">
      <c r="B83" s="136"/>
      <c r="C83" s="480"/>
      <c r="D83" s="89" t="str">
        <f>IF('05（様式４）単位数の新旧対照表 '!C81="","",'05（様式４）単位数の新旧対照表 '!C81)</f>
        <v/>
      </c>
      <c r="E83" s="90" t="str">
        <f>IF('05（様式４）単位数の新旧対照表 '!D81="","",'05（様式４）単位数の新旧対照表 '!D81)</f>
        <v/>
      </c>
      <c r="F83" s="89"/>
      <c r="G83" s="138"/>
    </row>
    <row r="84" spans="2:7" s="279" customFormat="1" ht="19.5" thickBot="1" x14ac:dyDescent="0.2">
      <c r="B84" s="136"/>
      <c r="C84" s="480"/>
      <c r="D84" s="89" t="str">
        <f>IF('05（様式４）単位数の新旧対照表 '!C82="","",'05（様式４）単位数の新旧対照表 '!C82)</f>
        <v/>
      </c>
      <c r="E84" s="90" t="str">
        <f>IF('05（様式４）単位数の新旧対照表 '!D82="","",'05（様式４）単位数の新旧対照表 '!D82)</f>
        <v/>
      </c>
      <c r="F84" s="89"/>
      <c r="G84" s="138"/>
    </row>
    <row r="85" spans="2:7" s="279" customFormat="1" ht="19.5" thickBot="1" x14ac:dyDescent="0.2">
      <c r="B85" s="136"/>
      <c r="C85" s="480"/>
      <c r="D85" s="89" t="str">
        <f>IF('05（様式４）単位数の新旧対照表 '!C83="","",'05（様式４）単位数の新旧対照表 '!C83)</f>
        <v/>
      </c>
      <c r="E85" s="90" t="str">
        <f>IF('05（様式４）単位数の新旧対照表 '!D83="","",'05（様式４）単位数の新旧対照表 '!D83)</f>
        <v/>
      </c>
      <c r="F85" s="89"/>
      <c r="G85" s="138"/>
    </row>
    <row r="86" spans="2:7" ht="19.5" thickBot="1" x14ac:dyDescent="0.2">
      <c r="B86" s="136"/>
      <c r="C86" s="481"/>
      <c r="D86" s="89" t="str">
        <f>IF('05（様式４）単位数の新旧対照表 '!C84="","",'05（様式４）単位数の新旧対照表 '!C84)</f>
        <v/>
      </c>
      <c r="E86" s="90" t="str">
        <f>IF('05（様式４）単位数の新旧対照表 '!D84="","",'05（様式４）単位数の新旧対照表 '!D84)</f>
        <v/>
      </c>
      <c r="F86" s="89"/>
      <c r="G86" s="138"/>
    </row>
    <row r="87" spans="2:7" ht="19.5" thickBot="1" x14ac:dyDescent="0.2">
      <c r="B87" s="136"/>
      <c r="C87" s="479" t="s">
        <v>15</v>
      </c>
      <c r="D87" s="89" t="str">
        <f>IF('05（様式４）単位数の新旧対照表 '!C85="","",'05（様式４）単位数の新旧対照表 '!C85)</f>
        <v/>
      </c>
      <c r="E87" s="90" t="str">
        <f>IF('05（様式４）単位数の新旧対照表 '!D85="","",'05（様式４）単位数の新旧対照表 '!D85)</f>
        <v/>
      </c>
      <c r="F87" s="89"/>
      <c r="G87" s="138"/>
    </row>
    <row r="88" spans="2:7" ht="19.5" thickBot="1" x14ac:dyDescent="0.2">
      <c r="B88" s="136"/>
      <c r="C88" s="480"/>
      <c r="D88" s="89" t="str">
        <f>IF('05（様式４）単位数の新旧対照表 '!C86="","",'05（様式４）単位数の新旧対照表 '!C86)</f>
        <v/>
      </c>
      <c r="E88" s="90" t="str">
        <f>IF('05（様式４）単位数の新旧対照表 '!D86="","",'05（様式４）単位数の新旧対照表 '!D86)</f>
        <v/>
      </c>
      <c r="F88" s="89"/>
      <c r="G88" s="138"/>
    </row>
    <row r="89" spans="2:7" ht="19.5" thickBot="1" x14ac:dyDescent="0.2">
      <c r="B89" s="136"/>
      <c r="C89" s="480"/>
      <c r="D89" s="89" t="str">
        <f>IF('05（様式４）単位数の新旧対照表 '!C87="","",'05（様式４）単位数の新旧対照表 '!C87)</f>
        <v/>
      </c>
      <c r="E89" s="90" t="str">
        <f>IF('05（様式４）単位数の新旧対照表 '!D87="","",'05（様式４）単位数の新旧対照表 '!D87)</f>
        <v/>
      </c>
      <c r="F89" s="89"/>
      <c r="G89" s="138"/>
    </row>
    <row r="90" spans="2:7" s="252" customFormat="1" ht="19.5" thickBot="1" x14ac:dyDescent="0.2">
      <c r="B90" s="136"/>
      <c r="C90" s="480"/>
      <c r="D90" s="89" t="str">
        <f>IF('05（様式４）単位数の新旧対照表 '!C88="","",'05（様式４）単位数の新旧対照表 '!C88)</f>
        <v/>
      </c>
      <c r="E90" s="90" t="str">
        <f>IF('05（様式４）単位数の新旧対照表 '!D88="","",'05（様式４）単位数の新旧対照表 '!D88)</f>
        <v/>
      </c>
      <c r="F90" s="89"/>
      <c r="G90" s="138"/>
    </row>
    <row r="91" spans="2:7" s="252" customFormat="1" ht="19.5" thickBot="1" x14ac:dyDescent="0.2">
      <c r="B91" s="136"/>
      <c r="C91" s="480"/>
      <c r="D91" s="89" t="str">
        <f>IF('05（様式４）単位数の新旧対照表 '!C89="","",'05（様式４）単位数の新旧対照表 '!C89)</f>
        <v/>
      </c>
      <c r="E91" s="90" t="str">
        <f>IF('05（様式４）単位数の新旧対照表 '!D89="","",'05（様式４）単位数の新旧対照表 '!D89)</f>
        <v/>
      </c>
      <c r="F91" s="89"/>
      <c r="G91" s="138"/>
    </row>
    <row r="92" spans="2:7" s="279" customFormat="1" ht="19.5" thickBot="1" x14ac:dyDescent="0.2">
      <c r="B92" s="136"/>
      <c r="C92" s="480"/>
      <c r="D92" s="89" t="str">
        <f>IF('05（様式４）単位数の新旧対照表 '!C90="","",'05（様式４）単位数の新旧対照表 '!C90)</f>
        <v/>
      </c>
      <c r="E92" s="90" t="str">
        <f>IF('05（様式４）単位数の新旧対照表 '!D90="","",'05（様式４）単位数の新旧対照表 '!D90)</f>
        <v/>
      </c>
      <c r="F92" s="89"/>
      <c r="G92" s="138"/>
    </row>
    <row r="93" spans="2:7" s="279" customFormat="1" ht="19.5" thickBot="1" x14ac:dyDescent="0.2">
      <c r="B93" s="136"/>
      <c r="C93" s="480"/>
      <c r="D93" s="89" t="str">
        <f>IF('05（様式４）単位数の新旧対照表 '!C91="","",'05（様式４）単位数の新旧対照表 '!C91)</f>
        <v/>
      </c>
      <c r="E93" s="90" t="str">
        <f>IF('05（様式４）単位数の新旧対照表 '!D91="","",'05（様式４）単位数の新旧対照表 '!D91)</f>
        <v/>
      </c>
      <c r="F93" s="89"/>
      <c r="G93" s="138"/>
    </row>
    <row r="94" spans="2:7" s="279" customFormat="1" ht="19.5" thickBot="1" x14ac:dyDescent="0.2">
      <c r="B94" s="136"/>
      <c r="C94" s="480"/>
      <c r="D94" s="89" t="str">
        <f>IF('05（様式４）単位数の新旧対照表 '!C92="","",'05（様式４）単位数の新旧対照表 '!C92)</f>
        <v/>
      </c>
      <c r="E94" s="90" t="str">
        <f>IF('05（様式４）単位数の新旧対照表 '!D92="","",'05（様式４）単位数の新旧対照表 '!D92)</f>
        <v/>
      </c>
      <c r="F94" s="89"/>
      <c r="G94" s="138"/>
    </row>
    <row r="95" spans="2:7" s="279" customFormat="1" ht="19.5" thickBot="1" x14ac:dyDescent="0.2">
      <c r="B95" s="136"/>
      <c r="C95" s="480"/>
      <c r="D95" s="89" t="str">
        <f>IF('05（様式４）単位数の新旧対照表 '!C93="","",'05（様式４）単位数の新旧対照表 '!C93)</f>
        <v/>
      </c>
      <c r="E95" s="90" t="str">
        <f>IF('05（様式４）単位数の新旧対照表 '!D93="","",'05（様式４）単位数の新旧対照表 '!D93)</f>
        <v/>
      </c>
      <c r="F95" s="89"/>
      <c r="G95" s="138"/>
    </row>
    <row r="96" spans="2:7" ht="19.5" thickBot="1" x14ac:dyDescent="0.2">
      <c r="B96" s="136"/>
      <c r="C96" s="481"/>
      <c r="D96" s="89" t="str">
        <f>IF('05（様式４）単位数の新旧対照表 '!C94="","",'05（様式４）単位数の新旧対照表 '!C94)</f>
        <v/>
      </c>
      <c r="E96" s="90" t="str">
        <f>IF('05（様式４）単位数の新旧対照表 '!D94="","",'05（様式４）単位数の新旧対照表 '!D94)</f>
        <v/>
      </c>
      <c r="F96" s="89"/>
      <c r="G96" s="138"/>
    </row>
    <row r="97" spans="2:7" ht="19.5" thickBot="1" x14ac:dyDescent="0.2">
      <c r="B97" s="136"/>
      <c r="C97" s="479" t="s">
        <v>16</v>
      </c>
      <c r="D97" s="89" t="str">
        <f>IF('05（様式４）単位数の新旧対照表 '!C95="","",'05（様式４）単位数の新旧対照表 '!C95)</f>
        <v/>
      </c>
      <c r="E97" s="90" t="str">
        <f>IF('05（様式４）単位数の新旧対照表 '!D95="","",'05（様式４）単位数の新旧対照表 '!D95)</f>
        <v/>
      </c>
      <c r="F97" s="89"/>
      <c r="G97" s="138"/>
    </row>
    <row r="98" spans="2:7" ht="19.5" thickBot="1" x14ac:dyDescent="0.2">
      <c r="B98" s="136"/>
      <c r="C98" s="480"/>
      <c r="D98" s="89" t="str">
        <f>IF('05（様式４）単位数の新旧対照表 '!C96="","",'05（様式４）単位数の新旧対照表 '!C96)</f>
        <v/>
      </c>
      <c r="E98" s="90" t="str">
        <f>IF('05（様式４）単位数の新旧対照表 '!D96="","",'05（様式４）単位数の新旧対照表 '!D96)</f>
        <v/>
      </c>
      <c r="F98" s="89"/>
      <c r="G98" s="138"/>
    </row>
    <row r="99" spans="2:7" ht="19.5" thickBot="1" x14ac:dyDescent="0.2">
      <c r="B99" s="136"/>
      <c r="C99" s="480"/>
      <c r="D99" s="89" t="str">
        <f>IF('05（様式４）単位数の新旧対照表 '!C97="","",'05（様式４）単位数の新旧対照表 '!C97)</f>
        <v/>
      </c>
      <c r="E99" s="90" t="str">
        <f>IF('05（様式４）単位数の新旧対照表 '!D97="","",'05（様式４）単位数の新旧対照表 '!D97)</f>
        <v/>
      </c>
      <c r="F99" s="89"/>
      <c r="G99" s="138"/>
    </row>
    <row r="100" spans="2:7" s="252" customFormat="1" ht="19.5" thickBot="1" x14ac:dyDescent="0.2">
      <c r="B100" s="136"/>
      <c r="C100" s="480"/>
      <c r="D100" s="89" t="str">
        <f>IF('05（様式４）単位数の新旧対照表 '!C98="","",'05（様式４）単位数の新旧対照表 '!C98)</f>
        <v/>
      </c>
      <c r="E100" s="90" t="str">
        <f>IF('05（様式４）単位数の新旧対照表 '!D98="","",'05（様式４）単位数の新旧対照表 '!D98)</f>
        <v/>
      </c>
      <c r="F100" s="89"/>
      <c r="G100" s="138"/>
    </row>
    <row r="101" spans="2:7" s="252" customFormat="1" ht="19.5" thickBot="1" x14ac:dyDescent="0.2">
      <c r="B101" s="136"/>
      <c r="C101" s="480"/>
      <c r="D101" s="89" t="str">
        <f>IF('05（様式４）単位数の新旧対照表 '!C99="","",'05（様式４）単位数の新旧対照表 '!C99)</f>
        <v/>
      </c>
      <c r="E101" s="90" t="str">
        <f>IF('05（様式４）単位数の新旧対照表 '!D99="","",'05（様式４）単位数の新旧対照表 '!D99)</f>
        <v/>
      </c>
      <c r="F101" s="89"/>
      <c r="G101" s="138"/>
    </row>
    <row r="102" spans="2:7" ht="19.5" thickBot="1" x14ac:dyDescent="0.2">
      <c r="B102" s="136"/>
      <c r="C102" s="481"/>
      <c r="D102" s="89" t="str">
        <f>IF('05（様式４）単位数の新旧対照表 '!C100="","",'05（様式４）単位数の新旧対照表 '!C100)</f>
        <v/>
      </c>
      <c r="E102" s="90" t="str">
        <f>IF('05（様式４）単位数の新旧対照表 '!D100="","",'05（様式４）単位数の新旧対照表 '!D100)</f>
        <v/>
      </c>
      <c r="F102" s="89"/>
      <c r="G102" s="138"/>
    </row>
    <row r="103" spans="2:7" ht="19.5" thickBot="1" x14ac:dyDescent="0.2">
      <c r="B103" s="136"/>
      <c r="C103" s="479" t="s">
        <v>17</v>
      </c>
      <c r="D103" s="89" t="str">
        <f>IF('05（様式４）単位数の新旧対照表 '!C101="","",'05（様式４）単位数の新旧対照表 '!C101)</f>
        <v/>
      </c>
      <c r="E103" s="90" t="str">
        <f>IF('05（様式４）単位数の新旧対照表 '!D101="","",'05（様式４）単位数の新旧対照表 '!D101)</f>
        <v/>
      </c>
      <c r="F103" s="89"/>
      <c r="G103" s="138"/>
    </row>
    <row r="104" spans="2:7" ht="19.5" thickBot="1" x14ac:dyDescent="0.2">
      <c r="B104" s="136"/>
      <c r="C104" s="480"/>
      <c r="D104" s="89" t="str">
        <f>IF('05（様式４）単位数の新旧対照表 '!C102="","",'05（様式４）単位数の新旧対照表 '!C102)</f>
        <v/>
      </c>
      <c r="E104" s="90" t="str">
        <f>IF('05（様式４）単位数の新旧対照表 '!D102="","",'05（様式４）単位数の新旧対照表 '!D102)</f>
        <v/>
      </c>
      <c r="F104" s="89"/>
      <c r="G104" s="138"/>
    </row>
    <row r="105" spans="2:7" ht="19.5" thickBot="1" x14ac:dyDescent="0.2">
      <c r="B105" s="136"/>
      <c r="C105" s="480"/>
      <c r="D105" s="89" t="str">
        <f>IF('05（様式４）単位数の新旧対照表 '!C103="","",'05（様式４）単位数の新旧対照表 '!C103)</f>
        <v/>
      </c>
      <c r="E105" s="90" t="str">
        <f>IF('05（様式４）単位数の新旧対照表 '!D103="","",'05（様式４）単位数の新旧対照表 '!D103)</f>
        <v/>
      </c>
      <c r="F105" s="89"/>
      <c r="G105" s="138"/>
    </row>
    <row r="106" spans="2:7" s="252" customFormat="1" ht="19.5" thickBot="1" x14ac:dyDescent="0.2">
      <c r="B106" s="136"/>
      <c r="C106" s="480"/>
      <c r="D106" s="89" t="str">
        <f>IF('05（様式４）単位数の新旧対照表 '!C104="","",'05（様式４）単位数の新旧対照表 '!C104)</f>
        <v/>
      </c>
      <c r="E106" s="90" t="str">
        <f>IF('05（様式４）単位数の新旧対照表 '!D104="","",'05（様式４）単位数の新旧対照表 '!D104)</f>
        <v/>
      </c>
      <c r="F106" s="89"/>
      <c r="G106" s="138"/>
    </row>
    <row r="107" spans="2:7" s="252" customFormat="1" ht="19.5" thickBot="1" x14ac:dyDescent="0.2">
      <c r="B107" s="136"/>
      <c r="C107" s="480"/>
      <c r="D107" s="89" t="str">
        <f>IF('05（様式４）単位数の新旧対照表 '!C105="","",'05（様式４）単位数の新旧対照表 '!C105)</f>
        <v/>
      </c>
      <c r="E107" s="90" t="str">
        <f>IF('05（様式４）単位数の新旧対照表 '!D105="","",'05（様式４）単位数の新旧対照表 '!D105)</f>
        <v/>
      </c>
      <c r="F107" s="89"/>
      <c r="G107" s="138"/>
    </row>
    <row r="108" spans="2:7" s="252" customFormat="1" ht="19.5" thickBot="1" x14ac:dyDescent="0.2">
      <c r="B108" s="136"/>
      <c r="C108" s="480"/>
      <c r="D108" s="89" t="str">
        <f>IF('05（様式４）単位数の新旧対照表 '!C106="","",'05（様式４）単位数の新旧対照表 '!C106)</f>
        <v/>
      </c>
      <c r="E108" s="90" t="str">
        <f>IF('05（様式４）単位数の新旧対照表 '!D106="","",'05（様式４）単位数の新旧対照表 '!D106)</f>
        <v/>
      </c>
      <c r="F108" s="89"/>
      <c r="G108" s="138"/>
    </row>
    <row r="109" spans="2:7" s="252" customFormat="1" ht="19.5" thickBot="1" x14ac:dyDescent="0.2">
      <c r="B109" s="136"/>
      <c r="C109" s="480"/>
      <c r="D109" s="89" t="str">
        <f>IF('05（様式４）単位数の新旧対照表 '!C107="","",'05（様式４）単位数の新旧対照表 '!C107)</f>
        <v/>
      </c>
      <c r="E109" s="90" t="str">
        <f>IF('05（様式４）単位数の新旧対照表 '!D107="","",'05（様式４）単位数の新旧対照表 '!D107)</f>
        <v/>
      </c>
      <c r="F109" s="89"/>
      <c r="G109" s="138"/>
    </row>
    <row r="110" spans="2:7" ht="19.5" thickBot="1" x14ac:dyDescent="0.2">
      <c r="B110" s="136"/>
      <c r="C110" s="481"/>
      <c r="D110" s="89" t="str">
        <f>IF('05（様式４）単位数の新旧対照表 '!C108="","",'05（様式４）単位数の新旧対照表 '!C108)</f>
        <v/>
      </c>
      <c r="E110" s="90" t="str">
        <f>IF('05（様式４）単位数の新旧対照表 '!D108="","",'05（様式４）単位数の新旧対照表 '!D108)</f>
        <v/>
      </c>
      <c r="F110" s="89"/>
      <c r="G110" s="138"/>
    </row>
    <row r="111" spans="2:7" ht="19.5" thickBot="1" x14ac:dyDescent="0.2">
      <c r="B111" s="136"/>
      <c r="C111" s="479" t="s">
        <v>18</v>
      </c>
      <c r="D111" s="89" t="str">
        <f>IF('05（様式４）単位数の新旧対照表 '!C109="","",'05（様式４）単位数の新旧対照表 '!C109)</f>
        <v/>
      </c>
      <c r="E111" s="90" t="str">
        <f>IF('05（様式４）単位数の新旧対照表 '!D109="","",'05（様式４）単位数の新旧対照表 '!D109)</f>
        <v/>
      </c>
      <c r="F111" s="89"/>
      <c r="G111" s="138"/>
    </row>
    <row r="112" spans="2:7" ht="19.5" thickBot="1" x14ac:dyDescent="0.2">
      <c r="B112" s="136"/>
      <c r="C112" s="480"/>
      <c r="D112" s="89" t="str">
        <f>IF('05（様式４）単位数の新旧対照表 '!C110="","",'05（様式４）単位数の新旧対照表 '!C110)</f>
        <v/>
      </c>
      <c r="E112" s="90" t="str">
        <f>IF('05（様式４）単位数の新旧対照表 '!D110="","",'05（様式４）単位数の新旧対照表 '!D110)</f>
        <v/>
      </c>
      <c r="F112" s="89"/>
      <c r="G112" s="138"/>
    </row>
    <row r="113" spans="2:7" ht="19.5" thickBot="1" x14ac:dyDescent="0.2">
      <c r="B113" s="136"/>
      <c r="C113" s="480"/>
      <c r="D113" s="89" t="str">
        <f>IF('05（様式４）単位数の新旧対照表 '!C111="","",'05（様式４）単位数の新旧対照表 '!C111)</f>
        <v/>
      </c>
      <c r="E113" s="90" t="str">
        <f>IF('05（様式４）単位数の新旧対照表 '!D111="","",'05（様式４）単位数の新旧対照表 '!D111)</f>
        <v/>
      </c>
      <c r="F113" s="89"/>
      <c r="G113" s="138"/>
    </row>
    <row r="114" spans="2:7" s="252" customFormat="1" ht="19.5" thickBot="1" x14ac:dyDescent="0.2">
      <c r="B114" s="136"/>
      <c r="C114" s="480"/>
      <c r="D114" s="89" t="str">
        <f>IF('05（様式４）単位数の新旧対照表 '!C112="","",'05（様式４）単位数の新旧対照表 '!C112)</f>
        <v/>
      </c>
      <c r="E114" s="90" t="str">
        <f>IF('05（様式４）単位数の新旧対照表 '!D112="","",'05（様式４）単位数の新旧対照表 '!D112)</f>
        <v/>
      </c>
      <c r="F114" s="89"/>
      <c r="G114" s="138"/>
    </row>
    <row r="115" spans="2:7" s="252" customFormat="1" ht="19.5" thickBot="1" x14ac:dyDescent="0.2">
      <c r="B115" s="136"/>
      <c r="C115" s="480"/>
      <c r="D115" s="89" t="str">
        <f>IF('05（様式４）単位数の新旧対照表 '!C113="","",'05（様式４）単位数の新旧対照表 '!C113)</f>
        <v/>
      </c>
      <c r="E115" s="90" t="str">
        <f>IF('05（様式４）単位数の新旧対照表 '!D113="","",'05（様式４）単位数の新旧対照表 '!D113)</f>
        <v/>
      </c>
      <c r="F115" s="89"/>
      <c r="G115" s="138"/>
    </row>
    <row r="116" spans="2:7" s="252" customFormat="1" ht="19.5" thickBot="1" x14ac:dyDescent="0.2">
      <c r="B116" s="136"/>
      <c r="C116" s="480"/>
      <c r="D116" s="89" t="str">
        <f>IF('05（様式４）単位数の新旧対照表 '!C114="","",'05（様式４）単位数の新旧対照表 '!C114)</f>
        <v/>
      </c>
      <c r="E116" s="90" t="str">
        <f>IF('05（様式４）単位数の新旧対照表 '!D114="","",'05（様式４）単位数の新旧対照表 '!D114)</f>
        <v/>
      </c>
      <c r="F116" s="89"/>
      <c r="G116" s="138"/>
    </row>
    <row r="117" spans="2:7" s="106" customFormat="1" ht="19.5" thickBot="1" x14ac:dyDescent="0.2">
      <c r="B117" s="136"/>
      <c r="C117" s="480"/>
      <c r="D117" s="89" t="str">
        <f>IF('05（様式４）単位数の新旧対照表 '!C115="","",'05（様式４）単位数の新旧対照表 '!C115)</f>
        <v/>
      </c>
      <c r="E117" s="90" t="str">
        <f>IF('05（様式４）単位数の新旧対照表 '!D115="","",'05（様式４）単位数の新旧対照表 '!D115)</f>
        <v/>
      </c>
      <c r="F117" s="89"/>
      <c r="G117" s="138"/>
    </row>
    <row r="118" spans="2:7" s="229" customFormat="1" ht="19.5" thickBot="1" x14ac:dyDescent="0.2">
      <c r="B118" s="136"/>
      <c r="C118" s="480"/>
      <c r="D118" s="89" t="str">
        <f>IF('05（様式４）単位数の新旧対照表 '!C116="","",'05（様式４）単位数の新旧対照表 '!C116)</f>
        <v/>
      </c>
      <c r="E118" s="90" t="str">
        <f>IF('05（様式４）単位数の新旧対照表 '!D116="","",'05（様式４）単位数の新旧対照表 '!D116)</f>
        <v/>
      </c>
      <c r="F118" s="89"/>
      <c r="G118" s="138"/>
    </row>
    <row r="119" spans="2:7" ht="19.5" thickBot="1" x14ac:dyDescent="0.2">
      <c r="B119" s="136"/>
      <c r="C119" s="479" t="s">
        <v>19</v>
      </c>
      <c r="D119" s="89" t="str">
        <f>IF('05（様式４）単位数の新旧対照表 '!C117="","",'05（様式４）単位数の新旧対照表 '!C117)</f>
        <v/>
      </c>
      <c r="E119" s="90" t="str">
        <f>IF('05（様式４）単位数の新旧対照表 '!D117="","",'05（様式４）単位数の新旧対照表 '!D117)</f>
        <v/>
      </c>
      <c r="F119" s="89"/>
      <c r="G119" s="138"/>
    </row>
    <row r="120" spans="2:7" ht="19.5" thickBot="1" x14ac:dyDescent="0.2">
      <c r="B120" s="136"/>
      <c r="C120" s="480"/>
      <c r="D120" s="89" t="str">
        <f>IF('05（様式４）単位数の新旧対照表 '!C118="","",'05（様式４）単位数の新旧対照表 '!C118)</f>
        <v/>
      </c>
      <c r="E120" s="90" t="str">
        <f>IF('05（様式４）単位数の新旧対照表 '!D118="","",'05（様式４）単位数の新旧対照表 '!D118)</f>
        <v/>
      </c>
      <c r="F120" s="89"/>
      <c r="G120" s="138"/>
    </row>
    <row r="121" spans="2:7" ht="19.5" thickBot="1" x14ac:dyDescent="0.2">
      <c r="B121" s="136"/>
      <c r="C121" s="480"/>
      <c r="D121" s="89" t="str">
        <f>IF('05（様式４）単位数の新旧対照表 '!C119="","",'05（様式４）単位数の新旧対照表 '!C119)</f>
        <v/>
      </c>
      <c r="E121" s="90" t="str">
        <f>IF('05（様式４）単位数の新旧対照表 '!D119="","",'05（様式４）単位数の新旧対照表 '!D119)</f>
        <v/>
      </c>
      <c r="F121" s="89"/>
      <c r="G121" s="138"/>
    </row>
    <row r="122" spans="2:7" s="106" customFormat="1" ht="19.5" thickBot="1" x14ac:dyDescent="0.2">
      <c r="B122" s="136"/>
      <c r="C122" s="480"/>
      <c r="D122" s="89" t="str">
        <f>IF('05（様式４）単位数の新旧対照表 '!C120="","",'05（様式４）単位数の新旧対照表 '!C120)</f>
        <v/>
      </c>
      <c r="E122" s="90" t="str">
        <f>IF('05（様式４）単位数の新旧対照表 '!D120="","",'05（様式４）単位数の新旧対照表 '!D120)</f>
        <v/>
      </c>
      <c r="F122" s="89"/>
      <c r="G122" s="138"/>
    </row>
    <row r="123" spans="2:7" s="106" customFormat="1" ht="19.5" thickBot="1" x14ac:dyDescent="0.2">
      <c r="B123" s="136"/>
      <c r="C123" s="480"/>
      <c r="D123" s="89" t="str">
        <f>IF('05（様式４）単位数の新旧対照表 '!C121="","",'05（様式４）単位数の新旧対照表 '!C121)</f>
        <v/>
      </c>
      <c r="E123" s="90" t="str">
        <f>IF('05（様式４）単位数の新旧対照表 '!D121="","",'05（様式４）単位数の新旧対照表 '!D121)</f>
        <v/>
      </c>
      <c r="F123" s="89"/>
      <c r="G123" s="138"/>
    </row>
    <row r="124" spans="2:7" s="106" customFormat="1" ht="19.5" thickBot="1" x14ac:dyDescent="0.2">
      <c r="B124" s="136"/>
      <c r="C124" s="480"/>
      <c r="D124" s="89" t="str">
        <f>IF('05（様式４）単位数の新旧対照表 '!C122="","",'05（様式４）単位数の新旧対照表 '!C122)</f>
        <v/>
      </c>
      <c r="E124" s="90" t="str">
        <f>IF('05（様式４）単位数の新旧対照表 '!D122="","",'05（様式４）単位数の新旧対照表 '!D122)</f>
        <v/>
      </c>
      <c r="F124" s="89"/>
      <c r="G124" s="138"/>
    </row>
    <row r="125" spans="2:7" s="221" customFormat="1" ht="19.5" thickBot="1" x14ac:dyDescent="0.2">
      <c r="B125" s="136"/>
      <c r="C125" s="480"/>
      <c r="D125" s="89" t="str">
        <f>IF('05（様式４）単位数の新旧対照表 '!C123="","",'05（様式４）単位数の新旧対照表 '!C123)</f>
        <v/>
      </c>
      <c r="E125" s="90" t="str">
        <f>IF('05（様式４）単位数の新旧対照表 '!D123="","",'05（様式４）単位数の新旧対照表 '!D123)</f>
        <v/>
      </c>
      <c r="F125" s="89"/>
      <c r="G125" s="138"/>
    </row>
    <row r="126" spans="2:7" s="221" customFormat="1" ht="19.5" thickBot="1" x14ac:dyDescent="0.2">
      <c r="B126" s="136"/>
      <c r="C126" s="480"/>
      <c r="D126" s="89" t="str">
        <f>IF('05（様式４）単位数の新旧対照表 '!C124="","",'05（様式４）単位数の新旧対照表 '!C124)</f>
        <v/>
      </c>
      <c r="E126" s="90" t="str">
        <f>IF('05（様式４）単位数の新旧対照表 '!D124="","",'05（様式４）単位数の新旧対照表 '!D124)</f>
        <v/>
      </c>
      <c r="F126" s="89"/>
      <c r="G126" s="138"/>
    </row>
    <row r="127" spans="2:7" s="221" customFormat="1" ht="19.5" thickBot="1" x14ac:dyDescent="0.2">
      <c r="B127" s="136"/>
      <c r="C127" s="480"/>
      <c r="D127" s="89" t="str">
        <f>IF('05（様式４）単位数の新旧対照表 '!C125="","",'05（様式４）単位数の新旧対照表 '!C125)</f>
        <v/>
      </c>
      <c r="E127" s="90" t="str">
        <f>IF('05（様式４）単位数の新旧対照表 '!D125="","",'05（様式４）単位数の新旧対照表 '!D125)</f>
        <v/>
      </c>
      <c r="F127" s="89"/>
      <c r="G127" s="138"/>
    </row>
    <row r="128" spans="2:7" s="221" customFormat="1" ht="19.5" thickBot="1" x14ac:dyDescent="0.2">
      <c r="B128" s="136"/>
      <c r="C128" s="480"/>
      <c r="D128" s="89" t="str">
        <f>IF('05（様式４）単位数の新旧対照表 '!C126="","",'05（様式４）単位数の新旧対照表 '!C126)</f>
        <v/>
      </c>
      <c r="E128" s="90" t="str">
        <f>IF('05（様式４）単位数の新旧対照表 '!D126="","",'05（様式４）単位数の新旧対照表 '!D126)</f>
        <v/>
      </c>
      <c r="F128" s="89"/>
      <c r="G128" s="138"/>
    </row>
    <row r="129" spans="2:7" s="252" customFormat="1" ht="19.5" thickBot="1" x14ac:dyDescent="0.2">
      <c r="B129" s="136"/>
      <c r="C129" s="480"/>
      <c r="D129" s="89" t="str">
        <f>IF('05（様式４）単位数の新旧対照表 '!C127="","",'05（様式４）単位数の新旧対照表 '!C127)</f>
        <v/>
      </c>
      <c r="E129" s="90" t="str">
        <f>IF('05（様式４）単位数の新旧対照表 '!D127="","",'05（様式４）単位数の新旧対照表 '!D127)</f>
        <v/>
      </c>
      <c r="F129" s="89"/>
      <c r="G129" s="138"/>
    </row>
    <row r="130" spans="2:7" s="252" customFormat="1" ht="19.5" thickBot="1" x14ac:dyDescent="0.2">
      <c r="B130" s="136"/>
      <c r="C130" s="480"/>
      <c r="D130" s="89" t="str">
        <f>IF('05（様式４）単位数の新旧対照表 '!C128="","",'05（様式４）単位数の新旧対照表 '!C128)</f>
        <v/>
      </c>
      <c r="E130" s="90" t="str">
        <f>IF('05（様式４）単位数の新旧対照表 '!D128="","",'05（様式４）単位数の新旧対照表 '!D128)</f>
        <v/>
      </c>
      <c r="F130" s="89"/>
      <c r="G130" s="138"/>
    </row>
    <row r="131" spans="2:7" s="252" customFormat="1" ht="19.5" thickBot="1" x14ac:dyDescent="0.2">
      <c r="B131" s="136"/>
      <c r="C131" s="480"/>
      <c r="D131" s="89" t="str">
        <f>IF('05（様式４）単位数の新旧対照表 '!C129="","",'05（様式４）単位数の新旧対照表 '!C129)</f>
        <v/>
      </c>
      <c r="E131" s="90" t="str">
        <f>IF('05（様式４）単位数の新旧対照表 '!D129="","",'05（様式４）単位数の新旧対照表 '!D129)</f>
        <v/>
      </c>
      <c r="F131" s="89"/>
      <c r="G131" s="138"/>
    </row>
    <row r="132" spans="2:7" s="106" customFormat="1" ht="19.5" customHeight="1" thickBot="1" x14ac:dyDescent="0.2">
      <c r="B132" s="136"/>
      <c r="C132" s="480"/>
      <c r="D132" s="89" t="str">
        <f>IF('05（様式４）単位数の新旧対照表 '!C130="","",'05（様式４）単位数の新旧対照表 '!C130)</f>
        <v/>
      </c>
      <c r="E132" s="90" t="str">
        <f>IF('05（様式４）単位数の新旧対照表 '!D130="","",'05（様式４）単位数の新旧対照表 '!D130)</f>
        <v/>
      </c>
      <c r="F132" s="89"/>
      <c r="G132" s="138"/>
    </row>
    <row r="133" spans="2:7" ht="19.5" thickBot="1" x14ac:dyDescent="0.2">
      <c r="B133" s="136"/>
      <c r="C133" s="481"/>
      <c r="D133" s="89" t="str">
        <f>IF('05（様式４）単位数の新旧対照表 '!C131="","",'05（様式４）単位数の新旧対照表 '!C131)</f>
        <v/>
      </c>
      <c r="E133" s="90" t="str">
        <f>IF('05（様式４）単位数の新旧対照表 '!D131="","",'05（様式４）単位数の新旧対照表 '!D131)</f>
        <v/>
      </c>
      <c r="F133" s="89"/>
      <c r="G133" s="138"/>
    </row>
    <row r="134" spans="2:7" ht="19.5" thickBot="1" x14ac:dyDescent="0.2">
      <c r="B134" s="136"/>
      <c r="C134" s="479" t="s">
        <v>20</v>
      </c>
      <c r="D134" s="89" t="str">
        <f>IF('05（様式４）単位数の新旧対照表 '!C132="","",'05（様式４）単位数の新旧対照表 '!C132)</f>
        <v/>
      </c>
      <c r="E134" s="90" t="str">
        <f>IF('05（様式４）単位数の新旧対照表 '!D132="","",'05（様式４）単位数の新旧対照表 '!D132)</f>
        <v/>
      </c>
      <c r="F134" s="89"/>
      <c r="G134" s="138"/>
    </row>
    <row r="135" spans="2:7" ht="19.5" thickBot="1" x14ac:dyDescent="0.2">
      <c r="B135" s="136"/>
      <c r="C135" s="480"/>
      <c r="D135" s="89" t="str">
        <f>IF('05（様式４）単位数の新旧対照表 '!C133="","",'05（様式４）単位数の新旧対照表 '!C133)</f>
        <v/>
      </c>
      <c r="E135" s="90" t="str">
        <f>IF('05（様式４）単位数の新旧対照表 '!D133="","",'05（様式４）単位数の新旧対照表 '!D133)</f>
        <v/>
      </c>
      <c r="F135" s="89"/>
      <c r="G135" s="138"/>
    </row>
    <row r="136" spans="2:7" ht="19.5" thickBot="1" x14ac:dyDescent="0.2">
      <c r="B136" s="136"/>
      <c r="C136" s="480"/>
      <c r="D136" s="89" t="str">
        <f>IF('05（様式４）単位数の新旧対照表 '!C134="","",'05（様式４）単位数の新旧対照表 '!C134)</f>
        <v/>
      </c>
      <c r="E136" s="90" t="str">
        <f>IF('05（様式４）単位数の新旧対照表 '!D134="","",'05（様式４）単位数の新旧対照表 '!D134)</f>
        <v/>
      </c>
      <c r="F136" s="89"/>
      <c r="G136" s="138"/>
    </row>
    <row r="137" spans="2:7" s="245" customFormat="1" ht="19.5" thickBot="1" x14ac:dyDescent="0.2">
      <c r="B137" s="136"/>
      <c r="C137" s="480"/>
      <c r="D137" s="89" t="str">
        <f>IF('05（様式４）単位数の新旧対照表 '!C135="","",'05（様式４）単位数の新旧対照表 '!C135)</f>
        <v/>
      </c>
      <c r="E137" s="90" t="str">
        <f>IF('05（様式４）単位数の新旧対照表 '!D135="","",'05（様式４）単位数の新旧対照表 '!D135)</f>
        <v/>
      </c>
      <c r="F137" s="89"/>
      <c r="G137" s="138"/>
    </row>
    <row r="138" spans="2:7" s="252" customFormat="1" ht="19.5" thickBot="1" x14ac:dyDescent="0.2">
      <c r="B138" s="136"/>
      <c r="C138" s="480"/>
      <c r="D138" s="89" t="str">
        <f>IF('05（様式４）単位数の新旧対照表 '!C136="","",'05（様式４）単位数の新旧対照表 '!C136)</f>
        <v/>
      </c>
      <c r="E138" s="90" t="str">
        <f>IF('05（様式４）単位数の新旧対照表 '!D136="","",'05（様式４）単位数の新旧対照表 '!D136)</f>
        <v/>
      </c>
      <c r="F138" s="89"/>
      <c r="G138" s="138"/>
    </row>
    <row r="139" spans="2:7" s="252" customFormat="1" ht="19.5" thickBot="1" x14ac:dyDescent="0.2">
      <c r="B139" s="136"/>
      <c r="C139" s="480"/>
      <c r="D139" s="89" t="str">
        <f>IF('05（様式４）単位数の新旧対照表 '!C137="","",'05（様式４）単位数の新旧対照表 '!C137)</f>
        <v/>
      </c>
      <c r="E139" s="90" t="str">
        <f>IF('05（様式４）単位数の新旧対照表 '!D137="","",'05（様式４）単位数の新旧対照表 '!D137)</f>
        <v/>
      </c>
      <c r="F139" s="89"/>
      <c r="G139" s="138"/>
    </row>
    <row r="140" spans="2:7" s="106" customFormat="1" ht="19.5" thickBot="1" x14ac:dyDescent="0.2">
      <c r="B140" s="136"/>
      <c r="C140" s="480"/>
      <c r="D140" s="89" t="str">
        <f>IF('05（様式４）単位数の新旧対照表 '!C138="","",'05（様式４）単位数の新旧対照表 '!C138)</f>
        <v/>
      </c>
      <c r="E140" s="90" t="str">
        <f>IF('05（様式４）単位数の新旧対照表 '!D138="","",'05（様式４）単位数の新旧対照表 '!D138)</f>
        <v/>
      </c>
      <c r="F140" s="89"/>
      <c r="G140" s="138"/>
    </row>
    <row r="141" spans="2:7" s="279" customFormat="1" ht="19.5" thickBot="1" x14ac:dyDescent="0.2">
      <c r="B141" s="136"/>
      <c r="C141" s="480"/>
      <c r="D141" s="89" t="str">
        <f>IF('05（様式４）単位数の新旧対照表 '!C139="","",'05（様式４）単位数の新旧対照表 '!C139)</f>
        <v/>
      </c>
      <c r="E141" s="90" t="str">
        <f>IF('05（様式４）単位数の新旧対照表 '!D139="","",'05（様式４）単位数の新旧対照表 '!D139)</f>
        <v/>
      </c>
      <c r="F141" s="89"/>
      <c r="G141" s="138"/>
    </row>
    <row r="142" spans="2:7" ht="19.5" thickBot="1" x14ac:dyDescent="0.2">
      <c r="B142" s="136"/>
      <c r="C142" s="481"/>
      <c r="D142" s="89" t="str">
        <f>IF('05（様式４）単位数の新旧対照表 '!C140="","",'05（様式４）単位数の新旧対照表 '!C140)</f>
        <v/>
      </c>
      <c r="E142" s="90" t="str">
        <f>IF('05（様式４）単位数の新旧対照表 '!D140="","",'05（様式４）単位数の新旧対照表 '!D140)</f>
        <v/>
      </c>
      <c r="F142" s="89"/>
      <c r="G142" s="138"/>
    </row>
    <row r="143" spans="2:7" ht="19.5" thickBot="1" x14ac:dyDescent="0.2">
      <c r="B143" s="136"/>
      <c r="C143" s="479" t="s">
        <v>21</v>
      </c>
      <c r="D143" s="89" t="str">
        <f>IF('05（様式４）単位数の新旧対照表 '!C141="","",'05（様式４）単位数の新旧対照表 '!C141)</f>
        <v/>
      </c>
      <c r="E143" s="90" t="str">
        <f>IF('05（様式４）単位数の新旧対照表 '!D141="","",'05（様式４）単位数の新旧対照表 '!D141)</f>
        <v/>
      </c>
      <c r="F143" s="89"/>
      <c r="G143" s="138"/>
    </row>
    <row r="144" spans="2:7" s="252" customFormat="1" ht="19.5" thickBot="1" x14ac:dyDescent="0.2">
      <c r="B144" s="136"/>
      <c r="C144" s="480"/>
      <c r="D144" s="89" t="str">
        <f>IF('05（様式４）単位数の新旧対照表 '!C142="","",'05（様式４）単位数の新旧対照表 '!C142)</f>
        <v/>
      </c>
      <c r="E144" s="90" t="str">
        <f>IF('05（様式４）単位数の新旧対照表 '!D142="","",'05（様式４）単位数の新旧対照表 '!D142)</f>
        <v/>
      </c>
      <c r="F144" s="89"/>
      <c r="G144" s="138"/>
    </row>
    <row r="145" spans="2:7" s="252" customFormat="1" ht="19.5" thickBot="1" x14ac:dyDescent="0.2">
      <c r="B145" s="136"/>
      <c r="C145" s="480"/>
      <c r="D145" s="89" t="str">
        <f>IF('05（様式４）単位数の新旧対照表 '!C143="","",'05（様式４）単位数の新旧対照表 '!C143)</f>
        <v/>
      </c>
      <c r="E145" s="90" t="str">
        <f>IF('05（様式４）単位数の新旧対照表 '!D143="","",'05（様式４）単位数の新旧対照表 '!D143)</f>
        <v/>
      </c>
      <c r="F145" s="89"/>
      <c r="G145" s="138"/>
    </row>
    <row r="146" spans="2:7" s="252" customFormat="1" ht="19.5" thickBot="1" x14ac:dyDescent="0.2">
      <c r="B146" s="136"/>
      <c r="C146" s="480"/>
      <c r="D146" s="89" t="str">
        <f>IF('05（様式４）単位数の新旧対照表 '!C144="","",'05（様式４）単位数の新旧対照表 '!C144)</f>
        <v/>
      </c>
      <c r="E146" s="90" t="str">
        <f>IF('05（様式４）単位数の新旧対照表 '!D144="","",'05（様式４）単位数の新旧対照表 '!D144)</f>
        <v/>
      </c>
      <c r="F146" s="89"/>
      <c r="G146" s="138"/>
    </row>
    <row r="147" spans="2:7" s="252" customFormat="1" ht="19.5" thickBot="1" x14ac:dyDescent="0.2">
      <c r="B147" s="136"/>
      <c r="C147" s="480"/>
      <c r="D147" s="89" t="str">
        <f>IF('05（様式４）単位数の新旧対照表 '!C145="","",'05（様式４）単位数の新旧対照表 '!C145)</f>
        <v/>
      </c>
      <c r="E147" s="90" t="str">
        <f>IF('05（様式４）単位数の新旧対照表 '!D145="","",'05（様式４）単位数の新旧対照表 '!D145)</f>
        <v/>
      </c>
      <c r="F147" s="89"/>
      <c r="G147" s="138"/>
    </row>
    <row r="148" spans="2:7" ht="19.5" thickBot="1" x14ac:dyDescent="0.2">
      <c r="B148" s="136"/>
      <c r="C148" s="480"/>
      <c r="D148" s="89" t="str">
        <f>IF('05（様式４）単位数の新旧対照表 '!C146="","",'05（様式４）単位数の新旧対照表 '!C146)</f>
        <v/>
      </c>
      <c r="E148" s="90" t="str">
        <f>IF('05（様式４）単位数の新旧対照表 '!D146="","",'05（様式４）単位数の新旧対照表 '!D146)</f>
        <v/>
      </c>
      <c r="F148" s="89"/>
      <c r="G148" s="138"/>
    </row>
    <row r="149" spans="2:7" ht="19.5" thickBot="1" x14ac:dyDescent="0.2">
      <c r="B149" s="136"/>
      <c r="C149" s="480"/>
      <c r="D149" s="89" t="str">
        <f>IF('05（様式４）単位数の新旧対照表 '!C147="","",'05（様式４）単位数の新旧対照表 '!C147)</f>
        <v/>
      </c>
      <c r="E149" s="90" t="str">
        <f>IF('05（様式４）単位数の新旧対照表 '!D147="","",'05（様式４）単位数の新旧対照表 '!D147)</f>
        <v/>
      </c>
      <c r="F149" s="89"/>
      <c r="G149" s="138"/>
    </row>
    <row r="150" spans="2:7" s="279" customFormat="1" ht="19.5" thickBot="1" x14ac:dyDescent="0.2">
      <c r="B150" s="136"/>
      <c r="C150" s="480"/>
      <c r="D150" s="89" t="str">
        <f>IF('05（様式４）単位数の新旧対照表 '!C148="","",'05（様式４）単位数の新旧対照表 '!C148)</f>
        <v/>
      </c>
      <c r="E150" s="90" t="str">
        <f>IF('05（様式４）単位数の新旧対照表 '!D148="","",'05（様式４）単位数の新旧対照表 '!D148)</f>
        <v/>
      </c>
      <c r="F150" s="89"/>
      <c r="G150" s="138"/>
    </row>
    <row r="151" spans="2:7" s="279" customFormat="1" ht="19.5" thickBot="1" x14ac:dyDescent="0.2">
      <c r="B151" s="136"/>
      <c r="C151" s="480"/>
      <c r="D151" s="89" t="str">
        <f>IF('05（様式４）単位数の新旧対照表 '!C149="","",'05（様式４）単位数の新旧対照表 '!C149)</f>
        <v/>
      </c>
      <c r="E151" s="90" t="str">
        <f>IF('05（様式４）単位数の新旧対照表 '!D149="","",'05（様式４）単位数の新旧対照表 '!D149)</f>
        <v/>
      </c>
      <c r="F151" s="89"/>
      <c r="G151" s="138"/>
    </row>
    <row r="152" spans="2:7" s="279" customFormat="1" ht="19.5" thickBot="1" x14ac:dyDescent="0.2">
      <c r="B152" s="136"/>
      <c r="C152" s="480"/>
      <c r="D152" s="89" t="str">
        <f>IF('05（様式４）単位数の新旧対照表 '!C150="","",'05（様式４）単位数の新旧対照表 '!C150)</f>
        <v/>
      </c>
      <c r="E152" s="90" t="str">
        <f>IF('05（様式４）単位数の新旧対照表 '!D150="","",'05（様式４）単位数の新旧対照表 '!D150)</f>
        <v/>
      </c>
      <c r="F152" s="89"/>
      <c r="G152" s="138"/>
    </row>
    <row r="153" spans="2:7" s="279" customFormat="1" ht="19.5" thickBot="1" x14ac:dyDescent="0.2">
      <c r="B153" s="136"/>
      <c r="C153" s="480"/>
      <c r="D153" s="89" t="str">
        <f>IF('05（様式４）単位数の新旧対照表 '!C151="","",'05（様式４）単位数の新旧対照表 '!C151)</f>
        <v/>
      </c>
      <c r="E153" s="90" t="str">
        <f>IF('05（様式４）単位数の新旧対照表 '!D151="","",'05（様式４）単位数の新旧対照表 '!D151)</f>
        <v/>
      </c>
      <c r="F153" s="89"/>
      <c r="G153" s="138"/>
    </row>
    <row r="154" spans="2:7" ht="19.5" thickBot="1" x14ac:dyDescent="0.2">
      <c r="B154" s="136"/>
      <c r="C154" s="481"/>
      <c r="D154" s="89" t="str">
        <f>IF('05（様式４）単位数の新旧対照表 '!C152="","",'05（様式４）単位数の新旧対照表 '!C152)</f>
        <v/>
      </c>
      <c r="E154" s="90" t="str">
        <f>IF('05（様式４）単位数の新旧対照表 '!D152="","",'05（様式４）単位数の新旧対照表 '!D152)</f>
        <v/>
      </c>
      <c r="F154" s="89"/>
      <c r="G154" s="138"/>
    </row>
    <row r="155" spans="2:7" s="147" customFormat="1" ht="19.5" thickBot="1" x14ac:dyDescent="0.2">
      <c r="B155" s="136"/>
      <c r="C155" s="164"/>
      <c r="D155" s="165"/>
      <c r="E155" s="166"/>
      <c r="F155" s="141"/>
      <c r="G155" s="138"/>
    </row>
    <row r="156" spans="2:7" s="147" customFormat="1" ht="19.5" thickBot="1" x14ac:dyDescent="0.2">
      <c r="B156" s="136"/>
      <c r="C156" s="168" t="s">
        <v>727</v>
      </c>
      <c r="D156" s="167" t="s">
        <v>731</v>
      </c>
      <c r="E156" s="167" t="s">
        <v>729</v>
      </c>
      <c r="F156" s="167" t="s">
        <v>732</v>
      </c>
      <c r="G156" s="138"/>
    </row>
    <row r="157" spans="2:7" s="258" customFormat="1" ht="19.5" thickBot="1" x14ac:dyDescent="0.2">
      <c r="B157" s="136"/>
      <c r="C157" s="486" t="s">
        <v>22</v>
      </c>
      <c r="D157" s="89" t="str">
        <f>IF('05（様式４）単位数の新旧対照表 '!C157="","",'05（様式４）単位数の新旧対照表 '!C157)</f>
        <v>臨地実習前評価</v>
      </c>
      <c r="E157" s="272" t="str">
        <f>IF('05（様式４）単位数の新旧対照表 '!D157="","",'05（様式４）単位数の新旧対照表 '!D157)</f>
        <v/>
      </c>
      <c r="F157" s="271"/>
      <c r="G157" s="138"/>
    </row>
    <row r="158" spans="2:7" ht="19.5" thickBot="1" x14ac:dyDescent="0.2">
      <c r="B158" s="136"/>
      <c r="C158" s="487"/>
      <c r="D158" s="89" t="str">
        <f>IF('05（様式４）単位数の新旧対照表 '!C158="","",'05（様式４）単位数の新旧対照表 '!C158)</f>
        <v>生理検査学に関する臨地実習</v>
      </c>
      <c r="E158" s="272" t="str">
        <f>IF('05（様式４）単位数の新旧対照表 '!D158="","",'05（様式４）単位数の新旧対照表 '!D158)</f>
        <v/>
      </c>
      <c r="F158" s="91"/>
      <c r="G158" s="138"/>
    </row>
    <row r="159" spans="2:7" ht="19.5" thickBot="1" x14ac:dyDescent="0.2">
      <c r="B159" s="136"/>
      <c r="C159" s="488"/>
      <c r="D159" s="89" t="str">
        <f>IF('05（様式４）単位数の新旧対照表 '!C159="","",'05（様式４）単位数の新旧対照表 '!C159)</f>
        <v>生理検査学以外の臨地実習</v>
      </c>
      <c r="E159" s="272" t="str">
        <f>IF('05（様式４）単位数の新旧対照表 '!D159="","",'05（様式４）単位数の新旧対照表 '!D159)</f>
        <v/>
      </c>
      <c r="F159" s="89"/>
      <c r="G159" s="138"/>
    </row>
    <row r="160" spans="2:7" s="94" customFormat="1" x14ac:dyDescent="0.15">
      <c r="B160" s="136"/>
      <c r="C160" s="82"/>
      <c r="D160" s="92"/>
      <c r="E160" s="93"/>
      <c r="F160" s="92"/>
      <c r="G160" s="138"/>
    </row>
    <row r="161" spans="2:9" s="94" customFormat="1" x14ac:dyDescent="0.15">
      <c r="B161" s="136"/>
      <c r="C161" s="82" t="s">
        <v>710</v>
      </c>
      <c r="D161" s="92"/>
      <c r="E161" s="93"/>
      <c r="F161" s="92"/>
      <c r="G161" s="138"/>
      <c r="I161" s="219" t="s">
        <v>811</v>
      </c>
    </row>
    <row r="162" spans="2:9" s="94" customFormat="1" ht="19.5" x14ac:dyDescent="0.15">
      <c r="B162" s="136"/>
      <c r="C162" s="82" t="s">
        <v>711</v>
      </c>
      <c r="D162" s="228"/>
      <c r="E162" s="93"/>
      <c r="F162" s="92"/>
      <c r="G162" s="138"/>
      <c r="I162" s="300" t="str">
        <f>IF(D162="","×","○")</f>
        <v>×</v>
      </c>
    </row>
    <row r="163" spans="2:9" s="94" customFormat="1" ht="19.5" x14ac:dyDescent="0.15">
      <c r="B163" s="136"/>
      <c r="C163" s="82" t="s">
        <v>714</v>
      </c>
      <c r="D163" s="228"/>
      <c r="E163" s="93"/>
      <c r="F163" s="92"/>
      <c r="G163" s="138"/>
      <c r="I163" s="300" t="str">
        <f t="shared" ref="I163:I165" si="0">IF(D163="","×","○")</f>
        <v>×</v>
      </c>
    </row>
    <row r="164" spans="2:9" s="94" customFormat="1" ht="19.5" x14ac:dyDescent="0.15">
      <c r="B164" s="136"/>
      <c r="C164" s="82" t="s">
        <v>712</v>
      </c>
      <c r="D164" s="228"/>
      <c r="E164" s="93"/>
      <c r="F164" s="92"/>
      <c r="G164" s="138"/>
      <c r="I164" s="300" t="str">
        <f t="shared" si="0"/>
        <v>×</v>
      </c>
    </row>
    <row r="165" spans="2:9" s="94" customFormat="1" ht="19.5" x14ac:dyDescent="0.15">
      <c r="B165" s="136"/>
      <c r="C165" s="82" t="s">
        <v>713</v>
      </c>
      <c r="D165" s="228"/>
      <c r="E165" s="134"/>
      <c r="F165" s="92"/>
      <c r="G165" s="138"/>
      <c r="I165" s="300" t="str">
        <f t="shared" si="0"/>
        <v>×</v>
      </c>
    </row>
    <row r="166" spans="2:9" s="94" customFormat="1" x14ac:dyDescent="0.15">
      <c r="B166" s="136"/>
      <c r="C166" s="82"/>
      <c r="D166" s="92"/>
      <c r="E166" s="93"/>
      <c r="F166" s="92"/>
      <c r="G166" s="138"/>
    </row>
    <row r="167" spans="2:9" s="94" customFormat="1" ht="19.5" thickBot="1" x14ac:dyDescent="0.2">
      <c r="B167" s="139"/>
      <c r="C167" s="140"/>
      <c r="D167" s="141"/>
      <c r="E167" s="142"/>
      <c r="F167" s="141"/>
      <c r="G167" s="89"/>
    </row>
    <row r="168" spans="2:9" s="94" customFormat="1" x14ac:dyDescent="0.15">
      <c r="C168" s="82"/>
      <c r="D168" s="92"/>
      <c r="E168" s="93"/>
      <c r="F168" s="92"/>
      <c r="G168" s="92"/>
    </row>
    <row r="169" spans="2:9" s="94" customFormat="1" x14ac:dyDescent="0.15">
      <c r="C169" s="143" t="s">
        <v>715</v>
      </c>
      <c r="D169" s="92"/>
      <c r="E169" s="93"/>
      <c r="F169" s="92"/>
      <c r="G169" s="92"/>
    </row>
    <row r="170" spans="2:9" s="94" customFormat="1" x14ac:dyDescent="0.15">
      <c r="B170" s="143" t="s">
        <v>716</v>
      </c>
      <c r="C170" s="143"/>
      <c r="D170" s="92"/>
      <c r="E170" s="93"/>
      <c r="F170" s="92"/>
      <c r="G170" s="92"/>
    </row>
    <row r="171" spans="2:9" ht="46.5" customHeight="1" x14ac:dyDescent="0.15">
      <c r="B171" s="506" t="s">
        <v>1114</v>
      </c>
      <c r="C171" s="506"/>
      <c r="D171" s="506"/>
      <c r="E171" s="506"/>
      <c r="F171" s="506"/>
      <c r="G171" s="506"/>
    </row>
    <row r="172" spans="2:9" ht="18.75" customHeight="1" x14ac:dyDescent="0.15">
      <c r="B172" s="144" t="s">
        <v>1113</v>
      </c>
      <c r="C172" s="129"/>
      <c r="D172" s="129"/>
      <c r="E172" s="129"/>
      <c r="F172" s="129"/>
    </row>
    <row r="173" spans="2:9" ht="32.25" customHeight="1" x14ac:dyDescent="0.15">
      <c r="B173" s="506" t="s">
        <v>1116</v>
      </c>
      <c r="C173" s="507"/>
      <c r="D173" s="507"/>
      <c r="E173" s="507"/>
      <c r="F173" s="507"/>
      <c r="G173" s="507"/>
    </row>
    <row r="174" spans="2:9" ht="18.75" customHeight="1" x14ac:dyDescent="0.15">
      <c r="B174" s="144" t="s">
        <v>1115</v>
      </c>
      <c r="C174" s="144"/>
      <c r="D174" s="129"/>
      <c r="E174" s="129"/>
      <c r="F174" s="129"/>
    </row>
  </sheetData>
  <sheetProtection algorithmName="SHA-512" hashValue="rDfPvrkwvf9FuiiKONJr9e5zLaN7tJg0TubhRdorptOmIAf5UsoipIOgxTVMiMLLA5q3GBABD+yFnTCF+uoywg==" saltValue="CtsauMpTHcUEoBtV5W0iQA==" spinCount="100000" sheet="1" formatCells="0"/>
  <protectedRanges>
    <protectedRange sqref="D162:D165" name="範囲1"/>
  </protectedRanges>
  <mergeCells count="25">
    <mergeCell ref="B173:G173"/>
    <mergeCell ref="C57:C64"/>
    <mergeCell ref="C2:F2"/>
    <mergeCell ref="C5:F5"/>
    <mergeCell ref="C6:F6"/>
    <mergeCell ref="C7:F7"/>
    <mergeCell ref="C8:F8"/>
    <mergeCell ref="C9:F9"/>
    <mergeCell ref="C10:F10"/>
    <mergeCell ref="C14:C40"/>
    <mergeCell ref="C41:C48"/>
    <mergeCell ref="C49:C56"/>
    <mergeCell ref="B4:G4"/>
    <mergeCell ref="C111:C118"/>
    <mergeCell ref="C65:C72"/>
    <mergeCell ref="C73:C78"/>
    <mergeCell ref="C79:C86"/>
    <mergeCell ref="C87:C96"/>
    <mergeCell ref="C97:C102"/>
    <mergeCell ref="C103:C110"/>
    <mergeCell ref="B171:G171"/>
    <mergeCell ref="C119:C133"/>
    <mergeCell ref="C134:C142"/>
    <mergeCell ref="C143:C154"/>
    <mergeCell ref="C157:C159"/>
  </mergeCells>
  <phoneticPr fontId="8"/>
  <conditionalFormatting sqref="C14:C40">
    <cfRule type="expression" dxfId="34" priority="28">
      <formula>$S$12="×"</formula>
    </cfRule>
  </conditionalFormatting>
  <conditionalFormatting sqref="C41:C48">
    <cfRule type="expression" dxfId="33" priority="27">
      <formula>$S$36="×"</formula>
    </cfRule>
  </conditionalFormatting>
  <conditionalFormatting sqref="C49:C56">
    <cfRule type="expression" dxfId="32" priority="26">
      <formula>$S$47="×"</formula>
    </cfRule>
  </conditionalFormatting>
  <conditionalFormatting sqref="C57:C64">
    <cfRule type="expression" dxfId="31" priority="25">
      <formula>$S$55="×"</formula>
    </cfRule>
  </conditionalFormatting>
  <conditionalFormatting sqref="C65:C72">
    <cfRule type="expression" dxfId="30" priority="13">
      <formula>$S$64="×"</formula>
    </cfRule>
  </conditionalFormatting>
  <conditionalFormatting sqref="C73:C78">
    <cfRule type="expression" dxfId="29" priority="23">
      <formula>$S$67="×"</formula>
    </cfRule>
  </conditionalFormatting>
  <conditionalFormatting sqref="C79:C96">
    <cfRule type="expression" dxfId="28" priority="22">
      <formula>$S$75="×"</formula>
    </cfRule>
  </conditionalFormatting>
  <conditionalFormatting sqref="C97:C102">
    <cfRule type="expression" dxfId="27" priority="21">
      <formula>$S$89="×"</formula>
    </cfRule>
  </conditionalFormatting>
  <conditionalFormatting sqref="C103:C110">
    <cfRule type="expression" dxfId="26" priority="20">
      <formula>$S$99="×"</formula>
    </cfRule>
  </conditionalFormatting>
  <conditionalFormatting sqref="C111:C118">
    <cfRule type="expression" dxfId="25" priority="11">
      <formula>$S$105="×"</formula>
    </cfRule>
  </conditionalFormatting>
  <conditionalFormatting sqref="C119:C133">
    <cfRule type="expression" dxfId="24" priority="1">
      <formula>$S$113="×"</formula>
    </cfRule>
  </conditionalFormatting>
  <conditionalFormatting sqref="C134:C142">
    <cfRule type="expression" dxfId="23" priority="9">
      <formula>$S$121="×"</formula>
    </cfRule>
  </conditionalFormatting>
  <conditionalFormatting sqref="C143:C156">
    <cfRule type="expression" dxfId="22" priority="16">
      <formula>$S$136="×"</formula>
    </cfRule>
  </conditionalFormatting>
  <conditionalFormatting sqref="C157">
    <cfRule type="expression" dxfId="21" priority="15">
      <formula>OR($S$149="×",$S$154="×")</formula>
    </cfRule>
  </conditionalFormatting>
  <pageMargins left="0.75" right="0.75" top="1" bottom="1" header="0.5" footer="0.5"/>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W189"/>
  <sheetViews>
    <sheetView showGridLines="0" view="pageBreakPreview" zoomScale="60" zoomScaleNormal="60" workbookViewId="0">
      <selection activeCell="I31" sqref="I31"/>
    </sheetView>
  </sheetViews>
  <sheetFormatPr defaultRowHeight="17.25" x14ac:dyDescent="0.15"/>
  <cols>
    <col min="1" max="1" width="1.625" style="1" customWidth="1"/>
    <col min="2" max="2" width="28.25" style="55" customWidth="1"/>
    <col min="3" max="3" width="44.875" style="1" customWidth="1"/>
    <col min="4" max="5" width="8.375" style="1" customWidth="1"/>
    <col min="6" max="6" width="10.5" style="1" customWidth="1"/>
    <col min="7" max="7" width="2.625" style="1" customWidth="1"/>
    <col min="8" max="8" width="28" style="55" customWidth="1"/>
    <col min="9" max="9" width="44.875" style="1" customWidth="1"/>
    <col min="10" max="10" width="9" style="1" customWidth="1"/>
    <col min="11" max="11" width="2.625" style="1" customWidth="1"/>
    <col min="12" max="12" width="9.5" style="1" customWidth="1"/>
    <col min="13" max="15" width="9.5" style="4" customWidth="1"/>
    <col min="16" max="16" width="9.5" style="5" customWidth="1"/>
    <col min="17" max="17" width="9.5" style="1" customWidth="1"/>
    <col min="18" max="21" width="9" style="1"/>
    <col min="22" max="22" width="9" style="1" customWidth="1"/>
    <col min="23" max="23" width="6.25" style="1" customWidth="1"/>
    <col min="24" max="16384" width="9" style="1"/>
  </cols>
  <sheetData>
    <row r="1" spans="2:23" ht="41.25" customHeight="1" thickBot="1" x14ac:dyDescent="0.2">
      <c r="B1" s="566" t="s">
        <v>1117</v>
      </c>
      <c r="C1" s="566"/>
      <c r="D1" s="566"/>
      <c r="E1" s="566"/>
      <c r="F1" s="566"/>
      <c r="G1" s="566"/>
      <c r="H1" s="566"/>
      <c r="I1" s="566"/>
      <c r="J1" s="566"/>
      <c r="K1" s="566"/>
      <c r="M1" s="2" t="str">
        <f>IF(COUNTIF(O:O,"×")&gt;0,"×","○")</f>
        <v>×</v>
      </c>
      <c r="N1" s="3" t="s">
        <v>745</v>
      </c>
    </row>
    <row r="2" spans="2:23" ht="70.5" customHeight="1" x14ac:dyDescent="0.15">
      <c r="B2" s="525" t="str">
        <f>IF('01（学校名入力）'!D5="３号",W12,IF('01（学校名入力）'!D5="４号",W13,W14))</f>
        <v>臨床検査技師等に関する法律施行令第十八条第三号及び第四号の規定に基づき厚生労働大臣が定める
検体検査、生理学的検査、採血及び検体採取に関する科目第○条に規定する科目について</v>
      </c>
      <c r="C2" s="525"/>
      <c r="D2" s="525"/>
      <c r="E2" s="525"/>
      <c r="F2" s="525"/>
      <c r="G2" s="525"/>
      <c r="H2" s="525"/>
      <c r="I2" s="525"/>
      <c r="J2" s="525"/>
      <c r="K2" s="525"/>
      <c r="M2" s="186"/>
    </row>
    <row r="3" spans="2:23" x14ac:dyDescent="0.15">
      <c r="B3" s="8"/>
      <c r="H3" s="8"/>
    </row>
    <row r="4" spans="2:23" ht="24" x14ac:dyDescent="0.15">
      <c r="B4" s="6" t="s">
        <v>1</v>
      </c>
      <c r="H4" s="8"/>
      <c r="M4" s="173"/>
    </row>
    <row r="5" spans="2:23" ht="50.25" customHeight="1" x14ac:dyDescent="0.15">
      <c r="B5" s="532" t="str">
        <f>IF(M1="×","変更後の「授業科目名」「単位数」を入力してください。"&amp;CHAR(10)&amp;"（黄色背景） 未入力 または 基準の単位数を満たしていない部分です。","")</f>
        <v>変更後の「授業科目名」「単位数」を入力してください。
（黄色背景） 未入力 または 基準の単位数を満たしていない部分です。</v>
      </c>
      <c r="C5" s="532"/>
      <c r="D5" s="532"/>
      <c r="E5" s="532"/>
      <c r="F5" s="7"/>
      <c r="H5" s="9"/>
      <c r="I5" s="9"/>
      <c r="J5" s="9"/>
      <c r="M5" s="173"/>
    </row>
    <row r="6" spans="2:23" x14ac:dyDescent="0.15">
      <c r="B6" s="8"/>
      <c r="H6" s="8"/>
      <c r="M6" s="173"/>
    </row>
    <row r="7" spans="2:23" ht="30" customHeight="1" x14ac:dyDescent="0.15">
      <c r="B7" s="188" t="s">
        <v>879</v>
      </c>
      <c r="C7" s="10"/>
      <c r="D7" s="10"/>
      <c r="E7" s="11"/>
      <c r="H7" s="304" t="s">
        <v>765</v>
      </c>
      <c r="I7" s="305"/>
      <c r="J7" s="306"/>
      <c r="M7" s="173"/>
    </row>
    <row r="8" spans="2:23" ht="14.25" customHeight="1" x14ac:dyDescent="0.15">
      <c r="B8" s="8"/>
      <c r="H8" s="8"/>
      <c r="M8" s="173"/>
    </row>
    <row r="9" spans="2:23" ht="18" thickBot="1" x14ac:dyDescent="0.2">
      <c r="B9" s="12" t="s">
        <v>736</v>
      </c>
      <c r="H9" s="12" t="s">
        <v>736</v>
      </c>
      <c r="M9" s="173"/>
    </row>
    <row r="10" spans="2:23" s="14" customFormat="1" ht="39.950000000000003" customHeight="1" x14ac:dyDescent="0.15">
      <c r="B10" s="533" t="s">
        <v>2</v>
      </c>
      <c r="C10" s="528" t="s">
        <v>3</v>
      </c>
      <c r="D10" s="538" t="s">
        <v>4</v>
      </c>
      <c r="E10" s="536" t="s">
        <v>5</v>
      </c>
      <c r="F10" s="13"/>
      <c r="H10" s="526" t="s">
        <v>2</v>
      </c>
      <c r="I10" s="528" t="s">
        <v>3</v>
      </c>
      <c r="J10" s="530" t="s">
        <v>6</v>
      </c>
      <c r="M10" s="186"/>
      <c r="N10" s="3"/>
      <c r="O10" s="3"/>
      <c r="P10" s="5"/>
    </row>
    <row r="11" spans="2:23" s="14" customFormat="1" ht="39.950000000000003" customHeight="1" thickBot="1" x14ac:dyDescent="0.2">
      <c r="B11" s="534"/>
      <c r="C11" s="535"/>
      <c r="D11" s="539"/>
      <c r="E11" s="537"/>
      <c r="F11" s="13"/>
      <c r="H11" s="527"/>
      <c r="I11" s="529"/>
      <c r="J11" s="531"/>
      <c r="M11" s="15" t="s">
        <v>680</v>
      </c>
      <c r="N11" s="16" t="s">
        <v>679</v>
      </c>
      <c r="O11" s="3" t="s">
        <v>7</v>
      </c>
      <c r="P11" s="3"/>
      <c r="Q11" s="3"/>
    </row>
    <row r="12" spans="2:23" s="14" customFormat="1" ht="18.75" customHeight="1" x14ac:dyDescent="0.15">
      <c r="B12" s="546" t="s">
        <v>722</v>
      </c>
      <c r="C12" s="109"/>
      <c r="D12" s="110"/>
      <c r="E12" s="544">
        <v>20</v>
      </c>
      <c r="F12" s="13"/>
      <c r="H12" s="522" t="s">
        <v>870</v>
      </c>
      <c r="I12" s="122"/>
      <c r="J12" s="307"/>
      <c r="L12" s="187" t="s">
        <v>748</v>
      </c>
      <c r="M12" s="15">
        <f>SUM(D12:D38)</f>
        <v>0</v>
      </c>
      <c r="N12" s="16">
        <f>E12</f>
        <v>20</v>
      </c>
      <c r="O12" s="17" t="str">
        <f>IF(M12&lt;N12,"×","")</f>
        <v>×</v>
      </c>
      <c r="P12" s="18" t="str">
        <f>B12</f>
        <v>病態学（新告示第１条は薬理学及び病態薬理学を除く。）</v>
      </c>
      <c r="Q12" s="19"/>
      <c r="R12" s="19"/>
      <c r="S12" s="19"/>
      <c r="T12" s="20"/>
      <c r="U12" s="20"/>
      <c r="W12" s="217" t="s">
        <v>807</v>
      </c>
    </row>
    <row r="13" spans="2:23" s="14" customFormat="1" ht="18.75" x14ac:dyDescent="0.15">
      <c r="B13" s="547"/>
      <c r="C13" s="111"/>
      <c r="D13" s="112"/>
      <c r="E13" s="545"/>
      <c r="F13" s="13"/>
      <c r="H13" s="523"/>
      <c r="I13" s="308"/>
      <c r="J13" s="309"/>
      <c r="M13" s="3"/>
      <c r="N13" s="21"/>
      <c r="O13" s="3"/>
      <c r="P13" s="5"/>
      <c r="W13" s="217" t="s">
        <v>808</v>
      </c>
    </row>
    <row r="14" spans="2:23" s="14" customFormat="1" ht="18.75" x14ac:dyDescent="0.15">
      <c r="B14" s="547"/>
      <c r="C14" s="111"/>
      <c r="D14" s="112"/>
      <c r="E14" s="545"/>
      <c r="F14" s="13"/>
      <c r="H14" s="523"/>
      <c r="I14" s="308"/>
      <c r="J14" s="309"/>
      <c r="M14" s="3"/>
      <c r="N14" s="21"/>
      <c r="O14" s="3"/>
      <c r="P14" s="5"/>
      <c r="W14" s="217" t="s">
        <v>806</v>
      </c>
    </row>
    <row r="15" spans="2:23" s="14" customFormat="1" ht="18.75" x14ac:dyDescent="0.15">
      <c r="B15" s="547"/>
      <c r="C15" s="111"/>
      <c r="D15" s="112"/>
      <c r="E15" s="545"/>
      <c r="F15" s="13"/>
      <c r="H15" s="523"/>
      <c r="I15" s="308"/>
      <c r="J15" s="309"/>
      <c r="M15" s="3"/>
      <c r="N15" s="21"/>
      <c r="O15" s="3"/>
      <c r="P15" s="5"/>
      <c r="W15" s="217"/>
    </row>
    <row r="16" spans="2:23" s="14" customFormat="1" ht="18.75" x14ac:dyDescent="0.15">
      <c r="B16" s="547"/>
      <c r="C16" s="111"/>
      <c r="D16" s="112"/>
      <c r="E16" s="545"/>
      <c r="F16" s="13"/>
      <c r="H16" s="523"/>
      <c r="I16" s="308"/>
      <c r="J16" s="309"/>
      <c r="M16" s="3"/>
      <c r="N16" s="21"/>
      <c r="O16" s="3"/>
      <c r="P16" s="5"/>
    </row>
    <row r="17" spans="2:17" s="14" customFormat="1" ht="18.75" x14ac:dyDescent="0.15">
      <c r="B17" s="547"/>
      <c r="C17" s="111"/>
      <c r="D17" s="112"/>
      <c r="E17" s="545"/>
      <c r="F17" s="13"/>
      <c r="H17" s="523"/>
      <c r="I17" s="308"/>
      <c r="J17" s="309"/>
      <c r="M17" s="3"/>
      <c r="N17" s="21"/>
      <c r="O17" s="3"/>
      <c r="P17" s="5"/>
    </row>
    <row r="18" spans="2:17" s="14" customFormat="1" ht="18.75" x14ac:dyDescent="0.15">
      <c r="B18" s="547"/>
      <c r="C18" s="111"/>
      <c r="D18" s="112"/>
      <c r="E18" s="545"/>
      <c r="F18" s="13"/>
      <c r="H18" s="523"/>
      <c r="I18" s="308"/>
      <c r="J18" s="309"/>
      <c r="M18" s="3"/>
      <c r="N18" s="21"/>
      <c r="O18" s="3"/>
      <c r="P18" s="5"/>
    </row>
    <row r="19" spans="2:17" s="14" customFormat="1" ht="18.75" x14ac:dyDescent="0.15">
      <c r="B19" s="547"/>
      <c r="C19" s="111"/>
      <c r="D19" s="112"/>
      <c r="E19" s="545"/>
      <c r="F19" s="13"/>
      <c r="H19" s="523"/>
      <c r="I19" s="308"/>
      <c r="J19" s="309"/>
      <c r="M19" s="3"/>
      <c r="N19" s="21"/>
      <c r="O19" s="3"/>
      <c r="P19" s="5"/>
    </row>
    <row r="20" spans="2:17" s="14" customFormat="1" ht="18.75" x14ac:dyDescent="0.15">
      <c r="B20" s="547"/>
      <c r="C20" s="111"/>
      <c r="D20" s="112"/>
      <c r="E20" s="545"/>
      <c r="F20" s="13"/>
      <c r="H20" s="523"/>
      <c r="I20" s="308"/>
      <c r="J20" s="309"/>
      <c r="M20" s="3"/>
      <c r="N20" s="21"/>
      <c r="O20" s="3"/>
      <c r="P20" s="5"/>
    </row>
    <row r="21" spans="2:17" s="14" customFormat="1" ht="18.75" x14ac:dyDescent="0.15">
      <c r="B21" s="547"/>
      <c r="C21" s="111"/>
      <c r="D21" s="112"/>
      <c r="E21" s="545"/>
      <c r="F21" s="13"/>
      <c r="H21" s="523"/>
      <c r="I21" s="308"/>
      <c r="J21" s="309"/>
      <c r="M21" s="3"/>
      <c r="N21" s="21"/>
      <c r="O21" s="3"/>
      <c r="P21" s="5"/>
    </row>
    <row r="22" spans="2:17" s="14" customFormat="1" ht="18.75" x14ac:dyDescent="0.15">
      <c r="B22" s="547"/>
      <c r="C22" s="111"/>
      <c r="D22" s="112"/>
      <c r="E22" s="545"/>
      <c r="F22" s="13"/>
      <c r="H22" s="523"/>
      <c r="I22" s="308"/>
      <c r="J22" s="309"/>
      <c r="M22" s="3"/>
      <c r="N22" s="21"/>
      <c r="O22" s="3"/>
      <c r="P22" s="5"/>
    </row>
    <row r="23" spans="2:17" s="14" customFormat="1" ht="18.75" x14ac:dyDescent="0.15">
      <c r="B23" s="547"/>
      <c r="C23" s="111"/>
      <c r="D23" s="112"/>
      <c r="E23" s="545"/>
      <c r="F23" s="13"/>
      <c r="H23" s="523"/>
      <c r="I23" s="308"/>
      <c r="J23" s="309"/>
      <c r="M23" s="3"/>
      <c r="N23" s="21"/>
      <c r="O23" s="3"/>
      <c r="P23" s="5"/>
    </row>
    <row r="24" spans="2:17" s="14" customFormat="1" ht="18.75" x14ac:dyDescent="0.15">
      <c r="B24" s="547"/>
      <c r="C24" s="111"/>
      <c r="D24" s="112"/>
      <c r="E24" s="545"/>
      <c r="F24" s="13"/>
      <c r="H24" s="523"/>
      <c r="I24" s="308"/>
      <c r="J24" s="309"/>
      <c r="M24" s="3"/>
      <c r="N24" s="21"/>
      <c r="O24" s="3"/>
      <c r="P24" s="5"/>
    </row>
    <row r="25" spans="2:17" s="14" customFormat="1" ht="18.75" x14ac:dyDescent="0.15">
      <c r="B25" s="547"/>
      <c r="C25" s="111"/>
      <c r="D25" s="112"/>
      <c r="E25" s="545"/>
      <c r="F25" s="13"/>
      <c r="H25" s="523"/>
      <c r="I25" s="308"/>
      <c r="J25" s="309"/>
      <c r="M25" s="3"/>
      <c r="N25" s="21"/>
      <c r="O25" s="3"/>
      <c r="P25" s="5"/>
    </row>
    <row r="26" spans="2:17" s="14" customFormat="1" ht="18.75" x14ac:dyDescent="0.15">
      <c r="B26" s="547"/>
      <c r="C26" s="111"/>
      <c r="D26" s="112"/>
      <c r="E26" s="545"/>
      <c r="F26" s="13"/>
      <c r="H26" s="523"/>
      <c r="I26" s="308"/>
      <c r="J26" s="309"/>
      <c r="M26" s="3"/>
      <c r="N26" s="21"/>
      <c r="O26" s="3"/>
      <c r="P26" s="5"/>
    </row>
    <row r="27" spans="2:17" s="14" customFormat="1" ht="18.75" x14ac:dyDescent="0.15">
      <c r="B27" s="547"/>
      <c r="C27" s="111"/>
      <c r="D27" s="112"/>
      <c r="E27" s="545"/>
      <c r="F27" s="13"/>
      <c r="H27" s="523"/>
      <c r="I27" s="308"/>
      <c r="J27" s="309"/>
      <c r="M27" s="3"/>
      <c r="N27" s="21"/>
      <c r="O27" s="3"/>
      <c r="P27" s="5"/>
    </row>
    <row r="28" spans="2:17" s="14" customFormat="1" ht="18.75" x14ac:dyDescent="0.15">
      <c r="B28" s="547"/>
      <c r="C28" s="111"/>
      <c r="D28" s="112"/>
      <c r="E28" s="545"/>
      <c r="F28" s="13"/>
      <c r="H28" s="523"/>
      <c r="I28" s="308"/>
      <c r="J28" s="309"/>
      <c r="M28" s="3"/>
      <c r="N28" s="21"/>
      <c r="O28" s="3"/>
      <c r="P28" s="5"/>
    </row>
    <row r="29" spans="2:17" s="14" customFormat="1" ht="18.75" x14ac:dyDescent="0.15">
      <c r="B29" s="547"/>
      <c r="C29" s="111"/>
      <c r="D29" s="112"/>
      <c r="E29" s="545"/>
      <c r="F29" s="13"/>
      <c r="H29" s="523"/>
      <c r="I29" s="308"/>
      <c r="J29" s="309"/>
      <c r="M29" s="3"/>
      <c r="N29" s="21"/>
      <c r="O29" s="3"/>
      <c r="P29" s="5"/>
    </row>
    <row r="30" spans="2:17" s="14" customFormat="1" ht="18.75" x14ac:dyDescent="0.15">
      <c r="B30" s="547"/>
      <c r="C30" s="111"/>
      <c r="D30" s="112"/>
      <c r="E30" s="545"/>
      <c r="F30" s="13"/>
      <c r="H30" s="523"/>
      <c r="I30" s="308"/>
      <c r="J30" s="309"/>
      <c r="M30" s="23"/>
      <c r="N30" s="24"/>
      <c r="O30" s="23"/>
      <c r="P30" s="25"/>
      <c r="Q30" s="26"/>
    </row>
    <row r="31" spans="2:17" s="14" customFormat="1" ht="18.75" x14ac:dyDescent="0.15">
      <c r="B31" s="547"/>
      <c r="C31" s="111"/>
      <c r="D31" s="112"/>
      <c r="E31" s="545"/>
      <c r="F31" s="13"/>
      <c r="H31" s="523"/>
      <c r="I31" s="308"/>
      <c r="J31" s="309"/>
      <c r="M31" s="23"/>
      <c r="N31" s="24"/>
      <c r="O31" s="23"/>
      <c r="P31" s="25"/>
      <c r="Q31" s="26"/>
    </row>
    <row r="32" spans="2:17" s="14" customFormat="1" ht="18.75" customHeight="1" x14ac:dyDescent="0.15">
      <c r="B32" s="547"/>
      <c r="C32" s="111"/>
      <c r="D32" s="112"/>
      <c r="E32" s="545"/>
      <c r="F32" s="13"/>
      <c r="H32" s="523"/>
      <c r="I32" s="308"/>
      <c r="J32" s="309"/>
      <c r="M32" s="549"/>
      <c r="N32" s="27"/>
      <c r="O32" s="171"/>
      <c r="P32" s="551"/>
      <c r="Q32" s="540"/>
    </row>
    <row r="33" spans="2:18" s="14" customFormat="1" ht="18.75" x14ac:dyDescent="0.15">
      <c r="B33" s="547"/>
      <c r="C33" s="111"/>
      <c r="D33" s="112"/>
      <c r="E33" s="545"/>
      <c r="F33" s="13"/>
      <c r="H33" s="523"/>
      <c r="I33" s="308"/>
      <c r="J33" s="309"/>
      <c r="M33" s="550"/>
      <c r="N33" s="28"/>
      <c r="O33" s="172"/>
      <c r="P33" s="551"/>
      <c r="Q33" s="540"/>
    </row>
    <row r="34" spans="2:18" s="14" customFormat="1" ht="18.75" customHeight="1" x14ac:dyDescent="0.15">
      <c r="B34" s="547"/>
      <c r="C34" s="111"/>
      <c r="D34" s="112"/>
      <c r="E34" s="545"/>
      <c r="F34" s="13"/>
      <c r="H34" s="523"/>
      <c r="I34" s="308"/>
      <c r="J34" s="309"/>
      <c r="M34" s="29"/>
      <c r="N34" s="30"/>
      <c r="O34" s="29"/>
      <c r="P34" s="31"/>
      <c r="Q34" s="32"/>
    </row>
    <row r="35" spans="2:18" s="14" customFormat="1" ht="18.75" x14ac:dyDescent="0.15">
      <c r="B35" s="547"/>
      <c r="C35" s="111"/>
      <c r="D35" s="112"/>
      <c r="E35" s="545"/>
      <c r="F35" s="13"/>
      <c r="H35" s="523"/>
      <c r="I35" s="308"/>
      <c r="J35" s="309"/>
      <c r="M35" s="29"/>
      <c r="N35" s="30"/>
      <c r="O35" s="29"/>
      <c r="P35" s="31"/>
      <c r="Q35" s="32"/>
    </row>
    <row r="36" spans="2:18" s="14" customFormat="1" ht="18.75" x14ac:dyDescent="0.15">
      <c r="B36" s="547"/>
      <c r="C36" s="248"/>
      <c r="D36" s="112"/>
      <c r="E36" s="545"/>
      <c r="F36" s="13"/>
      <c r="H36" s="523"/>
      <c r="I36" s="310"/>
      <c r="J36" s="309"/>
      <c r="M36" s="29"/>
      <c r="N36" s="30"/>
      <c r="O36" s="29"/>
      <c r="P36" s="31"/>
      <c r="Q36" s="32"/>
    </row>
    <row r="37" spans="2:18" s="14" customFormat="1" ht="18.75" x14ac:dyDescent="0.15">
      <c r="B37" s="547"/>
      <c r="C37" s="248"/>
      <c r="D37" s="112"/>
      <c r="E37" s="545"/>
      <c r="F37" s="13"/>
      <c r="H37" s="523"/>
      <c r="I37" s="310"/>
      <c r="J37" s="309"/>
      <c r="M37" s="29"/>
      <c r="N37" s="30"/>
      <c r="O37" s="29"/>
      <c r="P37" s="31"/>
      <c r="Q37" s="32"/>
    </row>
    <row r="38" spans="2:18" s="14" customFormat="1" ht="19.5" thickBot="1" x14ac:dyDescent="0.2">
      <c r="B38" s="548"/>
      <c r="C38" s="113"/>
      <c r="D38" s="112"/>
      <c r="E38" s="537"/>
      <c r="F38" s="13"/>
      <c r="H38" s="524"/>
      <c r="I38" s="311"/>
      <c r="J38" s="312"/>
      <c r="M38" s="29"/>
      <c r="N38" s="30"/>
      <c r="O38" s="29"/>
      <c r="P38" s="31"/>
      <c r="Q38" s="32"/>
    </row>
    <row r="39" spans="2:18" s="14" customFormat="1" ht="18.75" x14ac:dyDescent="0.15">
      <c r="B39" s="541" t="s">
        <v>8</v>
      </c>
      <c r="C39" s="109"/>
      <c r="D39" s="110"/>
      <c r="E39" s="544">
        <v>4</v>
      </c>
      <c r="F39" s="13"/>
      <c r="H39" s="519" t="s">
        <v>237</v>
      </c>
      <c r="I39" s="122"/>
      <c r="J39" s="307"/>
      <c r="L39" s="187" t="s">
        <v>749</v>
      </c>
      <c r="M39" s="15">
        <f>SUM(D39:D46)</f>
        <v>0</v>
      </c>
      <c r="N39" s="16">
        <f>E39</f>
        <v>4</v>
      </c>
      <c r="O39" s="33" t="str">
        <f>IF(M39&lt;N39,"×","")</f>
        <v>×</v>
      </c>
      <c r="P39" s="34" t="str">
        <f>B39</f>
        <v>公衆衛生学</v>
      </c>
      <c r="Q39" s="22"/>
      <c r="R39" s="35"/>
    </row>
    <row r="40" spans="2:18" s="14" customFormat="1" ht="18.75" x14ac:dyDescent="0.15">
      <c r="B40" s="542"/>
      <c r="C40" s="111"/>
      <c r="D40" s="112"/>
      <c r="E40" s="545"/>
      <c r="F40" s="13"/>
      <c r="H40" s="520"/>
      <c r="I40" s="308"/>
      <c r="J40" s="309"/>
      <c r="M40" s="29"/>
      <c r="N40" s="30"/>
      <c r="O40" s="29"/>
      <c r="P40" s="31"/>
      <c r="Q40" s="32"/>
    </row>
    <row r="41" spans="2:18" s="14" customFormat="1" ht="18.75" x14ac:dyDescent="0.15">
      <c r="B41" s="542"/>
      <c r="C41" s="111"/>
      <c r="D41" s="112"/>
      <c r="E41" s="545"/>
      <c r="F41" s="13"/>
      <c r="H41" s="520"/>
      <c r="I41" s="308"/>
      <c r="J41" s="309"/>
      <c r="M41" s="29"/>
      <c r="N41" s="30"/>
      <c r="O41" s="29"/>
      <c r="P41" s="31"/>
      <c r="Q41" s="32"/>
    </row>
    <row r="42" spans="2:18" s="14" customFormat="1" ht="18.75" x14ac:dyDescent="0.15">
      <c r="B42" s="542"/>
      <c r="C42" s="121"/>
      <c r="D42" s="124"/>
      <c r="E42" s="545"/>
      <c r="F42" s="13"/>
      <c r="H42" s="520"/>
      <c r="I42" s="310"/>
      <c r="J42" s="313"/>
      <c r="M42" s="29"/>
      <c r="N42" s="30"/>
      <c r="O42" s="29"/>
      <c r="P42" s="31"/>
      <c r="Q42" s="32"/>
    </row>
    <row r="43" spans="2:18" s="14" customFormat="1" ht="18.75" x14ac:dyDescent="0.15">
      <c r="B43" s="542"/>
      <c r="C43" s="248"/>
      <c r="D43" s="249"/>
      <c r="E43" s="545"/>
      <c r="F43" s="13"/>
      <c r="H43" s="520"/>
      <c r="I43" s="310"/>
      <c r="J43" s="313"/>
      <c r="M43" s="29"/>
      <c r="N43" s="30"/>
      <c r="O43" s="29"/>
      <c r="P43" s="31"/>
      <c r="Q43" s="32"/>
    </row>
    <row r="44" spans="2:18" s="14" customFormat="1" ht="18.75" x14ac:dyDescent="0.15">
      <c r="B44" s="542"/>
      <c r="C44" s="248"/>
      <c r="D44" s="254"/>
      <c r="E44" s="545"/>
      <c r="F44" s="13"/>
      <c r="H44" s="520"/>
      <c r="I44" s="310"/>
      <c r="J44" s="313"/>
      <c r="M44" s="29"/>
      <c r="N44" s="30"/>
      <c r="O44" s="29"/>
      <c r="P44" s="31"/>
      <c r="Q44" s="32"/>
    </row>
    <row r="45" spans="2:18" s="14" customFormat="1" ht="18.75" x14ac:dyDescent="0.15">
      <c r="B45" s="542"/>
      <c r="C45" s="248"/>
      <c r="D45" s="254"/>
      <c r="E45" s="545"/>
      <c r="F45" s="13"/>
      <c r="H45" s="520"/>
      <c r="I45" s="310"/>
      <c r="J45" s="313"/>
      <c r="M45" s="29"/>
      <c r="N45" s="30"/>
      <c r="O45" s="29"/>
      <c r="P45" s="31"/>
      <c r="Q45" s="32"/>
    </row>
    <row r="46" spans="2:18" s="14" customFormat="1" ht="19.5" thickBot="1" x14ac:dyDescent="0.2">
      <c r="B46" s="543"/>
      <c r="C46" s="113"/>
      <c r="D46" s="114"/>
      <c r="E46" s="537"/>
      <c r="F46" s="13"/>
      <c r="H46" s="521"/>
      <c r="I46" s="311"/>
      <c r="J46" s="312"/>
      <c r="M46" s="29"/>
      <c r="N46" s="30"/>
      <c r="O46" s="29"/>
      <c r="P46" s="31"/>
      <c r="Q46" s="32"/>
    </row>
    <row r="47" spans="2:18" s="14" customFormat="1" ht="18.75" x14ac:dyDescent="0.15">
      <c r="B47" s="541" t="s">
        <v>9</v>
      </c>
      <c r="C47" s="109"/>
      <c r="D47" s="110"/>
      <c r="E47" s="544">
        <v>4</v>
      </c>
      <c r="F47" s="13"/>
      <c r="H47" s="519" t="s">
        <v>13</v>
      </c>
      <c r="I47" s="122"/>
      <c r="J47" s="307"/>
      <c r="L47" s="187" t="s">
        <v>750</v>
      </c>
      <c r="M47" s="15">
        <f>SUM(D47:D54)</f>
        <v>0</v>
      </c>
      <c r="N47" s="16">
        <f>E47</f>
        <v>4</v>
      </c>
      <c r="O47" s="33" t="str">
        <f>IF(M47&lt;N47,"×","")</f>
        <v>×</v>
      </c>
      <c r="P47" s="34" t="str">
        <f>B47</f>
        <v>医用工学概論</v>
      </c>
      <c r="Q47" s="22"/>
      <c r="R47" s="35"/>
    </row>
    <row r="48" spans="2:18" s="14" customFormat="1" ht="18.75" x14ac:dyDescent="0.15">
      <c r="B48" s="555"/>
      <c r="C48" s="111"/>
      <c r="D48" s="112"/>
      <c r="E48" s="545"/>
      <c r="F48" s="13"/>
      <c r="H48" s="520"/>
      <c r="I48" s="308"/>
      <c r="J48" s="309"/>
      <c r="M48" s="29"/>
      <c r="N48" s="30"/>
      <c r="O48" s="29"/>
      <c r="P48" s="31"/>
      <c r="Q48" s="32"/>
    </row>
    <row r="49" spans="2:18" s="14" customFormat="1" ht="18.75" x14ac:dyDescent="0.15">
      <c r="B49" s="555"/>
      <c r="C49" s="111"/>
      <c r="D49" s="112"/>
      <c r="E49" s="545"/>
      <c r="F49" s="13"/>
      <c r="H49" s="520"/>
      <c r="I49" s="308"/>
      <c r="J49" s="309"/>
      <c r="M49" s="29"/>
      <c r="N49" s="30"/>
      <c r="O49" s="29"/>
      <c r="P49" s="31"/>
      <c r="Q49" s="32"/>
    </row>
    <row r="50" spans="2:18" s="14" customFormat="1" ht="18.75" x14ac:dyDescent="0.15">
      <c r="B50" s="555"/>
      <c r="C50" s="248"/>
      <c r="D50" s="112"/>
      <c r="E50" s="545"/>
      <c r="F50" s="13"/>
      <c r="H50" s="520"/>
      <c r="I50" s="310"/>
      <c r="J50" s="309"/>
      <c r="M50" s="29"/>
      <c r="N50" s="30"/>
      <c r="O50" s="29"/>
      <c r="P50" s="31"/>
      <c r="Q50" s="32"/>
    </row>
    <row r="51" spans="2:18" s="14" customFormat="1" ht="18.75" x14ac:dyDescent="0.15">
      <c r="B51" s="555"/>
      <c r="C51" s="248"/>
      <c r="D51" s="112"/>
      <c r="E51" s="545"/>
      <c r="F51" s="13"/>
      <c r="H51" s="520"/>
      <c r="I51" s="310"/>
      <c r="J51" s="309"/>
      <c r="M51" s="29"/>
      <c r="N51" s="30"/>
      <c r="O51" s="29"/>
      <c r="P51" s="31"/>
      <c r="Q51" s="32"/>
    </row>
    <row r="52" spans="2:18" s="14" customFormat="1" ht="18.75" x14ac:dyDescent="0.15">
      <c r="B52" s="555"/>
      <c r="C52" s="248"/>
      <c r="D52" s="112"/>
      <c r="E52" s="545"/>
      <c r="F52" s="13"/>
      <c r="H52" s="520"/>
      <c r="I52" s="310"/>
      <c r="J52" s="309"/>
      <c r="M52" s="29"/>
      <c r="N52" s="30"/>
      <c r="O52" s="29"/>
      <c r="P52" s="31"/>
      <c r="Q52" s="32"/>
    </row>
    <row r="53" spans="2:18" s="14" customFormat="1" ht="18.75" x14ac:dyDescent="0.15">
      <c r="B53" s="555"/>
      <c r="C53" s="121"/>
      <c r="D53" s="112"/>
      <c r="E53" s="545"/>
      <c r="F53" s="13"/>
      <c r="H53" s="520"/>
      <c r="I53" s="310"/>
      <c r="J53" s="309"/>
      <c r="M53" s="29"/>
      <c r="N53" s="30"/>
      <c r="O53" s="29"/>
      <c r="P53" s="31"/>
      <c r="Q53" s="32"/>
    </row>
    <row r="54" spans="2:18" s="14" customFormat="1" ht="19.5" thickBot="1" x14ac:dyDescent="0.2">
      <c r="B54" s="556"/>
      <c r="C54" s="121"/>
      <c r="D54" s="112"/>
      <c r="E54" s="537"/>
      <c r="F54" s="13"/>
      <c r="H54" s="521"/>
      <c r="I54" s="311"/>
      <c r="J54" s="312"/>
      <c r="M54" s="29"/>
      <c r="N54" s="30"/>
      <c r="O54" s="29"/>
      <c r="P54" s="31"/>
      <c r="Q54" s="32"/>
    </row>
    <row r="55" spans="2:18" s="14" customFormat="1" ht="18.75" x14ac:dyDescent="0.15">
      <c r="B55" s="541" t="s">
        <v>10</v>
      </c>
      <c r="C55" s="115"/>
      <c r="D55" s="110"/>
      <c r="E55" s="544">
        <v>4</v>
      </c>
      <c r="F55" s="13"/>
      <c r="H55" s="519" t="s">
        <v>871</v>
      </c>
      <c r="I55" s="115"/>
      <c r="J55" s="307"/>
      <c r="L55" s="187" t="s">
        <v>751</v>
      </c>
      <c r="M55" s="15">
        <f>SUM(D55:D62)</f>
        <v>0</v>
      </c>
      <c r="N55" s="16">
        <f>E55</f>
        <v>4</v>
      </c>
      <c r="O55" s="33" t="str">
        <f>IF(M55&lt;N55,"×","")</f>
        <v>×</v>
      </c>
      <c r="P55" s="34" t="str">
        <f>B55</f>
        <v>血液検査学</v>
      </c>
      <c r="Q55" s="22"/>
      <c r="R55" s="35"/>
    </row>
    <row r="56" spans="2:18" s="14" customFormat="1" ht="18.75" x14ac:dyDescent="0.15">
      <c r="B56" s="555"/>
      <c r="C56" s="117"/>
      <c r="D56" s="112"/>
      <c r="E56" s="545"/>
      <c r="F56" s="13"/>
      <c r="H56" s="520"/>
      <c r="I56" s="314"/>
      <c r="J56" s="309"/>
      <c r="M56" s="29"/>
      <c r="N56" s="30"/>
      <c r="O56" s="29"/>
      <c r="P56" s="31"/>
      <c r="Q56" s="32"/>
    </row>
    <row r="57" spans="2:18" s="14" customFormat="1" ht="18.75" x14ac:dyDescent="0.15">
      <c r="B57" s="555"/>
      <c r="C57" s="117"/>
      <c r="D57" s="112"/>
      <c r="E57" s="545"/>
      <c r="F57" s="13"/>
      <c r="H57" s="520"/>
      <c r="I57" s="314"/>
      <c r="J57" s="309"/>
      <c r="M57" s="29"/>
      <c r="N57" s="30"/>
      <c r="O57" s="29"/>
      <c r="P57" s="31"/>
      <c r="Q57" s="32"/>
    </row>
    <row r="58" spans="2:18" s="14" customFormat="1" ht="18.75" x14ac:dyDescent="0.15">
      <c r="B58" s="555"/>
      <c r="C58" s="117"/>
      <c r="D58" s="112"/>
      <c r="E58" s="545"/>
      <c r="F58" s="13"/>
      <c r="H58" s="520"/>
      <c r="I58" s="314"/>
      <c r="J58" s="309"/>
      <c r="M58" s="29"/>
      <c r="N58" s="30"/>
      <c r="O58" s="29"/>
      <c r="P58" s="31"/>
      <c r="Q58" s="32"/>
    </row>
    <row r="59" spans="2:18" s="14" customFormat="1" ht="18.75" x14ac:dyDescent="0.15">
      <c r="B59" s="555"/>
      <c r="C59" s="117"/>
      <c r="D59" s="112"/>
      <c r="E59" s="545"/>
      <c r="F59" s="13"/>
      <c r="H59" s="520"/>
      <c r="I59" s="314"/>
      <c r="J59" s="309"/>
      <c r="M59" s="29"/>
      <c r="N59" s="30"/>
      <c r="O59" s="29"/>
      <c r="P59" s="31"/>
      <c r="Q59" s="32"/>
    </row>
    <row r="60" spans="2:18" s="14" customFormat="1" ht="18.75" x14ac:dyDescent="0.15">
      <c r="B60" s="555"/>
      <c r="C60" s="117"/>
      <c r="D60" s="112"/>
      <c r="E60" s="545"/>
      <c r="F60" s="13"/>
      <c r="H60" s="520"/>
      <c r="I60" s="314"/>
      <c r="J60" s="309"/>
      <c r="M60" s="29"/>
      <c r="N60" s="30"/>
      <c r="O60" s="29"/>
      <c r="P60" s="31"/>
      <c r="Q60" s="32"/>
    </row>
    <row r="61" spans="2:18" s="14" customFormat="1" ht="18.75" x14ac:dyDescent="0.15">
      <c r="B61" s="555"/>
      <c r="C61" s="117"/>
      <c r="D61" s="112"/>
      <c r="E61" s="545"/>
      <c r="F61" s="13"/>
      <c r="H61" s="520"/>
      <c r="I61" s="314"/>
      <c r="J61" s="309"/>
      <c r="M61" s="29"/>
      <c r="N61" s="30"/>
      <c r="O61" s="29"/>
      <c r="P61" s="31"/>
      <c r="Q61" s="32"/>
    </row>
    <row r="62" spans="2:18" s="14" customFormat="1" ht="19.5" thickBot="1" x14ac:dyDescent="0.2">
      <c r="B62" s="556"/>
      <c r="C62" s="117"/>
      <c r="D62" s="112"/>
      <c r="E62" s="537"/>
      <c r="F62" s="13"/>
      <c r="H62" s="521"/>
      <c r="I62" s="315"/>
      <c r="J62" s="312"/>
      <c r="M62" s="29"/>
      <c r="N62" s="30"/>
      <c r="O62" s="29"/>
      <c r="P62" s="31"/>
      <c r="Q62" s="32"/>
    </row>
    <row r="63" spans="2:18" s="14" customFormat="1" ht="18.75" x14ac:dyDescent="0.15">
      <c r="B63" s="541" t="s">
        <v>11</v>
      </c>
      <c r="C63" s="122"/>
      <c r="D63" s="110"/>
      <c r="E63" s="544">
        <v>5</v>
      </c>
      <c r="F63" s="13"/>
      <c r="H63" s="519" t="s">
        <v>872</v>
      </c>
      <c r="I63" s="122"/>
      <c r="J63" s="307"/>
      <c r="L63" s="187" t="s">
        <v>752</v>
      </c>
      <c r="M63" s="15">
        <f>SUM(D63:D70)</f>
        <v>0</v>
      </c>
      <c r="N63" s="16">
        <f>E63</f>
        <v>5</v>
      </c>
      <c r="O63" s="33" t="str">
        <f>IF(M63&lt;N63,"×","")</f>
        <v>×</v>
      </c>
      <c r="P63" s="34" t="str">
        <f>B63</f>
        <v>病理検査学</v>
      </c>
      <c r="Q63" s="22"/>
      <c r="R63" s="35"/>
    </row>
    <row r="64" spans="2:18" s="14" customFormat="1" ht="18.75" x14ac:dyDescent="0.15">
      <c r="B64" s="555"/>
      <c r="C64" s="111"/>
      <c r="D64" s="112"/>
      <c r="E64" s="545"/>
      <c r="F64" s="13"/>
      <c r="H64" s="520"/>
      <c r="I64" s="308"/>
      <c r="J64" s="309"/>
      <c r="M64" s="29"/>
      <c r="N64" s="30"/>
      <c r="O64" s="29"/>
      <c r="P64" s="31"/>
      <c r="Q64" s="32"/>
    </row>
    <row r="65" spans="2:18" s="14" customFormat="1" ht="18.75" x14ac:dyDescent="0.15">
      <c r="B65" s="555"/>
      <c r="C65" s="111"/>
      <c r="D65" s="112"/>
      <c r="E65" s="545"/>
      <c r="F65" s="13"/>
      <c r="H65" s="520"/>
      <c r="I65" s="308"/>
      <c r="J65" s="309"/>
      <c r="M65" s="29"/>
      <c r="N65" s="30"/>
      <c r="O65" s="29"/>
      <c r="P65" s="31"/>
      <c r="Q65" s="32"/>
    </row>
    <row r="66" spans="2:18" s="14" customFormat="1" ht="18.75" x14ac:dyDescent="0.15">
      <c r="B66" s="555"/>
      <c r="C66" s="111"/>
      <c r="D66" s="112"/>
      <c r="E66" s="545"/>
      <c r="F66" s="13"/>
      <c r="H66" s="520"/>
      <c r="I66" s="308"/>
      <c r="J66" s="309"/>
      <c r="M66" s="29"/>
      <c r="N66" s="30"/>
      <c r="O66" s="29"/>
      <c r="P66" s="31"/>
      <c r="Q66" s="32"/>
    </row>
    <row r="67" spans="2:18" s="14" customFormat="1" ht="18.75" x14ac:dyDescent="0.15">
      <c r="B67" s="555"/>
      <c r="C67" s="111"/>
      <c r="D67" s="112"/>
      <c r="E67" s="545"/>
      <c r="F67" s="13"/>
      <c r="H67" s="520"/>
      <c r="I67" s="308"/>
      <c r="J67" s="309"/>
      <c r="M67" s="29"/>
      <c r="N67" s="30"/>
      <c r="O67" s="29"/>
      <c r="P67" s="31"/>
      <c r="Q67" s="32"/>
    </row>
    <row r="68" spans="2:18" s="14" customFormat="1" ht="18.75" x14ac:dyDescent="0.15">
      <c r="B68" s="555"/>
      <c r="C68" s="111"/>
      <c r="D68" s="112"/>
      <c r="E68" s="545"/>
      <c r="F68" s="13"/>
      <c r="H68" s="520"/>
      <c r="I68" s="308"/>
      <c r="J68" s="309"/>
      <c r="M68" s="29"/>
      <c r="N68" s="30"/>
      <c r="O68" s="29"/>
      <c r="P68" s="31"/>
      <c r="Q68" s="32"/>
    </row>
    <row r="69" spans="2:18" s="14" customFormat="1" ht="18.75" x14ac:dyDescent="0.15">
      <c r="B69" s="555"/>
      <c r="C69" s="111"/>
      <c r="D69" s="112"/>
      <c r="E69" s="545"/>
      <c r="F69" s="13"/>
      <c r="H69" s="520"/>
      <c r="I69" s="308"/>
      <c r="J69" s="309"/>
      <c r="M69" s="29"/>
      <c r="N69" s="30"/>
      <c r="O69" s="29"/>
      <c r="P69" s="31"/>
      <c r="Q69" s="32"/>
    </row>
    <row r="70" spans="2:18" s="14" customFormat="1" ht="19.5" thickBot="1" x14ac:dyDescent="0.2">
      <c r="B70" s="556"/>
      <c r="C70" s="121"/>
      <c r="D70" s="112"/>
      <c r="E70" s="537"/>
      <c r="F70" s="13"/>
      <c r="H70" s="521"/>
      <c r="I70" s="311"/>
      <c r="J70" s="312"/>
      <c r="M70" s="29"/>
      <c r="N70" s="30"/>
      <c r="O70" s="29"/>
      <c r="P70" s="31"/>
      <c r="Q70" s="32"/>
    </row>
    <row r="71" spans="2:18" s="14" customFormat="1" ht="18.75" customHeight="1" x14ac:dyDescent="0.15">
      <c r="B71" s="541" t="s">
        <v>12</v>
      </c>
      <c r="C71" s="115"/>
      <c r="D71" s="110"/>
      <c r="E71" s="544">
        <v>3</v>
      </c>
      <c r="F71" s="13"/>
      <c r="H71" s="522" t="s">
        <v>873</v>
      </c>
      <c r="I71" s="115"/>
      <c r="J71" s="307"/>
      <c r="L71" s="187" t="s">
        <v>753</v>
      </c>
      <c r="M71" s="15">
        <f>SUM(D71:D76)</f>
        <v>0</v>
      </c>
      <c r="N71" s="16">
        <f>E71</f>
        <v>3</v>
      </c>
      <c r="O71" s="33" t="str">
        <f>IF(M71&lt;N71,"×","")</f>
        <v>×</v>
      </c>
      <c r="P71" s="34" t="str">
        <f>B71</f>
        <v>尿・糞便等一般検査学</v>
      </c>
      <c r="Q71" s="22"/>
      <c r="R71" s="35"/>
    </row>
    <row r="72" spans="2:18" s="14" customFormat="1" ht="18.75" x14ac:dyDescent="0.15">
      <c r="B72" s="555"/>
      <c r="C72" s="117"/>
      <c r="D72" s="112"/>
      <c r="E72" s="545"/>
      <c r="F72" s="13"/>
      <c r="H72" s="523"/>
      <c r="I72" s="314"/>
      <c r="J72" s="309"/>
      <c r="M72" s="3"/>
      <c r="N72" s="21"/>
      <c r="O72" s="3"/>
      <c r="P72" s="5"/>
    </row>
    <row r="73" spans="2:18" s="14" customFormat="1" ht="18.75" x14ac:dyDescent="0.15">
      <c r="B73" s="555"/>
      <c r="C73" s="117"/>
      <c r="D73" s="112"/>
      <c r="E73" s="545"/>
      <c r="F73" s="13"/>
      <c r="H73" s="523"/>
      <c r="I73" s="314"/>
      <c r="J73" s="309"/>
      <c r="M73" s="3"/>
      <c r="N73" s="21"/>
      <c r="O73" s="3"/>
      <c r="P73" s="5"/>
    </row>
    <row r="74" spans="2:18" s="14" customFormat="1" ht="18.75" x14ac:dyDescent="0.15">
      <c r="B74" s="555"/>
      <c r="C74" s="117"/>
      <c r="D74" s="112"/>
      <c r="E74" s="545"/>
      <c r="F74" s="13"/>
      <c r="H74" s="523"/>
      <c r="I74" s="314"/>
      <c r="J74" s="309"/>
      <c r="M74" s="3"/>
      <c r="N74" s="21"/>
      <c r="O74" s="3"/>
      <c r="P74" s="5"/>
    </row>
    <row r="75" spans="2:18" s="14" customFormat="1" ht="18.75" x14ac:dyDescent="0.15">
      <c r="B75" s="555"/>
      <c r="C75" s="247"/>
      <c r="D75" s="249"/>
      <c r="E75" s="545"/>
      <c r="F75" s="13"/>
      <c r="H75" s="523"/>
      <c r="I75" s="316"/>
      <c r="J75" s="313"/>
      <c r="M75" s="3"/>
      <c r="N75" s="21"/>
      <c r="O75" s="3"/>
      <c r="P75" s="5"/>
    </row>
    <row r="76" spans="2:18" ht="19.5" thickBot="1" x14ac:dyDescent="0.2">
      <c r="B76" s="556"/>
      <c r="C76" s="123"/>
      <c r="D76" s="124"/>
      <c r="E76" s="537"/>
      <c r="F76" s="13"/>
      <c r="H76" s="524"/>
      <c r="I76" s="315"/>
      <c r="J76" s="312"/>
      <c r="N76" s="36"/>
    </row>
    <row r="77" spans="2:18" ht="18.75" x14ac:dyDescent="0.15">
      <c r="B77" s="541" t="s">
        <v>700</v>
      </c>
      <c r="C77" s="115"/>
      <c r="D77" s="125"/>
      <c r="E77" s="544">
        <v>6</v>
      </c>
      <c r="F77" s="13"/>
      <c r="H77" s="522" t="s">
        <v>433</v>
      </c>
      <c r="I77" s="115"/>
      <c r="J77" s="307"/>
      <c r="L77" s="187" t="s">
        <v>754</v>
      </c>
      <c r="M77" s="15">
        <f>SUM(D77:D84)</f>
        <v>0</v>
      </c>
      <c r="N77" s="16">
        <f>E77</f>
        <v>6</v>
      </c>
      <c r="O77" s="33" t="str">
        <f>IF(OR(M77+M85&lt;N77,M77=0,M85=0),"×","")</f>
        <v>×</v>
      </c>
      <c r="P77" s="103" t="str">
        <f>B77</f>
        <v>生化学検査学</v>
      </c>
      <c r="Q77" s="38"/>
      <c r="R77" s="39"/>
    </row>
    <row r="78" spans="2:18" ht="18.75" customHeight="1" x14ac:dyDescent="0.15">
      <c r="B78" s="555"/>
      <c r="C78" s="117"/>
      <c r="D78" s="112"/>
      <c r="E78" s="545"/>
      <c r="F78" s="13"/>
      <c r="H78" s="523"/>
      <c r="I78" s="314"/>
      <c r="J78" s="309"/>
      <c r="N78" s="40"/>
      <c r="O78" s="41"/>
      <c r="P78" s="42"/>
      <c r="Q78" s="43"/>
      <c r="R78" s="44"/>
    </row>
    <row r="79" spans="2:18" ht="18.75" customHeight="1" x14ac:dyDescent="0.15">
      <c r="B79" s="555"/>
      <c r="C79" s="117"/>
      <c r="D79" s="112"/>
      <c r="E79" s="545"/>
      <c r="F79" s="13"/>
      <c r="H79" s="523"/>
      <c r="I79" s="314"/>
      <c r="J79" s="309"/>
      <c r="N79" s="40"/>
      <c r="O79" s="46"/>
      <c r="P79" s="42"/>
      <c r="Q79" s="43"/>
      <c r="R79" s="44"/>
    </row>
    <row r="80" spans="2:18" ht="18.75" customHeight="1" x14ac:dyDescent="0.15">
      <c r="B80" s="555"/>
      <c r="C80" s="282"/>
      <c r="D80" s="283"/>
      <c r="E80" s="545"/>
      <c r="F80" s="13"/>
      <c r="H80" s="523"/>
      <c r="I80" s="314"/>
      <c r="J80" s="309"/>
      <c r="N80" s="40"/>
      <c r="O80" s="46"/>
      <c r="P80" s="42"/>
      <c r="Q80" s="43"/>
      <c r="R80" s="44"/>
    </row>
    <row r="81" spans="2:18" ht="18.75" customHeight="1" x14ac:dyDescent="0.15">
      <c r="B81" s="555"/>
      <c r="C81" s="282"/>
      <c r="D81" s="283"/>
      <c r="E81" s="545"/>
      <c r="F81" s="13"/>
      <c r="H81" s="523"/>
      <c r="I81" s="314"/>
      <c r="J81" s="309"/>
      <c r="N81" s="40"/>
      <c r="O81" s="46"/>
      <c r="P81" s="42"/>
      <c r="Q81" s="43"/>
      <c r="R81" s="44"/>
    </row>
    <row r="82" spans="2:18" ht="18.75" x14ac:dyDescent="0.15">
      <c r="B82" s="555"/>
      <c r="C82" s="117"/>
      <c r="D82" s="112"/>
      <c r="E82" s="545"/>
      <c r="F82" s="13"/>
      <c r="H82" s="523"/>
      <c r="I82" s="314"/>
      <c r="J82" s="309"/>
      <c r="N82" s="45"/>
      <c r="O82" s="46"/>
      <c r="P82" s="42"/>
      <c r="Q82" s="43"/>
      <c r="R82" s="44"/>
    </row>
    <row r="83" spans="2:18" ht="18.75" x14ac:dyDescent="0.15">
      <c r="B83" s="555"/>
      <c r="C83" s="247"/>
      <c r="D83" s="249"/>
      <c r="E83" s="545"/>
      <c r="F83" s="13"/>
      <c r="H83" s="523"/>
      <c r="I83" s="316"/>
      <c r="J83" s="313"/>
      <c r="N83" s="45"/>
      <c r="O83" s="46"/>
      <c r="P83" s="42"/>
      <c r="Q83" s="43"/>
      <c r="R83" s="44"/>
    </row>
    <row r="84" spans="2:18" ht="19.5" thickBot="1" x14ac:dyDescent="0.2">
      <c r="B84" s="556"/>
      <c r="C84" s="118"/>
      <c r="D84" s="126"/>
      <c r="E84" s="545"/>
      <c r="F84" s="13"/>
      <c r="H84" s="524"/>
      <c r="I84" s="315"/>
      <c r="J84" s="312"/>
      <c r="N84" s="47"/>
      <c r="O84" s="46"/>
      <c r="P84" s="42"/>
      <c r="Q84" s="43"/>
      <c r="R84" s="44"/>
    </row>
    <row r="85" spans="2:18" ht="18.75" x14ac:dyDescent="0.15">
      <c r="B85" s="541" t="s">
        <v>701</v>
      </c>
      <c r="C85" s="115"/>
      <c r="D85" s="125"/>
      <c r="E85" s="545"/>
      <c r="F85" s="13"/>
      <c r="H85" s="516" t="s">
        <v>466</v>
      </c>
      <c r="I85" s="115"/>
      <c r="J85" s="307"/>
      <c r="L85" s="187" t="s">
        <v>755</v>
      </c>
      <c r="M85" s="15">
        <f>SUM(D85:D94)</f>
        <v>0</v>
      </c>
      <c r="N85" s="36"/>
      <c r="O85" s="48"/>
      <c r="P85" s="49" t="str">
        <f>B85</f>
        <v>免疫検査学</v>
      </c>
      <c r="Q85" s="43"/>
      <c r="R85" s="44"/>
    </row>
    <row r="86" spans="2:18" ht="18.75" x14ac:dyDescent="0.15">
      <c r="B86" s="555"/>
      <c r="C86" s="117"/>
      <c r="D86" s="112"/>
      <c r="E86" s="545"/>
      <c r="F86" s="13"/>
      <c r="H86" s="517"/>
      <c r="I86" s="314"/>
      <c r="J86" s="309"/>
      <c r="N86" s="50" t="s">
        <v>681</v>
      </c>
      <c r="P86" s="37"/>
      <c r="Q86" s="38"/>
      <c r="R86" s="38"/>
    </row>
    <row r="87" spans="2:18" ht="21" customHeight="1" x14ac:dyDescent="0.15">
      <c r="B87" s="555"/>
      <c r="C87" s="117"/>
      <c r="D87" s="112"/>
      <c r="E87" s="545"/>
      <c r="F87" s="13"/>
      <c r="H87" s="517"/>
      <c r="I87" s="314"/>
      <c r="J87" s="309"/>
      <c r="N87" s="50"/>
      <c r="P87" s="49"/>
      <c r="Q87" s="43"/>
      <c r="R87" s="43"/>
    </row>
    <row r="88" spans="2:18" ht="21" customHeight="1" x14ac:dyDescent="0.15">
      <c r="B88" s="555"/>
      <c r="C88" s="117"/>
      <c r="D88" s="112"/>
      <c r="E88" s="545"/>
      <c r="F88" s="13"/>
      <c r="H88" s="517"/>
      <c r="I88" s="314"/>
      <c r="J88" s="309"/>
      <c r="N88" s="50"/>
      <c r="P88" s="49"/>
      <c r="Q88" s="43"/>
      <c r="R88" s="43"/>
    </row>
    <row r="89" spans="2:18" ht="21" customHeight="1" x14ac:dyDescent="0.15">
      <c r="B89" s="555"/>
      <c r="C89" s="282"/>
      <c r="D89" s="283"/>
      <c r="E89" s="545"/>
      <c r="F89" s="13"/>
      <c r="H89" s="517"/>
      <c r="I89" s="314"/>
      <c r="J89" s="309"/>
      <c r="N89" s="50"/>
      <c r="P89" s="49"/>
      <c r="Q89" s="43"/>
      <c r="R89" s="43"/>
    </row>
    <row r="90" spans="2:18" ht="21" customHeight="1" x14ac:dyDescent="0.15">
      <c r="B90" s="555"/>
      <c r="C90" s="282"/>
      <c r="D90" s="283"/>
      <c r="E90" s="545"/>
      <c r="F90" s="13"/>
      <c r="H90" s="517"/>
      <c r="I90" s="314"/>
      <c r="J90" s="309"/>
      <c r="N90" s="50"/>
      <c r="P90" s="49"/>
      <c r="Q90" s="43"/>
      <c r="R90" s="43"/>
    </row>
    <row r="91" spans="2:18" ht="21" customHeight="1" x14ac:dyDescent="0.15">
      <c r="B91" s="555"/>
      <c r="C91" s="282"/>
      <c r="D91" s="283"/>
      <c r="E91" s="545"/>
      <c r="F91" s="13"/>
      <c r="H91" s="517"/>
      <c r="I91" s="314"/>
      <c r="J91" s="309"/>
      <c r="N91" s="50"/>
      <c r="P91" s="49"/>
      <c r="Q91" s="43"/>
      <c r="R91" s="43"/>
    </row>
    <row r="92" spans="2:18" ht="21" customHeight="1" x14ac:dyDescent="0.15">
      <c r="B92" s="555"/>
      <c r="C92" s="282"/>
      <c r="D92" s="283"/>
      <c r="E92" s="545"/>
      <c r="F92" s="13"/>
      <c r="H92" s="517"/>
      <c r="I92" s="314"/>
      <c r="J92" s="309"/>
      <c r="N92" s="50"/>
      <c r="P92" s="49"/>
      <c r="Q92" s="43"/>
      <c r="R92" s="43"/>
    </row>
    <row r="93" spans="2:18" ht="18.75" x14ac:dyDescent="0.15">
      <c r="B93" s="555"/>
      <c r="C93" s="117"/>
      <c r="D93" s="112"/>
      <c r="E93" s="545"/>
      <c r="F93" s="13"/>
      <c r="H93" s="517"/>
      <c r="I93" s="314"/>
      <c r="J93" s="309"/>
      <c r="N93" s="36"/>
      <c r="P93" s="49"/>
      <c r="Q93" s="43"/>
      <c r="R93" s="43"/>
    </row>
    <row r="94" spans="2:18" ht="19.5" thickBot="1" x14ac:dyDescent="0.2">
      <c r="B94" s="556"/>
      <c r="C94" s="117"/>
      <c r="D94" s="112"/>
      <c r="E94" s="537"/>
      <c r="F94" s="13"/>
      <c r="H94" s="518"/>
      <c r="I94" s="315"/>
      <c r="J94" s="312"/>
      <c r="N94" s="36"/>
      <c r="P94" s="51"/>
      <c r="Q94" s="52"/>
      <c r="R94" s="52"/>
    </row>
    <row r="95" spans="2:18" ht="19.5" customHeight="1" x14ac:dyDescent="0.15">
      <c r="B95" s="541" t="s">
        <v>702</v>
      </c>
      <c r="C95" s="115"/>
      <c r="D95" s="110"/>
      <c r="E95" s="544">
        <v>2</v>
      </c>
      <c r="F95" s="13"/>
      <c r="H95" s="516" t="s">
        <v>494</v>
      </c>
      <c r="I95" s="115"/>
      <c r="J95" s="307"/>
      <c r="L95" s="187" t="s">
        <v>756</v>
      </c>
      <c r="M95" s="15">
        <f>SUM(D95:D100)</f>
        <v>0</v>
      </c>
      <c r="N95" s="16">
        <f>E95</f>
        <v>2</v>
      </c>
      <c r="O95" s="33" t="str">
        <f>IF(M95&lt;N95,"×","")</f>
        <v>×</v>
      </c>
      <c r="P95" s="34" t="str">
        <f>B95</f>
        <v>遺伝子関連・染色体検査学</v>
      </c>
      <c r="Q95" s="53"/>
      <c r="R95" s="54"/>
    </row>
    <row r="96" spans="2:18" ht="19.5" customHeight="1" x14ac:dyDescent="0.15">
      <c r="B96" s="555"/>
      <c r="C96" s="127"/>
      <c r="D96" s="231"/>
      <c r="E96" s="552"/>
      <c r="F96" s="13"/>
      <c r="H96" s="517"/>
      <c r="I96" s="127"/>
      <c r="J96" s="317"/>
      <c r="L96" s="187"/>
      <c r="M96" s="15"/>
      <c r="N96" s="16"/>
      <c r="O96" s="226"/>
      <c r="P96" s="49"/>
      <c r="Q96" s="43"/>
      <c r="R96" s="43"/>
    </row>
    <row r="97" spans="2:18" ht="19.5" customHeight="1" x14ac:dyDescent="0.15">
      <c r="B97" s="555"/>
      <c r="C97" s="127"/>
      <c r="D97" s="231"/>
      <c r="E97" s="552"/>
      <c r="F97" s="13"/>
      <c r="H97" s="517"/>
      <c r="I97" s="127"/>
      <c r="J97" s="317"/>
      <c r="L97" s="187"/>
      <c r="M97" s="15"/>
      <c r="N97" s="16"/>
      <c r="O97" s="226"/>
      <c r="P97" s="49"/>
      <c r="Q97" s="43"/>
      <c r="R97" s="43"/>
    </row>
    <row r="98" spans="2:18" ht="18.75" x14ac:dyDescent="0.15">
      <c r="B98" s="555"/>
      <c r="C98" s="117"/>
      <c r="D98" s="112"/>
      <c r="E98" s="545"/>
      <c r="F98" s="13"/>
      <c r="H98" s="517"/>
      <c r="I98" s="314"/>
      <c r="J98" s="309"/>
      <c r="N98" s="36"/>
    </row>
    <row r="99" spans="2:18" ht="18.75" x14ac:dyDescent="0.15">
      <c r="B99" s="555"/>
      <c r="C99" s="117"/>
      <c r="D99" s="112"/>
      <c r="E99" s="545"/>
      <c r="F99" s="13"/>
      <c r="H99" s="517"/>
      <c r="I99" s="314"/>
      <c r="J99" s="309"/>
      <c r="N99" s="36"/>
    </row>
    <row r="100" spans="2:18" ht="19.5" thickBot="1" x14ac:dyDescent="0.2">
      <c r="B100" s="556"/>
      <c r="C100" s="117"/>
      <c r="D100" s="112"/>
      <c r="E100" s="537"/>
      <c r="F100" s="13"/>
      <c r="H100" s="518"/>
      <c r="I100" s="315"/>
      <c r="J100" s="312"/>
      <c r="N100" s="36"/>
    </row>
    <row r="101" spans="2:18" ht="18.75" x14ac:dyDescent="0.15">
      <c r="B101" s="541" t="s">
        <v>703</v>
      </c>
      <c r="C101" s="115"/>
      <c r="D101" s="110"/>
      <c r="E101" s="544">
        <v>4</v>
      </c>
      <c r="F101" s="13"/>
      <c r="H101" s="516" t="s">
        <v>523</v>
      </c>
      <c r="I101" s="115"/>
      <c r="J101" s="307"/>
      <c r="L101" s="187" t="s">
        <v>757</v>
      </c>
      <c r="M101" s="15">
        <f>SUM(D101:D108)</f>
        <v>0</v>
      </c>
      <c r="N101" s="16">
        <f>E101</f>
        <v>4</v>
      </c>
      <c r="O101" s="33" t="str">
        <f>IF(M101&lt;N101,"×","")</f>
        <v>×</v>
      </c>
      <c r="P101" s="34" t="str">
        <f>B101</f>
        <v>輸血・移植検査学</v>
      </c>
      <c r="Q101" s="53"/>
      <c r="R101" s="54"/>
    </row>
    <row r="102" spans="2:18" ht="18.75" x14ac:dyDescent="0.15">
      <c r="B102" s="555"/>
      <c r="C102" s="117"/>
      <c r="D102" s="112"/>
      <c r="E102" s="545"/>
      <c r="F102" s="13"/>
      <c r="H102" s="517"/>
      <c r="I102" s="314"/>
      <c r="J102" s="309"/>
      <c r="N102" s="36"/>
    </row>
    <row r="103" spans="2:18" ht="18.75" x14ac:dyDescent="0.15">
      <c r="B103" s="555"/>
      <c r="C103" s="117"/>
      <c r="D103" s="112"/>
      <c r="E103" s="545"/>
      <c r="F103" s="13"/>
      <c r="H103" s="517"/>
      <c r="I103" s="314"/>
      <c r="J103" s="309"/>
      <c r="N103" s="36"/>
    </row>
    <row r="104" spans="2:18" ht="18.75" x14ac:dyDescent="0.15">
      <c r="B104" s="555"/>
      <c r="C104" s="247"/>
      <c r="D104" s="249"/>
      <c r="E104" s="545"/>
      <c r="F104" s="13"/>
      <c r="H104" s="517"/>
      <c r="I104" s="316"/>
      <c r="J104" s="313"/>
      <c r="N104" s="36"/>
    </row>
    <row r="105" spans="2:18" ht="18.75" x14ac:dyDescent="0.15">
      <c r="B105" s="555"/>
      <c r="C105" s="247"/>
      <c r="D105" s="254"/>
      <c r="E105" s="545"/>
      <c r="F105" s="13"/>
      <c r="H105" s="517"/>
      <c r="I105" s="316"/>
      <c r="J105" s="313"/>
      <c r="N105" s="36"/>
    </row>
    <row r="106" spans="2:18" ht="18.75" x14ac:dyDescent="0.15">
      <c r="B106" s="555"/>
      <c r="C106" s="247"/>
      <c r="D106" s="254"/>
      <c r="E106" s="545"/>
      <c r="F106" s="13"/>
      <c r="H106" s="517"/>
      <c r="I106" s="316"/>
      <c r="J106" s="313"/>
      <c r="N106" s="36"/>
    </row>
    <row r="107" spans="2:18" ht="18.75" x14ac:dyDescent="0.15">
      <c r="B107" s="555"/>
      <c r="C107" s="247"/>
      <c r="D107" s="249"/>
      <c r="E107" s="545"/>
      <c r="F107" s="13"/>
      <c r="H107" s="517"/>
      <c r="I107" s="316"/>
      <c r="J107" s="313"/>
      <c r="N107" s="36"/>
    </row>
    <row r="108" spans="2:18" ht="19.5" thickBot="1" x14ac:dyDescent="0.2">
      <c r="B108" s="555"/>
      <c r="C108" s="123"/>
      <c r="D108" s="124"/>
      <c r="E108" s="545"/>
      <c r="F108" s="13"/>
      <c r="H108" s="518"/>
      <c r="I108" s="315"/>
      <c r="J108" s="312"/>
      <c r="N108" s="36"/>
    </row>
    <row r="109" spans="2:18" ht="18.75" x14ac:dyDescent="0.15">
      <c r="B109" s="541" t="s">
        <v>704</v>
      </c>
      <c r="C109" s="115"/>
      <c r="D109" s="125"/>
      <c r="E109" s="544">
        <v>6</v>
      </c>
      <c r="F109" s="13"/>
      <c r="H109" s="516" t="s">
        <v>555</v>
      </c>
      <c r="I109" s="115"/>
      <c r="J109" s="307"/>
      <c r="L109" s="187" t="s">
        <v>758</v>
      </c>
      <c r="M109" s="15">
        <f>SUM(D109:D116)</f>
        <v>0</v>
      </c>
      <c r="N109" s="16">
        <f>E109</f>
        <v>6</v>
      </c>
      <c r="O109" s="33" t="str">
        <f>IF(M109&lt;N109,"×","")</f>
        <v>×</v>
      </c>
      <c r="P109" s="34" t="str">
        <f>B109</f>
        <v>微生物検査学</v>
      </c>
      <c r="Q109" s="53"/>
      <c r="R109" s="54"/>
    </row>
    <row r="110" spans="2:18" ht="18.75" x14ac:dyDescent="0.15">
      <c r="B110" s="555"/>
      <c r="C110" s="223"/>
      <c r="D110" s="112"/>
      <c r="E110" s="545"/>
      <c r="F110" s="13"/>
      <c r="H110" s="517"/>
      <c r="I110" s="314"/>
      <c r="J110" s="309"/>
      <c r="N110" s="36"/>
    </row>
    <row r="111" spans="2:18" ht="18.75" x14ac:dyDescent="0.15">
      <c r="B111" s="555"/>
      <c r="C111" s="117"/>
      <c r="D111" s="112"/>
      <c r="E111" s="545"/>
      <c r="F111" s="13"/>
      <c r="H111" s="517"/>
      <c r="I111" s="314"/>
      <c r="J111" s="309"/>
      <c r="N111" s="36"/>
    </row>
    <row r="112" spans="2:18" ht="18.75" x14ac:dyDescent="0.15">
      <c r="B112" s="555"/>
      <c r="C112" s="117"/>
      <c r="D112" s="112"/>
      <c r="E112" s="545"/>
      <c r="F112" s="13"/>
      <c r="H112" s="517"/>
      <c r="I112" s="314"/>
      <c r="J112" s="309"/>
      <c r="N112" s="36"/>
    </row>
    <row r="113" spans="2:18" ht="18.75" x14ac:dyDescent="0.15">
      <c r="B113" s="555"/>
      <c r="C113" s="117"/>
      <c r="D113" s="112"/>
      <c r="E113" s="545"/>
      <c r="F113" s="13"/>
      <c r="H113" s="517"/>
      <c r="I113" s="314"/>
      <c r="J113" s="309"/>
      <c r="N113" s="36"/>
    </row>
    <row r="114" spans="2:18" ht="18.75" x14ac:dyDescent="0.15">
      <c r="B114" s="555"/>
      <c r="C114" s="247"/>
      <c r="D114" s="254"/>
      <c r="E114" s="545"/>
      <c r="F114" s="13"/>
      <c r="H114" s="517"/>
      <c r="I114" s="316"/>
      <c r="J114" s="313"/>
      <c r="N114" s="36"/>
    </row>
    <row r="115" spans="2:18" ht="18.75" x14ac:dyDescent="0.15">
      <c r="B115" s="555"/>
      <c r="C115" s="247"/>
      <c r="D115" s="254"/>
      <c r="E115" s="545"/>
      <c r="F115" s="13"/>
      <c r="H115" s="517"/>
      <c r="I115" s="316"/>
      <c r="J115" s="313"/>
      <c r="N115" s="36"/>
    </row>
    <row r="116" spans="2:18" ht="19.5" thickBot="1" x14ac:dyDescent="0.2">
      <c r="B116" s="556"/>
      <c r="C116" s="118"/>
      <c r="D116" s="126"/>
      <c r="E116" s="537"/>
      <c r="F116" s="13"/>
      <c r="H116" s="518"/>
      <c r="I116" s="315"/>
      <c r="J116" s="312"/>
      <c r="N116" s="36"/>
    </row>
    <row r="117" spans="2:18" ht="18.75" x14ac:dyDescent="0.15">
      <c r="B117" s="557" t="s">
        <v>812</v>
      </c>
      <c r="C117" s="233"/>
      <c r="D117" s="125"/>
      <c r="E117" s="560">
        <v>10</v>
      </c>
      <c r="F117" s="13"/>
      <c r="H117" s="516" t="s">
        <v>591</v>
      </c>
      <c r="I117" s="233"/>
      <c r="J117" s="307"/>
      <c r="L117" s="187" t="s">
        <v>759</v>
      </c>
      <c r="M117" s="15">
        <f>SUM(D117:D131)</f>
        <v>0</v>
      </c>
      <c r="N117" s="16">
        <f>E117</f>
        <v>10</v>
      </c>
      <c r="O117" s="33" t="str">
        <f>IF(M117&lt;N117,"×","")</f>
        <v>×</v>
      </c>
      <c r="P117" s="34" t="str">
        <f>B117</f>
        <v>生理検査学</v>
      </c>
      <c r="Q117" s="56"/>
      <c r="R117" s="54"/>
    </row>
    <row r="118" spans="2:18" ht="18.75" x14ac:dyDescent="0.15">
      <c r="B118" s="558"/>
      <c r="C118" s="232"/>
      <c r="D118" s="231"/>
      <c r="E118" s="561"/>
      <c r="F118" s="13"/>
      <c r="H118" s="517"/>
      <c r="I118" s="232"/>
      <c r="J118" s="317"/>
      <c r="N118" s="36"/>
    </row>
    <row r="119" spans="2:18" ht="18.75" x14ac:dyDescent="0.15">
      <c r="B119" s="558"/>
      <c r="C119" s="232"/>
      <c r="D119" s="231"/>
      <c r="E119" s="561"/>
      <c r="F119" s="13"/>
      <c r="H119" s="517"/>
      <c r="I119" s="232"/>
      <c r="J119" s="317"/>
      <c r="N119" s="36"/>
    </row>
    <row r="120" spans="2:18" ht="18.75" x14ac:dyDescent="0.15">
      <c r="B120" s="558"/>
      <c r="C120" s="232"/>
      <c r="D120" s="231"/>
      <c r="E120" s="561"/>
      <c r="F120" s="13"/>
      <c r="H120" s="517"/>
      <c r="I120" s="232"/>
      <c r="J120" s="317"/>
      <c r="N120" s="36"/>
    </row>
    <row r="121" spans="2:18" ht="18.75" x14ac:dyDescent="0.15">
      <c r="B121" s="558"/>
      <c r="C121" s="232"/>
      <c r="D121" s="231"/>
      <c r="E121" s="561"/>
      <c r="F121" s="13"/>
      <c r="H121" s="517"/>
      <c r="I121" s="232"/>
      <c r="J121" s="317"/>
      <c r="N121" s="36"/>
    </row>
    <row r="122" spans="2:18" ht="18.75" x14ac:dyDescent="0.15">
      <c r="B122" s="558"/>
      <c r="C122" s="232"/>
      <c r="D122" s="231"/>
      <c r="E122" s="561"/>
      <c r="F122" s="13"/>
      <c r="H122" s="517"/>
      <c r="I122" s="232"/>
      <c r="J122" s="317"/>
      <c r="N122" s="36"/>
    </row>
    <row r="123" spans="2:18" ht="18.75" x14ac:dyDescent="0.15">
      <c r="B123" s="558"/>
      <c r="C123" s="232"/>
      <c r="D123" s="231"/>
      <c r="E123" s="561"/>
      <c r="F123" s="13"/>
      <c r="H123" s="517"/>
      <c r="I123" s="232"/>
      <c r="J123" s="317"/>
      <c r="N123" s="36"/>
    </row>
    <row r="124" spans="2:18" ht="18.75" x14ac:dyDescent="0.15">
      <c r="B124" s="558"/>
      <c r="C124" s="127"/>
      <c r="D124" s="231"/>
      <c r="E124" s="561"/>
      <c r="F124" s="13"/>
      <c r="H124" s="517"/>
      <c r="I124" s="127"/>
      <c r="J124" s="317"/>
      <c r="N124" s="36"/>
    </row>
    <row r="125" spans="2:18" ht="18.75" x14ac:dyDescent="0.15">
      <c r="B125" s="558"/>
      <c r="C125" s="232"/>
      <c r="D125" s="231"/>
      <c r="E125" s="561"/>
      <c r="F125" s="13"/>
      <c r="H125" s="517"/>
      <c r="I125" s="232"/>
      <c r="J125" s="317"/>
      <c r="M125" s="1"/>
      <c r="N125" s="1"/>
      <c r="O125" s="1"/>
      <c r="P125" s="1"/>
    </row>
    <row r="126" spans="2:18" ht="18.75" x14ac:dyDescent="0.15">
      <c r="B126" s="558"/>
      <c r="C126" s="234"/>
      <c r="D126" s="112"/>
      <c r="E126" s="561"/>
      <c r="F126" s="13"/>
      <c r="H126" s="517"/>
      <c r="I126" s="318"/>
      <c r="J126" s="309"/>
      <c r="N126" s="36"/>
    </row>
    <row r="127" spans="2:18" ht="18.75" x14ac:dyDescent="0.15">
      <c r="B127" s="558"/>
      <c r="C127" s="234"/>
      <c r="D127" s="112"/>
      <c r="E127" s="561"/>
      <c r="F127" s="13"/>
      <c r="H127" s="517"/>
      <c r="I127" s="318"/>
      <c r="J127" s="309"/>
      <c r="N127" s="36"/>
    </row>
    <row r="128" spans="2:18" ht="18.75" x14ac:dyDescent="0.15">
      <c r="B128" s="558"/>
      <c r="C128" s="250"/>
      <c r="D128" s="249"/>
      <c r="E128" s="561"/>
      <c r="F128" s="13"/>
      <c r="H128" s="517"/>
      <c r="I128" s="319"/>
      <c r="J128" s="313"/>
      <c r="N128" s="36"/>
    </row>
    <row r="129" spans="2:18" ht="18.75" x14ac:dyDescent="0.15">
      <c r="B129" s="558"/>
      <c r="C129" s="250"/>
      <c r="D129" s="249"/>
      <c r="E129" s="561"/>
      <c r="F129" s="13"/>
      <c r="H129" s="517"/>
      <c r="I129" s="319"/>
      <c r="J129" s="313"/>
      <c r="N129" s="36"/>
    </row>
    <row r="130" spans="2:18" ht="18.75" x14ac:dyDescent="0.15">
      <c r="B130" s="558"/>
      <c r="C130" s="250"/>
      <c r="D130" s="249"/>
      <c r="E130" s="561"/>
      <c r="F130" s="13"/>
      <c r="H130" s="517"/>
      <c r="I130" s="319"/>
      <c r="J130" s="313"/>
      <c r="N130" s="36"/>
    </row>
    <row r="131" spans="2:18" ht="19.5" thickBot="1" x14ac:dyDescent="0.2">
      <c r="B131" s="559"/>
      <c r="C131" s="128"/>
      <c r="D131" s="126"/>
      <c r="E131" s="562"/>
      <c r="F131" s="13"/>
      <c r="H131" s="518"/>
      <c r="I131" s="128"/>
      <c r="J131" s="312"/>
      <c r="N131" s="36"/>
    </row>
    <row r="132" spans="2:18" ht="18.75" x14ac:dyDescent="0.15">
      <c r="B132" s="541" t="s">
        <v>614</v>
      </c>
      <c r="C132" s="115"/>
      <c r="D132" s="125"/>
      <c r="E132" s="560">
        <v>6</v>
      </c>
      <c r="F132" s="13"/>
      <c r="H132" s="516" t="s">
        <v>614</v>
      </c>
      <c r="I132" s="115"/>
      <c r="J132" s="307"/>
      <c r="L132" s="187" t="s">
        <v>760</v>
      </c>
      <c r="M132" s="15">
        <f>SUM(D132:D140)</f>
        <v>0</v>
      </c>
      <c r="N132" s="16">
        <f>E132</f>
        <v>6</v>
      </c>
      <c r="O132" s="33" t="str">
        <f>IF(M132&lt;N132,"×","")</f>
        <v>×</v>
      </c>
      <c r="P132" s="34" t="str">
        <f>B132</f>
        <v>臨床検査総合管理学</v>
      </c>
      <c r="Q132" s="53"/>
      <c r="R132" s="54"/>
    </row>
    <row r="133" spans="2:18" ht="18.75" x14ac:dyDescent="0.15">
      <c r="B133" s="555"/>
      <c r="C133" s="117"/>
      <c r="D133" s="112"/>
      <c r="E133" s="561"/>
      <c r="F133" s="13"/>
      <c r="H133" s="517"/>
      <c r="I133" s="314"/>
      <c r="J133" s="309"/>
      <c r="N133" s="36"/>
    </row>
    <row r="134" spans="2:18" ht="18.75" x14ac:dyDescent="0.15">
      <c r="B134" s="555"/>
      <c r="C134" s="117"/>
      <c r="D134" s="112"/>
      <c r="E134" s="561"/>
      <c r="F134" s="13"/>
      <c r="H134" s="517"/>
      <c r="I134" s="314"/>
      <c r="J134" s="309"/>
      <c r="N134" s="36"/>
    </row>
    <row r="135" spans="2:18" ht="18.75" x14ac:dyDescent="0.15">
      <c r="B135" s="555"/>
      <c r="C135" s="223"/>
      <c r="D135" s="112"/>
      <c r="E135" s="561"/>
      <c r="F135" s="13"/>
      <c r="H135" s="517"/>
      <c r="I135" s="320"/>
      <c r="J135" s="309"/>
      <c r="N135" s="36"/>
    </row>
    <row r="136" spans="2:18" ht="18.75" x14ac:dyDescent="0.15">
      <c r="B136" s="555"/>
      <c r="C136" s="223"/>
      <c r="D136" s="112"/>
      <c r="E136" s="561"/>
      <c r="F136" s="13"/>
      <c r="H136" s="517"/>
      <c r="I136" s="320"/>
      <c r="J136" s="309"/>
      <c r="N136" s="36"/>
    </row>
    <row r="137" spans="2:18" ht="18.75" x14ac:dyDescent="0.15">
      <c r="B137" s="555"/>
      <c r="C137" s="251"/>
      <c r="D137" s="249"/>
      <c r="E137" s="561"/>
      <c r="F137" s="13"/>
      <c r="H137" s="517"/>
      <c r="I137" s="321"/>
      <c r="J137" s="313"/>
      <c r="N137" s="36"/>
    </row>
    <row r="138" spans="2:18" ht="18.75" x14ac:dyDescent="0.15">
      <c r="B138" s="555"/>
      <c r="C138" s="276"/>
      <c r="D138" s="277"/>
      <c r="E138" s="561"/>
      <c r="F138" s="13"/>
      <c r="H138" s="517"/>
      <c r="I138" s="321"/>
      <c r="J138" s="313"/>
      <c r="N138" s="36"/>
    </row>
    <row r="139" spans="2:18" ht="18.75" x14ac:dyDescent="0.15">
      <c r="B139" s="555"/>
      <c r="C139" s="251"/>
      <c r="D139" s="249"/>
      <c r="E139" s="561"/>
      <c r="F139" s="13"/>
      <c r="H139" s="517"/>
      <c r="I139" s="321"/>
      <c r="J139" s="313"/>
      <c r="N139" s="36"/>
    </row>
    <row r="140" spans="2:18" ht="19.5" thickBot="1" x14ac:dyDescent="0.2">
      <c r="B140" s="555"/>
      <c r="C140" s="123"/>
      <c r="D140" s="124"/>
      <c r="E140" s="561"/>
      <c r="F140" s="13"/>
      <c r="H140" s="518"/>
      <c r="I140" s="315"/>
      <c r="J140" s="312"/>
      <c r="N140" s="36"/>
    </row>
    <row r="141" spans="2:18" ht="18.75" x14ac:dyDescent="0.15">
      <c r="B141" s="557" t="s">
        <v>639</v>
      </c>
      <c r="C141" s="115"/>
      <c r="D141" s="115"/>
      <c r="E141" s="560">
        <v>2</v>
      </c>
      <c r="F141" s="13"/>
      <c r="H141" s="516" t="s">
        <v>639</v>
      </c>
      <c r="I141" s="115"/>
      <c r="J141" s="116"/>
      <c r="L141" s="187" t="s">
        <v>761</v>
      </c>
      <c r="M141" s="15">
        <f>SUM(D141:D152)</f>
        <v>0</v>
      </c>
      <c r="N141" s="16">
        <f>E141</f>
        <v>2</v>
      </c>
      <c r="O141" s="33" t="str">
        <f>IF(M141&lt;N141,"×","")</f>
        <v>×</v>
      </c>
      <c r="P141" s="34" t="str">
        <f>B141</f>
        <v>医療安全管理学</v>
      </c>
      <c r="Q141" s="53"/>
      <c r="R141" s="54"/>
    </row>
    <row r="142" spans="2:18" ht="18.75" x14ac:dyDescent="0.15">
      <c r="B142" s="558"/>
      <c r="C142" s="117"/>
      <c r="D142" s="117"/>
      <c r="E142" s="561"/>
      <c r="F142" s="13"/>
      <c r="H142" s="517"/>
      <c r="I142" s="314"/>
      <c r="J142" s="322"/>
      <c r="N142" s="36"/>
    </row>
    <row r="143" spans="2:18" ht="18.75" x14ac:dyDescent="0.15">
      <c r="B143" s="558"/>
      <c r="C143" s="117"/>
      <c r="D143" s="117"/>
      <c r="E143" s="561"/>
      <c r="F143" s="13"/>
      <c r="H143" s="517"/>
      <c r="I143" s="314"/>
      <c r="J143" s="322"/>
      <c r="N143" s="36"/>
    </row>
    <row r="144" spans="2:18" ht="18.75" x14ac:dyDescent="0.15">
      <c r="B144" s="558"/>
      <c r="C144" s="117"/>
      <c r="D144" s="117"/>
      <c r="E144" s="561"/>
      <c r="F144" s="13"/>
      <c r="H144" s="517"/>
      <c r="I144" s="314"/>
      <c r="J144" s="322"/>
      <c r="N144" s="36"/>
    </row>
    <row r="145" spans="2:18" ht="18.75" x14ac:dyDescent="0.15">
      <c r="B145" s="558"/>
      <c r="C145" s="117"/>
      <c r="D145" s="117"/>
      <c r="E145" s="561"/>
      <c r="F145" s="13"/>
      <c r="H145" s="517"/>
      <c r="I145" s="314"/>
      <c r="J145" s="322"/>
      <c r="N145" s="36"/>
    </row>
    <row r="146" spans="2:18" ht="18.75" x14ac:dyDescent="0.15">
      <c r="B146" s="558"/>
      <c r="C146" s="247"/>
      <c r="D146" s="247"/>
      <c r="E146" s="561"/>
      <c r="F146" s="13"/>
      <c r="H146" s="517"/>
      <c r="I146" s="316"/>
      <c r="J146" s="323"/>
      <c r="N146" s="36"/>
    </row>
    <row r="147" spans="2:18" ht="18.75" x14ac:dyDescent="0.15">
      <c r="B147" s="558"/>
      <c r="C147" s="284"/>
      <c r="D147" s="284"/>
      <c r="E147" s="561"/>
      <c r="F147" s="13"/>
      <c r="H147" s="517"/>
      <c r="I147" s="316"/>
      <c r="J147" s="323"/>
      <c r="N147" s="36"/>
    </row>
    <row r="148" spans="2:18" ht="18.75" x14ac:dyDescent="0.15">
      <c r="B148" s="558"/>
      <c r="C148" s="284"/>
      <c r="D148" s="284"/>
      <c r="E148" s="561"/>
      <c r="F148" s="13"/>
      <c r="H148" s="517"/>
      <c r="I148" s="316"/>
      <c r="J148" s="323"/>
      <c r="N148" s="36"/>
    </row>
    <row r="149" spans="2:18" ht="18.75" x14ac:dyDescent="0.15">
      <c r="B149" s="558"/>
      <c r="C149" s="284"/>
      <c r="D149" s="284"/>
      <c r="E149" s="561"/>
      <c r="F149" s="13"/>
      <c r="H149" s="517"/>
      <c r="I149" s="316"/>
      <c r="J149" s="323"/>
      <c r="N149" s="36"/>
    </row>
    <row r="150" spans="2:18" ht="18.75" x14ac:dyDescent="0.15">
      <c r="B150" s="558"/>
      <c r="C150" s="247"/>
      <c r="D150" s="247"/>
      <c r="E150" s="561"/>
      <c r="F150" s="13"/>
      <c r="H150" s="517"/>
      <c r="I150" s="316"/>
      <c r="J150" s="323"/>
      <c r="N150" s="36"/>
    </row>
    <row r="151" spans="2:18" ht="18.75" x14ac:dyDescent="0.15">
      <c r="B151" s="558"/>
      <c r="C151" s="284"/>
      <c r="D151" s="284"/>
      <c r="E151" s="561"/>
      <c r="F151" s="13"/>
      <c r="H151" s="517"/>
      <c r="I151" s="316"/>
      <c r="J151" s="323"/>
      <c r="N151" s="36"/>
    </row>
    <row r="152" spans="2:18" ht="19.5" thickBot="1" x14ac:dyDescent="0.2">
      <c r="B152" s="559"/>
      <c r="C152" s="118"/>
      <c r="D152" s="118"/>
      <c r="E152" s="562"/>
      <c r="F152" s="13"/>
      <c r="H152" s="518"/>
      <c r="I152" s="315"/>
      <c r="J152" s="119"/>
      <c r="M152" s="1"/>
      <c r="N152" s="1"/>
      <c r="O152" s="1"/>
      <c r="P152" s="1"/>
    </row>
    <row r="153" spans="2:18" ht="18.75" x14ac:dyDescent="0.15">
      <c r="B153" s="240"/>
      <c r="C153" s="236"/>
      <c r="D153" s="236"/>
      <c r="E153" s="241"/>
      <c r="F153" s="13"/>
      <c r="H153" s="1"/>
      <c r="J153" s="169"/>
      <c r="N153" s="36"/>
    </row>
    <row r="154" spans="2:18" ht="18.75" x14ac:dyDescent="0.15">
      <c r="B154" s="240"/>
      <c r="C154" s="236"/>
      <c r="D154" s="236"/>
      <c r="E154" s="241"/>
      <c r="F154" s="13"/>
      <c r="H154" s="1"/>
      <c r="J154" s="43"/>
      <c r="M154" s="57"/>
      <c r="N154" s="58"/>
      <c r="O154" s="57"/>
    </row>
    <row r="155" spans="2:18" ht="19.5" thickBot="1" x14ac:dyDescent="0.2">
      <c r="B155" s="238"/>
      <c r="C155" s="236"/>
      <c r="D155" s="236"/>
      <c r="E155" s="239"/>
      <c r="F155" s="260"/>
      <c r="H155" s="1"/>
      <c r="J155" s="43"/>
      <c r="M155" s="57"/>
      <c r="N155" s="58"/>
      <c r="O155" s="57"/>
    </row>
    <row r="156" spans="2:18" ht="18.75" x14ac:dyDescent="0.15">
      <c r="B156" s="264" t="s">
        <v>727</v>
      </c>
      <c r="C156" s="265" t="s">
        <v>733</v>
      </c>
      <c r="D156" s="266" t="s">
        <v>729</v>
      </c>
      <c r="E156" s="267" t="s">
        <v>5</v>
      </c>
      <c r="F156" s="260"/>
      <c r="H156" s="264" t="s">
        <v>727</v>
      </c>
      <c r="I156" s="324" t="s">
        <v>733</v>
      </c>
      <c r="J156" s="326" t="s">
        <v>729</v>
      </c>
      <c r="N156" s="36"/>
    </row>
    <row r="157" spans="2:18" ht="18.75" customHeight="1" x14ac:dyDescent="0.15">
      <c r="B157" s="564" t="s">
        <v>734</v>
      </c>
      <c r="C157" s="261" t="s">
        <v>814</v>
      </c>
      <c r="D157" s="262"/>
      <c r="E157" s="268">
        <v>1</v>
      </c>
      <c r="F157" s="260"/>
      <c r="H157" s="567" t="s">
        <v>874</v>
      </c>
      <c r="I157" s="327" t="s">
        <v>814</v>
      </c>
      <c r="J157" s="328"/>
      <c r="L157" s="187" t="s">
        <v>762</v>
      </c>
      <c r="M157" s="15">
        <f>D157</f>
        <v>0</v>
      </c>
      <c r="N157" s="16">
        <v>1</v>
      </c>
      <c r="O157" s="33" t="str">
        <f>IF(M157&lt;N157,"×","")</f>
        <v>×</v>
      </c>
      <c r="P157" s="34" t="s">
        <v>832</v>
      </c>
      <c r="Q157" s="53"/>
      <c r="R157" s="54"/>
    </row>
    <row r="158" spans="2:18" ht="18.75" x14ac:dyDescent="0.15">
      <c r="B158" s="564"/>
      <c r="C158" s="263" t="s">
        <v>724</v>
      </c>
      <c r="D158" s="262"/>
      <c r="E158" s="268">
        <v>3</v>
      </c>
      <c r="F158" s="260"/>
      <c r="H158" s="568"/>
      <c r="I158" s="329" t="s">
        <v>724</v>
      </c>
      <c r="J158" s="328"/>
      <c r="L158" s="187" t="s">
        <v>763</v>
      </c>
      <c r="M158" s="15">
        <f t="shared" ref="M158:M159" si="0">D158</f>
        <v>0</v>
      </c>
      <c r="N158" s="16">
        <v>3</v>
      </c>
      <c r="O158" s="33" t="str">
        <f>IF(M158&lt;N158,"×","")</f>
        <v>×</v>
      </c>
      <c r="P158" s="34" t="s">
        <v>682</v>
      </c>
      <c r="Q158" s="53"/>
      <c r="R158" s="54"/>
    </row>
    <row r="159" spans="2:18" ht="19.5" thickBot="1" x14ac:dyDescent="0.2">
      <c r="B159" s="565"/>
      <c r="C159" s="269" t="s">
        <v>725</v>
      </c>
      <c r="D159" s="270"/>
      <c r="E159" s="285"/>
      <c r="F159" s="13"/>
      <c r="H159" s="569"/>
      <c r="I159" s="325" t="s">
        <v>725</v>
      </c>
      <c r="J159" s="120"/>
      <c r="L159" s="187" t="s">
        <v>831</v>
      </c>
      <c r="M159" s="15">
        <f t="shared" si="0"/>
        <v>0</v>
      </c>
      <c r="N159" s="16">
        <f>IF(M157&gt;0,12-M157-M158,8)</f>
        <v>8</v>
      </c>
      <c r="O159" s="33" t="str">
        <f>IF(M159&lt;N159,"×","")</f>
        <v>×</v>
      </c>
      <c r="P159" s="62" t="s">
        <v>683</v>
      </c>
      <c r="Q159" s="53"/>
      <c r="R159" s="54"/>
    </row>
    <row r="160" spans="2:18" ht="18.75" x14ac:dyDescent="0.15">
      <c r="B160" s="235"/>
      <c r="C160" s="288" t="s">
        <v>862</v>
      </c>
      <c r="D160" s="236"/>
      <c r="E160" s="237"/>
      <c r="F160" s="13"/>
      <c r="H160" s="32"/>
      <c r="I160" s="288"/>
      <c r="J160" s="236"/>
      <c r="N160" s="36"/>
    </row>
    <row r="161" spans="1:16" ht="18.75" x14ac:dyDescent="0.15">
      <c r="B161" s="235"/>
      <c r="C161" s="287" t="s">
        <v>863</v>
      </c>
      <c r="D161" s="286"/>
      <c r="E161" s="286"/>
      <c r="F161" s="13"/>
      <c r="H161" s="32"/>
      <c r="I161" s="287"/>
      <c r="J161" s="286"/>
      <c r="L161" s="59" t="s">
        <v>865</v>
      </c>
      <c r="N161" s="36"/>
    </row>
    <row r="162" spans="1:16" ht="18.75" x14ac:dyDescent="0.15">
      <c r="B162" s="235"/>
      <c r="C162" s="297" t="s">
        <v>864</v>
      </c>
      <c r="D162" s="236"/>
      <c r="E162" s="237"/>
      <c r="F162" s="13"/>
      <c r="H162" s="32"/>
      <c r="I162" s="297"/>
      <c r="J162" s="236"/>
      <c r="L162" s="298" t="s">
        <v>866</v>
      </c>
      <c r="N162" s="36"/>
    </row>
    <row r="163" spans="1:16" ht="18.75" x14ac:dyDescent="0.15">
      <c r="B163" s="235"/>
      <c r="C163" s="236"/>
      <c r="D163" s="236"/>
      <c r="E163" s="237"/>
      <c r="F163" s="13"/>
      <c r="H163" s="303"/>
      <c r="N163" s="36"/>
    </row>
    <row r="164" spans="1:16" ht="18.75" x14ac:dyDescent="0.15">
      <c r="B164" s="235"/>
      <c r="C164" s="236"/>
      <c r="D164" s="236"/>
      <c r="E164" s="237"/>
      <c r="F164" s="13"/>
      <c r="H164" s="303"/>
      <c r="N164" s="36"/>
    </row>
    <row r="165" spans="1:16" ht="18.75" x14ac:dyDescent="0.15">
      <c r="B165" s="238"/>
      <c r="C165" s="236"/>
      <c r="D165" s="236"/>
      <c r="E165" s="60"/>
      <c r="F165" s="13"/>
      <c r="H165" s="303"/>
      <c r="M165" s="1"/>
      <c r="N165" s="1"/>
      <c r="O165" s="1"/>
      <c r="P165" s="1"/>
    </row>
    <row r="166" spans="1:16" ht="18.75" x14ac:dyDescent="0.15">
      <c r="B166" s="238"/>
      <c r="C166" s="236"/>
      <c r="D166" s="236"/>
      <c r="E166" s="239"/>
      <c r="F166" s="13"/>
      <c r="H166" s="303"/>
      <c r="N166" s="36"/>
    </row>
    <row r="167" spans="1:16" ht="18.75" x14ac:dyDescent="0.15">
      <c r="B167" s="238"/>
      <c r="C167" s="236"/>
      <c r="D167" s="236"/>
      <c r="E167" s="239"/>
      <c r="F167" s="13"/>
      <c r="H167" s="303"/>
      <c r="N167" s="36"/>
    </row>
    <row r="168" spans="1:16" ht="18.75" x14ac:dyDescent="0.15">
      <c r="B168" s="238"/>
      <c r="C168" s="236"/>
      <c r="D168" s="236"/>
      <c r="E168" s="239"/>
      <c r="F168" s="13"/>
      <c r="H168" s="303"/>
      <c r="N168" s="36"/>
    </row>
    <row r="169" spans="1:16" ht="18.75" x14ac:dyDescent="0.15">
      <c r="B169" s="238"/>
      <c r="C169" s="236"/>
      <c r="D169" s="236"/>
      <c r="E169" s="239"/>
      <c r="F169" s="260"/>
      <c r="G169" s="43"/>
      <c r="H169" s="303"/>
      <c r="N169" s="36"/>
    </row>
    <row r="170" spans="1:16" ht="18.75" x14ac:dyDescent="0.15">
      <c r="B170" s="238"/>
      <c r="C170" s="236"/>
      <c r="D170" s="236"/>
      <c r="E170" s="239"/>
      <c r="F170" s="260"/>
      <c r="G170" s="43"/>
      <c r="H170" s="303"/>
      <c r="N170" s="36"/>
    </row>
    <row r="171" spans="1:16" ht="18.75" x14ac:dyDescent="0.15">
      <c r="B171" s="235"/>
      <c r="C171" s="236"/>
      <c r="D171" s="236"/>
      <c r="E171" s="237"/>
      <c r="F171" s="260"/>
      <c r="G171" s="43"/>
      <c r="H171" s="303"/>
      <c r="N171" s="36"/>
    </row>
    <row r="172" spans="1:16" ht="19.5" customHeight="1" x14ac:dyDescent="0.15">
      <c r="B172" s="563"/>
      <c r="C172" s="563"/>
      <c r="D172" s="32"/>
      <c r="E172" s="32"/>
      <c r="F172" s="260"/>
      <c r="G172" s="43"/>
      <c r="H172" s="303"/>
      <c r="M172" s="1"/>
      <c r="N172" s="1"/>
      <c r="O172" s="1"/>
      <c r="P172" s="1"/>
    </row>
    <row r="173" spans="1:16" ht="18.75" x14ac:dyDescent="0.15">
      <c r="A173" s="43"/>
      <c r="B173" s="242"/>
      <c r="C173" s="242"/>
      <c r="D173" s="243"/>
      <c r="E173" s="244"/>
      <c r="F173" s="260"/>
      <c r="G173" s="43"/>
      <c r="H173" s="303"/>
      <c r="M173" s="1"/>
      <c r="N173" s="1"/>
      <c r="O173" s="1"/>
      <c r="P173" s="1"/>
    </row>
    <row r="174" spans="1:16" ht="18.75" x14ac:dyDescent="0.15">
      <c r="B174" s="554"/>
      <c r="C174" s="32"/>
      <c r="D174" s="227"/>
      <c r="E174" s="242"/>
      <c r="F174" s="43"/>
      <c r="G174" s="43"/>
      <c r="H174" s="303"/>
      <c r="M174" s="1"/>
      <c r="N174" s="1"/>
      <c r="O174" s="1"/>
      <c r="P174" s="1"/>
    </row>
    <row r="175" spans="1:16" ht="18.75" x14ac:dyDescent="0.15">
      <c r="B175" s="554"/>
      <c r="C175" s="242"/>
      <c r="D175" s="227"/>
      <c r="E175" s="242"/>
      <c r="F175" s="43"/>
      <c r="G175" s="43"/>
      <c r="H175" s="303"/>
      <c r="M175" s="1"/>
      <c r="N175" s="1"/>
      <c r="O175" s="1"/>
      <c r="P175" s="1"/>
    </row>
    <row r="176" spans="1:16" ht="18.75" x14ac:dyDescent="0.15">
      <c r="B176" s="281"/>
      <c r="C176" s="242"/>
      <c r="D176" s="227"/>
      <c r="E176" s="242"/>
      <c r="F176" s="43"/>
      <c r="G176" s="43"/>
      <c r="H176" s="303"/>
      <c r="M176" s="1"/>
      <c r="N176" s="1"/>
      <c r="O176" s="1"/>
      <c r="P176" s="1"/>
    </row>
    <row r="177" spans="2:18" ht="18.75" x14ac:dyDescent="0.15">
      <c r="B177" s="281"/>
      <c r="C177" s="242"/>
      <c r="D177" s="227"/>
      <c r="E177" s="242"/>
      <c r="F177" s="43"/>
      <c r="G177" s="43"/>
      <c r="H177" s="303"/>
      <c r="M177" s="1"/>
      <c r="N177" s="1"/>
      <c r="O177" s="1"/>
      <c r="P177" s="1"/>
    </row>
    <row r="178" spans="2:18" ht="18.75" x14ac:dyDescent="0.15">
      <c r="B178" s="224"/>
      <c r="C178" s="61"/>
      <c r="D178" s="227"/>
      <c r="E178" s="302"/>
      <c r="F178" s="43"/>
      <c r="G178" s="43"/>
      <c r="H178" s="303"/>
      <c r="L178" s="187"/>
      <c r="M178" s="15"/>
      <c r="N178" s="16"/>
      <c r="O178" s="226"/>
      <c r="P178" s="49"/>
      <c r="Q178" s="43"/>
      <c r="R178" s="43"/>
    </row>
    <row r="179" spans="2:18" ht="18.75" x14ac:dyDescent="0.15">
      <c r="B179" s="553"/>
      <c r="C179" s="553"/>
      <c r="D179" s="225"/>
      <c r="E179" s="43"/>
      <c r="F179" s="43"/>
      <c r="G179" s="43"/>
      <c r="H179" s="303"/>
      <c r="N179" s="59"/>
    </row>
    <row r="180" spans="2:18" ht="19.5" customHeight="1" x14ac:dyDescent="0.15">
      <c r="B180" s="43"/>
      <c r="C180" s="43"/>
      <c r="E180" s="43"/>
      <c r="F180" s="43"/>
      <c r="G180" s="43"/>
      <c r="H180" s="303"/>
    </row>
    <row r="181" spans="2:18" x14ac:dyDescent="0.15">
      <c r="E181" s="43"/>
      <c r="F181" s="43"/>
      <c r="G181" s="43"/>
      <c r="H181" s="303"/>
    </row>
    <row r="182" spans="2:18" ht="19.5" customHeight="1" x14ac:dyDescent="0.15">
      <c r="E182" s="43"/>
      <c r="F182" s="43"/>
      <c r="G182" s="43"/>
      <c r="H182" s="303"/>
    </row>
    <row r="183" spans="2:18" ht="20.25" customHeight="1" x14ac:dyDescent="0.15">
      <c r="E183" s="43"/>
      <c r="F183" s="43"/>
      <c r="G183" s="43"/>
      <c r="H183" s="303"/>
    </row>
    <row r="184" spans="2:18" ht="18.75" customHeight="1" x14ac:dyDescent="0.15"/>
    <row r="185" spans="2:18" ht="18.75" customHeight="1" x14ac:dyDescent="0.15"/>
    <row r="186" spans="2:18" ht="18.75" customHeight="1" x14ac:dyDescent="0.15"/>
    <row r="187" spans="2:18" ht="18.75" customHeight="1" x14ac:dyDescent="0.15"/>
    <row r="188" spans="2:18" ht="18.75" customHeight="1" x14ac:dyDescent="0.15"/>
    <row r="189" spans="2:18" ht="19.5" customHeight="1" x14ac:dyDescent="0.15"/>
  </sheetData>
  <sheetProtection algorithmName="SHA-512" hashValue="llEta8UcmXWV6syPeXnuoq+FxNg7QA961MK0h/zgBR0nEMqlsgiX1GdqWqsarMnYzEi5epCjY9dFrVzITYXpFQ==" saltValue="YmxgSEVaHiqZk6ixYPacMw==" spinCount="100000" sheet="1" formatCells="0"/>
  <mergeCells count="59">
    <mergeCell ref="B1:K1"/>
    <mergeCell ref="H132:H140"/>
    <mergeCell ref="H141:H152"/>
    <mergeCell ref="H157:H159"/>
    <mergeCell ref="B47:B54"/>
    <mergeCell ref="E47:E54"/>
    <mergeCell ref="B71:B76"/>
    <mergeCell ref="E71:E76"/>
    <mergeCell ref="B77:B84"/>
    <mergeCell ref="E77:E94"/>
    <mergeCell ref="B85:B94"/>
    <mergeCell ref="B55:B62"/>
    <mergeCell ref="E55:E62"/>
    <mergeCell ref="B63:B70"/>
    <mergeCell ref="E63:E70"/>
    <mergeCell ref="B95:B100"/>
    <mergeCell ref="E95:E100"/>
    <mergeCell ref="B179:C179"/>
    <mergeCell ref="B174:B175"/>
    <mergeCell ref="B101:B108"/>
    <mergeCell ref="E101:E108"/>
    <mergeCell ref="B109:B116"/>
    <mergeCell ref="E109:E116"/>
    <mergeCell ref="B141:B152"/>
    <mergeCell ref="E141:E152"/>
    <mergeCell ref="B117:B131"/>
    <mergeCell ref="B172:C172"/>
    <mergeCell ref="B157:B159"/>
    <mergeCell ref="B132:B140"/>
    <mergeCell ref="E117:E131"/>
    <mergeCell ref="E132:E140"/>
    <mergeCell ref="Q32:Q33"/>
    <mergeCell ref="B39:B46"/>
    <mergeCell ref="E39:E46"/>
    <mergeCell ref="B12:B38"/>
    <mergeCell ref="E12:E38"/>
    <mergeCell ref="M32:M33"/>
    <mergeCell ref="P32:P33"/>
    <mergeCell ref="H39:H46"/>
    <mergeCell ref="B2:K2"/>
    <mergeCell ref="H10:H11"/>
    <mergeCell ref="I10:I11"/>
    <mergeCell ref="J10:J11"/>
    <mergeCell ref="H12:H38"/>
    <mergeCell ref="B5:E5"/>
    <mergeCell ref="B10:B11"/>
    <mergeCell ref="C10:C11"/>
    <mergeCell ref="E10:E11"/>
    <mergeCell ref="D10:D11"/>
    <mergeCell ref="H47:H54"/>
    <mergeCell ref="H55:H62"/>
    <mergeCell ref="H63:H70"/>
    <mergeCell ref="H71:H76"/>
    <mergeCell ref="H77:H84"/>
    <mergeCell ref="H85:H94"/>
    <mergeCell ref="H95:H100"/>
    <mergeCell ref="H101:H108"/>
    <mergeCell ref="H109:H116"/>
    <mergeCell ref="H117:H131"/>
  </mergeCells>
  <phoneticPr fontId="8"/>
  <conditionalFormatting sqref="B12:B38">
    <cfRule type="expression" dxfId="20" priority="74">
      <formula>$O$12="×"</formula>
    </cfRule>
  </conditionalFormatting>
  <conditionalFormatting sqref="B39:B46">
    <cfRule type="expression" dxfId="19" priority="72">
      <formula>$O$39="×"</formula>
    </cfRule>
  </conditionalFormatting>
  <conditionalFormatting sqref="B47:B54">
    <cfRule type="expression" dxfId="18" priority="70">
      <formula>$O$47="×"</formula>
    </cfRule>
  </conditionalFormatting>
  <conditionalFormatting sqref="B55:B62">
    <cfRule type="expression" dxfId="17" priority="68">
      <formula>$O$55="×"</formula>
    </cfRule>
  </conditionalFormatting>
  <conditionalFormatting sqref="B63:B70">
    <cfRule type="expression" dxfId="16" priority="26">
      <formula>$O$63="×"</formula>
    </cfRule>
  </conditionalFormatting>
  <conditionalFormatting sqref="B71:B76">
    <cfRule type="expression" dxfId="15" priority="64">
      <formula>$O$71="×"</formula>
    </cfRule>
  </conditionalFormatting>
  <conditionalFormatting sqref="B77:B94">
    <cfRule type="expression" dxfId="14" priority="62">
      <formula>$O$77="×"</formula>
    </cfRule>
  </conditionalFormatting>
  <conditionalFormatting sqref="B95:B100">
    <cfRule type="expression" dxfId="13" priority="60">
      <formula>$O$95="×"</formula>
    </cfRule>
  </conditionalFormatting>
  <conditionalFormatting sqref="B101:B108">
    <cfRule type="expression" dxfId="12" priority="58">
      <formula>$O$101="×"</formula>
    </cfRule>
  </conditionalFormatting>
  <conditionalFormatting sqref="B109:B116">
    <cfRule type="expression" dxfId="11" priority="22">
      <formula>$O$109="×"</formula>
    </cfRule>
  </conditionalFormatting>
  <conditionalFormatting sqref="B117">
    <cfRule type="expression" dxfId="10" priority="76">
      <formula>$O$117="×"</formula>
    </cfRule>
  </conditionalFormatting>
  <conditionalFormatting sqref="B132:B140">
    <cfRule type="expression" dxfId="9" priority="77">
      <formula>$O$132="×"</formula>
    </cfRule>
  </conditionalFormatting>
  <conditionalFormatting sqref="B141:B152">
    <cfRule type="expression" dxfId="8" priority="78">
      <formula>$O$141="×"</formula>
    </cfRule>
  </conditionalFormatting>
  <conditionalFormatting sqref="B157">
    <cfRule type="expression" dxfId="7" priority="79">
      <formula>OR($O$157="×",$O$158="×")</formula>
    </cfRule>
  </conditionalFormatting>
  <conditionalFormatting sqref="B5:E5">
    <cfRule type="expression" dxfId="6" priority="46">
      <formula>$M$1="×"</formula>
    </cfRule>
  </conditionalFormatting>
  <pageMargins left="0.75" right="0.21" top="0.67" bottom="1" header="0.51200000000000001" footer="0.51200000000000001"/>
  <pageSetup paperSize="9" scale="49" fitToHeight="0" orientation="portrait" r:id="rId1"/>
  <headerFooter alignWithMargins="0"/>
  <rowBreaks count="2" manualBreakCount="2">
    <brk id="76" min="1" max="10" man="1"/>
    <brk id="154" min="1"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W983"/>
  <sheetViews>
    <sheetView showGridLines="0" view="pageBreakPreview" zoomScale="90" zoomScaleNormal="100" zoomScaleSheetLayoutView="90" workbookViewId="0">
      <selection activeCell="K839" sqref="K839"/>
    </sheetView>
  </sheetViews>
  <sheetFormatPr defaultRowHeight="13.5" x14ac:dyDescent="0.15"/>
  <cols>
    <col min="1" max="1" width="2.625" style="333" customWidth="1"/>
    <col min="2" max="2" width="16.625" style="333" customWidth="1"/>
    <col min="3" max="3" width="35.125" style="362" customWidth="1"/>
    <col min="4" max="4" width="6.5" style="333" bestFit="1" customWidth="1"/>
    <col min="5" max="5" width="13.375" style="333" customWidth="1"/>
    <col min="6" max="6" width="37.25" style="333" customWidth="1"/>
    <col min="7" max="7" width="11.125" style="333" customWidth="1"/>
    <col min="8" max="8" width="2.625" style="333" customWidth="1"/>
    <col min="9" max="9" width="0.5" style="333" customWidth="1"/>
    <col min="10" max="10" width="8.625" style="333" customWidth="1"/>
    <col min="11" max="15" width="9" style="333"/>
    <col min="16" max="16" width="9.125" style="394" customWidth="1"/>
    <col min="17" max="17" width="9" style="394"/>
    <col min="18" max="16384" width="9" style="333"/>
  </cols>
  <sheetData>
    <row r="1" spans="2:23" ht="42" customHeight="1" thickBot="1" x14ac:dyDescent="0.2">
      <c r="B1" s="570" t="s">
        <v>1118</v>
      </c>
      <c r="C1" s="571"/>
      <c r="D1" s="571"/>
      <c r="E1" s="571"/>
      <c r="F1" s="571"/>
      <c r="G1" s="571"/>
      <c r="K1" s="334" t="str">
        <f>IF(COUNTIF(J:J,"×")&gt;0,"×","○")</f>
        <v>×</v>
      </c>
      <c r="L1" s="335" t="s">
        <v>0</v>
      </c>
    </row>
    <row r="2" spans="2:23" ht="50.25" customHeight="1" x14ac:dyDescent="0.15">
      <c r="B2" s="572" t="str">
        <f>IF('01（学校名入力）'!D5="３号",W12,IF('01（学校名入力）'!D5="４号",W13,W14))</f>
        <v>臨床検査技師等に関する法律施行令第十八条第三号及び第四号の規定に基づき厚生労働大臣が定める
検体検査、生理学的検査、採血及び検体採取に関する科目第○条に規定する科目について</v>
      </c>
      <c r="C2" s="572"/>
      <c r="D2" s="572"/>
      <c r="E2" s="572"/>
      <c r="F2" s="572"/>
      <c r="G2" s="572"/>
    </row>
    <row r="3" spans="2:23" ht="27" customHeight="1" x14ac:dyDescent="0.15">
      <c r="B3" s="336"/>
      <c r="C3" s="336"/>
      <c r="D3" s="448"/>
      <c r="E3" s="573" t="str">
        <f>IF(K1="×","◎がある「授業科目名」「授業内容」「シラバス記載ページ」を"&amp;CHAR(10)&amp;"入力してください。　（黄色背景 ＝ 未入力があります）","")</f>
        <v>◎がある「授業科目名」「授業内容」「シラバス記載ページ」を
入力してください。　（黄色背景 ＝ 未入力があります）</v>
      </c>
      <c r="F3" s="573"/>
      <c r="G3" s="573"/>
    </row>
    <row r="4" spans="2:23" ht="14.25" thickBot="1" x14ac:dyDescent="0.2">
      <c r="B4" s="337"/>
      <c r="C4" s="337"/>
      <c r="D4" s="337"/>
      <c r="E4" s="337"/>
      <c r="F4" s="337"/>
      <c r="G4" s="337"/>
    </row>
    <row r="5" spans="2:23" s="340" customFormat="1" ht="54.75" thickBot="1" x14ac:dyDescent="0.2">
      <c r="B5" s="338" t="s">
        <v>23</v>
      </c>
      <c r="C5" s="338" t="s">
        <v>24</v>
      </c>
      <c r="D5" s="338" t="s">
        <v>25</v>
      </c>
      <c r="E5" s="339" t="s">
        <v>26</v>
      </c>
      <c r="F5" s="339" t="s">
        <v>880</v>
      </c>
      <c r="G5" s="339" t="s">
        <v>27</v>
      </c>
      <c r="H5" s="340" t="s">
        <v>28</v>
      </c>
      <c r="I5" s="340" t="s">
        <v>28</v>
      </c>
      <c r="J5" s="340" t="s">
        <v>7</v>
      </c>
      <c r="P5" s="411" t="s">
        <v>979</v>
      </c>
      <c r="Q5" s="411" t="s">
        <v>980</v>
      </c>
    </row>
    <row r="6" spans="2:23" x14ac:dyDescent="0.15">
      <c r="B6" s="341" t="s">
        <v>29</v>
      </c>
      <c r="C6" s="342" t="s">
        <v>30</v>
      </c>
      <c r="D6" s="343" t="s">
        <v>31</v>
      </c>
      <c r="E6" s="430"/>
      <c r="F6" s="431"/>
      <c r="G6" s="428"/>
      <c r="J6" s="344" t="str">
        <f>IF(AND(OR(D6="◎",D6="◎※１"),OR(E6="",F6="",G6="")),"×","")</f>
        <v>×</v>
      </c>
      <c r="K6" s="345" t="str">
        <f>C6</f>
        <v xml:space="preserve">Ⅰ　臨床病態学 </v>
      </c>
      <c r="L6" s="346"/>
      <c r="M6" s="346"/>
      <c r="N6" s="347"/>
      <c r="P6" s="415" t="str">
        <f>IF((COUNTIF(E6, "*臨床病態学*"))=1,"〇","X")</f>
        <v>X</v>
      </c>
      <c r="Q6" s="415" t="str">
        <f>IF((COUNTIF(F6, "*臨床病態学*"))=1,"〇","X")</f>
        <v>X</v>
      </c>
    </row>
    <row r="7" spans="2:23" x14ac:dyDescent="0.15">
      <c r="B7" s="341"/>
      <c r="C7" s="348" t="s">
        <v>981</v>
      </c>
      <c r="D7" s="349" t="s">
        <v>31</v>
      </c>
      <c r="E7" s="432"/>
      <c r="F7" s="433"/>
      <c r="G7" s="439"/>
      <c r="J7" s="344" t="str">
        <f t="shared" ref="J7:J70" si="0">IF(AND(OR(D7="◎",D7="◎※１"),OR(E7="",F7="",G7="")),"×","")</f>
        <v>×</v>
      </c>
      <c r="K7" s="350" t="str">
        <f>C7</f>
        <v>１　疾病の原因・症候と検査診断学</v>
      </c>
      <c r="L7" s="351"/>
      <c r="M7" s="351"/>
      <c r="N7" s="352"/>
      <c r="P7" s="415" t="str">
        <f>IF((COUNTIF(E7, "*疾病の原因・症候と検査診断学*"))=1,"〇","X")</f>
        <v>X</v>
      </c>
      <c r="Q7" s="415" t="str">
        <f>IF((COUNTIF(F7, "*疾病の原因・症候と検査診断学*"))=1,"〇","X")</f>
        <v>X</v>
      </c>
    </row>
    <row r="8" spans="2:23" x14ac:dyDescent="0.15">
      <c r="B8" s="341" t="s">
        <v>32</v>
      </c>
      <c r="C8" s="348" t="s">
        <v>33</v>
      </c>
      <c r="D8" s="349"/>
      <c r="E8" s="432"/>
      <c r="F8" s="433"/>
      <c r="G8" s="439"/>
      <c r="J8" s="344" t="str">
        <f t="shared" si="0"/>
        <v/>
      </c>
      <c r="P8" s="415"/>
      <c r="Q8" s="415"/>
    </row>
    <row r="9" spans="2:23" x14ac:dyDescent="0.15">
      <c r="B9" s="353"/>
      <c r="C9" s="348" t="s">
        <v>34</v>
      </c>
      <c r="D9" s="349"/>
      <c r="E9" s="432"/>
      <c r="F9" s="433"/>
      <c r="G9" s="439"/>
      <c r="J9" s="344" t="str">
        <f t="shared" si="0"/>
        <v/>
      </c>
      <c r="P9" s="415"/>
      <c r="Q9" s="415"/>
    </row>
    <row r="10" spans="2:23" ht="18.75" customHeight="1" x14ac:dyDescent="0.15">
      <c r="B10" s="575" t="s">
        <v>735</v>
      </c>
      <c r="C10" s="348" t="s">
        <v>35</v>
      </c>
      <c r="D10" s="349"/>
      <c r="E10" s="432"/>
      <c r="F10" s="434"/>
      <c r="G10" s="439"/>
      <c r="J10" s="344" t="str">
        <f t="shared" si="0"/>
        <v/>
      </c>
      <c r="P10" s="415"/>
      <c r="Q10" s="415"/>
    </row>
    <row r="11" spans="2:23" x14ac:dyDescent="0.15">
      <c r="B11" s="575"/>
      <c r="C11" s="348" t="s">
        <v>36</v>
      </c>
      <c r="D11" s="349"/>
      <c r="E11" s="432"/>
      <c r="F11" s="433"/>
      <c r="G11" s="439"/>
      <c r="J11" s="344" t="str">
        <f t="shared" si="0"/>
        <v/>
      </c>
      <c r="P11" s="415"/>
      <c r="Q11" s="415"/>
    </row>
    <row r="12" spans="2:23" x14ac:dyDescent="0.15">
      <c r="B12" s="575"/>
      <c r="C12" s="348" t="s">
        <v>982</v>
      </c>
      <c r="D12" s="349" t="s">
        <v>31</v>
      </c>
      <c r="E12" s="432"/>
      <c r="F12" s="433"/>
      <c r="G12" s="439"/>
      <c r="J12" s="344" t="str">
        <f t="shared" si="0"/>
        <v>×</v>
      </c>
      <c r="K12" s="350" t="str">
        <f>C12</f>
        <v>（５）救急医療</v>
      </c>
      <c r="L12" s="351"/>
      <c r="M12" s="351"/>
      <c r="N12" s="352"/>
      <c r="P12" s="415" t="str">
        <f>IF((COUNTIF(E12, "*救急医療*"))=1,"〇","X")</f>
        <v>X</v>
      </c>
      <c r="Q12" s="415" t="str">
        <f>IF((COUNTIF(F12, "*救急医療*"))=1,"〇","X")</f>
        <v>X</v>
      </c>
      <c r="W12" s="217" t="s">
        <v>807</v>
      </c>
    </row>
    <row r="13" spans="2:23" x14ac:dyDescent="0.15">
      <c r="B13" s="575"/>
      <c r="C13" s="348" t="s">
        <v>37</v>
      </c>
      <c r="D13" s="349"/>
      <c r="E13" s="432"/>
      <c r="F13" s="433"/>
      <c r="G13" s="439"/>
      <c r="J13" s="344" t="str">
        <f t="shared" si="0"/>
        <v/>
      </c>
      <c r="P13" s="415"/>
      <c r="Q13" s="415"/>
      <c r="W13" s="217" t="s">
        <v>808</v>
      </c>
    </row>
    <row r="14" spans="2:23" ht="27" x14ac:dyDescent="0.15">
      <c r="B14" s="575"/>
      <c r="C14" s="348" t="s">
        <v>881</v>
      </c>
      <c r="D14" s="349" t="s">
        <v>31</v>
      </c>
      <c r="E14" s="432"/>
      <c r="F14" s="433"/>
      <c r="G14" s="439"/>
      <c r="J14" s="344" t="str">
        <f t="shared" si="0"/>
        <v>×</v>
      </c>
      <c r="K14" s="350" t="str">
        <f>C14</f>
        <v>２　臓器別疾病の原因・症候と検査
　　診断学</v>
      </c>
      <c r="L14" s="351"/>
      <c r="M14" s="351"/>
      <c r="N14" s="352"/>
      <c r="P14" s="415" t="str">
        <f>IF((COUNTIF(E14, "*臓器別疾病の原因・症候と検査診断学*"))=1,"〇","X")</f>
        <v>X</v>
      </c>
      <c r="Q14" s="415" t="str">
        <f>IF((COUNTIF(F14, "*臓器別疾病の原因・症候と検査診断学*"))=1,"〇","X")</f>
        <v>X</v>
      </c>
      <c r="W14" s="217" t="s">
        <v>806</v>
      </c>
    </row>
    <row r="15" spans="2:23" x14ac:dyDescent="0.15">
      <c r="B15" s="575"/>
      <c r="C15" s="348" t="s">
        <v>38</v>
      </c>
      <c r="D15" s="349"/>
      <c r="E15" s="432"/>
      <c r="F15" s="433"/>
      <c r="G15" s="439"/>
      <c r="J15" s="344" t="str">
        <f t="shared" si="0"/>
        <v/>
      </c>
      <c r="P15" s="415"/>
      <c r="Q15" s="415"/>
    </row>
    <row r="16" spans="2:23" x14ac:dyDescent="0.15">
      <c r="B16" s="575"/>
      <c r="C16" s="348" t="s">
        <v>39</v>
      </c>
      <c r="D16" s="349"/>
      <c r="E16" s="432"/>
      <c r="F16" s="433"/>
      <c r="G16" s="439"/>
      <c r="J16" s="344" t="str">
        <f t="shared" si="0"/>
        <v/>
      </c>
      <c r="P16" s="415"/>
      <c r="Q16" s="415"/>
    </row>
    <row r="17" spans="2:17" x14ac:dyDescent="0.15">
      <c r="B17" s="575"/>
      <c r="C17" s="348" t="s">
        <v>40</v>
      </c>
      <c r="D17" s="349"/>
      <c r="E17" s="432"/>
      <c r="F17" s="433"/>
      <c r="G17" s="439"/>
      <c r="J17" s="344" t="str">
        <f t="shared" si="0"/>
        <v/>
      </c>
      <c r="P17" s="415"/>
      <c r="Q17" s="415"/>
    </row>
    <row r="18" spans="2:17" x14ac:dyDescent="0.15">
      <c r="B18" s="575"/>
      <c r="C18" s="348" t="s">
        <v>41</v>
      </c>
      <c r="D18" s="349"/>
      <c r="E18" s="432"/>
      <c r="F18" s="433"/>
      <c r="G18" s="439"/>
      <c r="J18" s="344" t="str">
        <f t="shared" si="0"/>
        <v/>
      </c>
      <c r="P18" s="415"/>
      <c r="Q18" s="415"/>
    </row>
    <row r="19" spans="2:17" x14ac:dyDescent="0.15">
      <c r="B19" s="575"/>
      <c r="C19" s="348" t="s">
        <v>42</v>
      </c>
      <c r="D19" s="349"/>
      <c r="E19" s="432"/>
      <c r="F19" s="433"/>
      <c r="G19" s="439"/>
      <c r="J19" s="344" t="str">
        <f t="shared" si="0"/>
        <v/>
      </c>
      <c r="P19" s="415"/>
      <c r="Q19" s="415"/>
    </row>
    <row r="20" spans="2:17" x14ac:dyDescent="0.15">
      <c r="B20" s="575"/>
      <c r="C20" s="348" t="s">
        <v>43</v>
      </c>
      <c r="D20" s="349"/>
      <c r="E20" s="432"/>
      <c r="F20" s="433"/>
      <c r="G20" s="439"/>
      <c r="J20" s="344" t="str">
        <f t="shared" si="0"/>
        <v/>
      </c>
      <c r="P20" s="415"/>
      <c r="Q20" s="415"/>
    </row>
    <row r="21" spans="2:17" ht="27" x14ac:dyDescent="0.15">
      <c r="B21" s="575"/>
      <c r="C21" s="348" t="s">
        <v>882</v>
      </c>
      <c r="D21" s="349"/>
      <c r="E21" s="432"/>
      <c r="F21" s="433"/>
      <c r="G21" s="439"/>
      <c r="J21" s="344" t="str">
        <f t="shared" si="0"/>
        <v/>
      </c>
      <c r="P21" s="415"/>
      <c r="Q21" s="415"/>
    </row>
    <row r="22" spans="2:17" x14ac:dyDescent="0.15">
      <c r="B22" s="575"/>
      <c r="C22" s="348" t="s">
        <v>44</v>
      </c>
      <c r="D22" s="354"/>
      <c r="E22" s="432"/>
      <c r="F22" s="433"/>
      <c r="G22" s="439"/>
      <c r="J22" s="344" t="str">
        <f t="shared" si="0"/>
        <v/>
      </c>
      <c r="P22" s="415"/>
      <c r="Q22" s="415"/>
    </row>
    <row r="23" spans="2:17" x14ac:dyDescent="0.15">
      <c r="B23" s="575"/>
      <c r="C23" s="348" t="s">
        <v>45</v>
      </c>
      <c r="D23" s="354"/>
      <c r="E23" s="432"/>
      <c r="F23" s="433"/>
      <c r="G23" s="439"/>
      <c r="J23" s="344" t="str">
        <f t="shared" si="0"/>
        <v/>
      </c>
      <c r="P23" s="415"/>
      <c r="Q23" s="415"/>
    </row>
    <row r="24" spans="2:17" x14ac:dyDescent="0.15">
      <c r="B24" s="575"/>
      <c r="C24" s="348" t="s">
        <v>46</v>
      </c>
      <c r="D24" s="354"/>
      <c r="E24" s="432"/>
      <c r="F24" s="433"/>
      <c r="G24" s="439"/>
      <c r="J24" s="344" t="str">
        <f t="shared" si="0"/>
        <v/>
      </c>
      <c r="P24" s="415"/>
      <c r="Q24" s="415"/>
    </row>
    <row r="25" spans="2:17" x14ac:dyDescent="0.15">
      <c r="B25" s="575"/>
      <c r="C25" s="348" t="s">
        <v>983</v>
      </c>
      <c r="D25" s="354" t="s">
        <v>31</v>
      </c>
      <c r="E25" s="432"/>
      <c r="F25" s="433"/>
      <c r="G25" s="439"/>
      <c r="J25" s="344" t="str">
        <f t="shared" si="0"/>
        <v>×</v>
      </c>
      <c r="K25" s="350" t="str">
        <f>C25</f>
        <v>（11）精神・神経疾患(認知症を含む)</v>
      </c>
      <c r="L25" s="351"/>
      <c r="M25" s="351"/>
      <c r="N25" s="352"/>
      <c r="P25" s="415" t="str">
        <f>IF((COUNTIF(E25, "*精神・神経疾患(認知症を含む)*"))=1,"〇","X")</f>
        <v>X</v>
      </c>
      <c r="Q25" s="415" t="str">
        <f>IF((COUNTIF(F25, "*精神・神経疾患(認知症を含む)*"))=1,"〇","X")</f>
        <v>X</v>
      </c>
    </row>
    <row r="26" spans="2:17" x14ac:dyDescent="0.15">
      <c r="B26" s="575"/>
      <c r="C26" s="348" t="s">
        <v>47</v>
      </c>
      <c r="D26" s="355"/>
      <c r="E26" s="433"/>
      <c r="F26" s="433"/>
      <c r="G26" s="439"/>
      <c r="J26" s="344" t="str">
        <f t="shared" si="0"/>
        <v/>
      </c>
      <c r="P26" s="415"/>
      <c r="Q26" s="415"/>
    </row>
    <row r="27" spans="2:17" x14ac:dyDescent="0.15">
      <c r="B27" s="575"/>
      <c r="C27" s="348" t="s">
        <v>48</v>
      </c>
      <c r="D27" s="355"/>
      <c r="E27" s="433"/>
      <c r="F27" s="433"/>
      <c r="G27" s="439"/>
      <c r="J27" s="344" t="str">
        <f t="shared" si="0"/>
        <v/>
      </c>
      <c r="P27" s="415"/>
      <c r="Q27" s="415"/>
    </row>
    <row r="28" spans="2:17" x14ac:dyDescent="0.15">
      <c r="B28" s="575"/>
      <c r="C28" s="348" t="s">
        <v>49</v>
      </c>
      <c r="D28" s="355"/>
      <c r="E28" s="433"/>
      <c r="F28" s="433"/>
      <c r="G28" s="439"/>
      <c r="J28" s="344" t="str">
        <f t="shared" si="0"/>
        <v/>
      </c>
      <c r="P28" s="415"/>
      <c r="Q28" s="415"/>
    </row>
    <row r="29" spans="2:17" x14ac:dyDescent="0.15">
      <c r="B29" s="575"/>
      <c r="C29" s="348" t="s">
        <v>50</v>
      </c>
      <c r="D29" s="355"/>
      <c r="E29" s="433"/>
      <c r="F29" s="433"/>
      <c r="G29" s="439"/>
      <c r="J29" s="344" t="str">
        <f t="shared" si="0"/>
        <v/>
      </c>
      <c r="P29" s="415"/>
      <c r="Q29" s="415"/>
    </row>
    <row r="30" spans="2:17" x14ac:dyDescent="0.15">
      <c r="B30" s="575"/>
      <c r="C30" s="348" t="s">
        <v>51</v>
      </c>
      <c r="D30" s="355"/>
      <c r="E30" s="433"/>
      <c r="F30" s="433"/>
      <c r="G30" s="439"/>
      <c r="J30" s="344" t="str">
        <f t="shared" si="0"/>
        <v/>
      </c>
      <c r="P30" s="415"/>
      <c r="Q30" s="415"/>
    </row>
    <row r="31" spans="2:17" x14ac:dyDescent="0.15">
      <c r="B31" s="575"/>
      <c r="C31" s="348" t="s">
        <v>52</v>
      </c>
      <c r="D31" s="355"/>
      <c r="E31" s="433"/>
      <c r="F31" s="433"/>
      <c r="G31" s="439"/>
      <c r="J31" s="344" t="str">
        <f t="shared" si="0"/>
        <v/>
      </c>
      <c r="P31" s="415"/>
      <c r="Q31" s="415"/>
    </row>
    <row r="32" spans="2:17" x14ac:dyDescent="0.15">
      <c r="B32" s="575"/>
      <c r="C32" s="348" t="s">
        <v>984</v>
      </c>
      <c r="D32" s="355" t="s">
        <v>31</v>
      </c>
      <c r="E32" s="433"/>
      <c r="F32" s="433"/>
      <c r="G32" s="439"/>
      <c r="J32" s="344" t="str">
        <f t="shared" si="0"/>
        <v>×</v>
      </c>
      <c r="K32" s="350" t="str">
        <f>C32</f>
        <v>３　臨地実習＊</v>
      </c>
      <c r="L32" s="351"/>
      <c r="M32" s="351"/>
      <c r="N32" s="352"/>
      <c r="P32" s="415" t="str">
        <f>IF((COUNTIF(E32, "*臨地実習*"))=1,"〇","X")</f>
        <v>X</v>
      </c>
      <c r="Q32" s="415" t="str">
        <f>IF((COUNTIF(F32, "*臨地実習*"))=1,"〇","X")</f>
        <v>X</v>
      </c>
    </row>
    <row r="33" spans="2:17" x14ac:dyDescent="0.15">
      <c r="B33" s="575"/>
      <c r="C33" s="348"/>
      <c r="D33" s="355"/>
      <c r="E33" s="435"/>
      <c r="F33" s="435"/>
      <c r="G33" s="440"/>
      <c r="J33" s="344" t="str">
        <f t="shared" si="0"/>
        <v/>
      </c>
      <c r="P33" s="415"/>
      <c r="Q33" s="415"/>
    </row>
    <row r="34" spans="2:17" x14ac:dyDescent="0.15">
      <c r="B34" s="575"/>
      <c r="C34" s="348" t="s">
        <v>53</v>
      </c>
      <c r="D34" s="355"/>
      <c r="E34" s="435"/>
      <c r="F34" s="435"/>
      <c r="G34" s="440"/>
      <c r="J34" s="344" t="str">
        <f t="shared" si="0"/>
        <v/>
      </c>
      <c r="P34" s="415"/>
      <c r="Q34" s="415"/>
    </row>
    <row r="35" spans="2:17" x14ac:dyDescent="0.15">
      <c r="B35" s="356"/>
      <c r="C35" s="348" t="s">
        <v>985</v>
      </c>
      <c r="D35" s="355" t="s">
        <v>31</v>
      </c>
      <c r="E35" s="433"/>
      <c r="F35" s="433"/>
      <c r="G35" s="439"/>
      <c r="J35" s="344" t="str">
        <f t="shared" si="0"/>
        <v>×</v>
      </c>
      <c r="K35" s="350" t="str">
        <f>C35</f>
        <v>Ⅱ　解剖学</v>
      </c>
      <c r="L35" s="351"/>
      <c r="M35" s="351"/>
      <c r="N35" s="352"/>
      <c r="P35" s="415" t="str">
        <f>IF((COUNTIF(E35, "*解剖学*"))=1,"〇","X")</f>
        <v>X</v>
      </c>
      <c r="Q35" s="415" t="str">
        <f>IF((COUNTIF(F35, "*解剖学*"))=1,"〇","X")</f>
        <v>X</v>
      </c>
    </row>
    <row r="36" spans="2:17" x14ac:dyDescent="0.15">
      <c r="B36" s="356"/>
      <c r="C36" s="348" t="s">
        <v>54</v>
      </c>
      <c r="D36" s="355"/>
      <c r="E36" s="433"/>
      <c r="F36" s="433"/>
      <c r="G36" s="439"/>
      <c r="J36" s="344" t="str">
        <f t="shared" si="0"/>
        <v/>
      </c>
      <c r="P36" s="415"/>
      <c r="Q36" s="415"/>
    </row>
    <row r="37" spans="2:17" x14ac:dyDescent="0.15">
      <c r="B37" s="356"/>
      <c r="C37" s="348" t="s">
        <v>55</v>
      </c>
      <c r="D37" s="355"/>
      <c r="E37" s="433"/>
      <c r="F37" s="433"/>
      <c r="G37" s="439"/>
      <c r="J37" s="344" t="str">
        <f t="shared" si="0"/>
        <v/>
      </c>
      <c r="P37" s="415"/>
      <c r="Q37" s="415"/>
    </row>
    <row r="38" spans="2:17" x14ac:dyDescent="0.15">
      <c r="B38" s="356"/>
      <c r="C38" s="348" t="s">
        <v>56</v>
      </c>
      <c r="D38" s="355"/>
      <c r="E38" s="433"/>
      <c r="F38" s="433"/>
      <c r="G38" s="439"/>
      <c r="J38" s="344" t="str">
        <f t="shared" si="0"/>
        <v/>
      </c>
      <c r="P38" s="415"/>
      <c r="Q38" s="415"/>
    </row>
    <row r="39" spans="2:17" x14ac:dyDescent="0.15">
      <c r="B39" s="356"/>
      <c r="C39" s="348" t="s">
        <v>57</v>
      </c>
      <c r="D39" s="355"/>
      <c r="E39" s="433"/>
      <c r="F39" s="433"/>
      <c r="G39" s="439"/>
      <c r="J39" s="344" t="str">
        <f t="shared" si="0"/>
        <v/>
      </c>
      <c r="P39" s="415"/>
      <c r="Q39" s="415"/>
    </row>
    <row r="40" spans="2:17" x14ac:dyDescent="0.15">
      <c r="B40" s="356"/>
      <c r="C40" s="348" t="s">
        <v>58</v>
      </c>
      <c r="D40" s="355"/>
      <c r="E40" s="433"/>
      <c r="F40" s="433"/>
      <c r="G40" s="439"/>
      <c r="J40" s="344" t="str">
        <f t="shared" si="0"/>
        <v/>
      </c>
      <c r="P40" s="415"/>
      <c r="Q40" s="415"/>
    </row>
    <row r="41" spans="2:17" x14ac:dyDescent="0.15">
      <c r="B41" s="356"/>
      <c r="C41" s="348" t="s">
        <v>59</v>
      </c>
      <c r="D41" s="355"/>
      <c r="E41" s="433"/>
      <c r="F41" s="433"/>
      <c r="G41" s="439"/>
      <c r="J41" s="344" t="str">
        <f t="shared" si="0"/>
        <v/>
      </c>
      <c r="P41" s="415"/>
      <c r="Q41" s="415"/>
    </row>
    <row r="42" spans="2:17" x14ac:dyDescent="0.15">
      <c r="B42" s="356"/>
      <c r="C42" s="348" t="s">
        <v>60</v>
      </c>
      <c r="D42" s="355"/>
      <c r="E42" s="433"/>
      <c r="F42" s="433"/>
      <c r="G42" s="439"/>
      <c r="J42" s="344" t="str">
        <f t="shared" si="0"/>
        <v/>
      </c>
      <c r="P42" s="415"/>
      <c r="Q42" s="415"/>
    </row>
    <row r="43" spans="2:17" x14ac:dyDescent="0.15">
      <c r="B43" s="356"/>
      <c r="C43" s="348" t="s">
        <v>61</v>
      </c>
      <c r="D43" s="355"/>
      <c r="E43" s="433"/>
      <c r="F43" s="433"/>
      <c r="G43" s="439"/>
      <c r="J43" s="344" t="str">
        <f t="shared" si="0"/>
        <v/>
      </c>
      <c r="P43" s="415"/>
      <c r="Q43" s="415"/>
    </row>
    <row r="44" spans="2:17" x14ac:dyDescent="0.15">
      <c r="B44" s="356"/>
      <c r="C44" s="348" t="s">
        <v>62</v>
      </c>
      <c r="D44" s="355"/>
      <c r="E44" s="433"/>
      <c r="F44" s="433"/>
      <c r="G44" s="439"/>
      <c r="J44" s="344" t="str">
        <f t="shared" si="0"/>
        <v/>
      </c>
      <c r="P44" s="415"/>
      <c r="Q44" s="415"/>
    </row>
    <row r="45" spans="2:17" x14ac:dyDescent="0.15">
      <c r="B45" s="356"/>
      <c r="C45" s="348" t="s">
        <v>63</v>
      </c>
      <c r="D45" s="355"/>
      <c r="E45" s="433"/>
      <c r="F45" s="433"/>
      <c r="G45" s="439"/>
      <c r="J45" s="344" t="str">
        <f t="shared" si="0"/>
        <v/>
      </c>
      <c r="P45" s="415"/>
      <c r="Q45" s="415"/>
    </row>
    <row r="46" spans="2:17" x14ac:dyDescent="0.15">
      <c r="B46" s="356"/>
      <c r="C46" s="348" t="s">
        <v>64</v>
      </c>
      <c r="D46" s="355"/>
      <c r="E46" s="433"/>
      <c r="F46" s="433"/>
      <c r="G46" s="439"/>
      <c r="J46" s="344" t="str">
        <f t="shared" si="0"/>
        <v/>
      </c>
      <c r="P46" s="415"/>
      <c r="Q46" s="415"/>
    </row>
    <row r="47" spans="2:17" x14ac:dyDescent="0.15">
      <c r="B47" s="356"/>
      <c r="C47" s="348" t="s">
        <v>65</v>
      </c>
      <c r="D47" s="355"/>
      <c r="E47" s="433"/>
      <c r="F47" s="433"/>
      <c r="G47" s="439"/>
      <c r="J47" s="344" t="str">
        <f t="shared" si="0"/>
        <v/>
      </c>
      <c r="P47" s="415"/>
      <c r="Q47" s="415"/>
    </row>
    <row r="48" spans="2:17" x14ac:dyDescent="0.15">
      <c r="B48" s="356"/>
      <c r="C48" s="348" t="s">
        <v>66</v>
      </c>
      <c r="D48" s="355"/>
      <c r="E48" s="433"/>
      <c r="F48" s="433"/>
      <c r="G48" s="439"/>
      <c r="J48" s="344" t="str">
        <f t="shared" si="0"/>
        <v/>
      </c>
      <c r="P48" s="415"/>
      <c r="Q48" s="415"/>
    </row>
    <row r="49" spans="2:17" x14ac:dyDescent="0.15">
      <c r="B49" s="356"/>
      <c r="C49" s="348" t="s">
        <v>67</v>
      </c>
      <c r="D49" s="355"/>
      <c r="E49" s="433"/>
      <c r="F49" s="433"/>
      <c r="G49" s="439"/>
      <c r="J49" s="344" t="str">
        <f t="shared" si="0"/>
        <v/>
      </c>
      <c r="P49" s="415"/>
      <c r="Q49" s="415"/>
    </row>
    <row r="50" spans="2:17" x14ac:dyDescent="0.15">
      <c r="B50" s="356"/>
      <c r="C50" s="348" t="s">
        <v>68</v>
      </c>
      <c r="D50" s="355"/>
      <c r="E50" s="433"/>
      <c r="F50" s="433"/>
      <c r="G50" s="439"/>
      <c r="J50" s="344" t="str">
        <f t="shared" si="0"/>
        <v/>
      </c>
      <c r="P50" s="415"/>
      <c r="Q50" s="415"/>
    </row>
    <row r="51" spans="2:17" x14ac:dyDescent="0.15">
      <c r="B51" s="356"/>
      <c r="C51" s="348" t="s">
        <v>69</v>
      </c>
      <c r="D51" s="355"/>
      <c r="E51" s="433"/>
      <c r="F51" s="433"/>
      <c r="G51" s="439"/>
      <c r="J51" s="344" t="str">
        <f t="shared" si="0"/>
        <v/>
      </c>
      <c r="P51" s="415"/>
      <c r="Q51" s="415"/>
    </row>
    <row r="52" spans="2:17" ht="27" x14ac:dyDescent="0.15">
      <c r="B52" s="356"/>
      <c r="C52" s="348" t="s">
        <v>883</v>
      </c>
      <c r="D52" s="355"/>
      <c r="E52" s="433"/>
      <c r="F52" s="433"/>
      <c r="G52" s="439"/>
      <c r="J52" s="344" t="str">
        <f t="shared" si="0"/>
        <v/>
      </c>
      <c r="P52" s="415"/>
      <c r="Q52" s="415"/>
    </row>
    <row r="53" spans="2:17" x14ac:dyDescent="0.15">
      <c r="B53" s="356"/>
      <c r="C53" s="348" t="s">
        <v>70</v>
      </c>
      <c r="D53" s="355"/>
      <c r="E53" s="433"/>
      <c r="F53" s="433"/>
      <c r="G53" s="439"/>
      <c r="J53" s="344" t="str">
        <f t="shared" si="0"/>
        <v/>
      </c>
      <c r="P53" s="415"/>
      <c r="Q53" s="415"/>
    </row>
    <row r="54" spans="2:17" x14ac:dyDescent="0.15">
      <c r="B54" s="356"/>
      <c r="C54" s="348"/>
      <c r="D54" s="355"/>
      <c r="E54" s="435"/>
      <c r="F54" s="435"/>
      <c r="G54" s="440"/>
      <c r="J54" s="344" t="str">
        <f t="shared" si="0"/>
        <v/>
      </c>
      <c r="P54" s="415"/>
      <c r="Q54" s="415"/>
    </row>
    <row r="55" spans="2:17" x14ac:dyDescent="0.15">
      <c r="B55" s="356"/>
      <c r="C55" s="348" t="s">
        <v>986</v>
      </c>
      <c r="D55" s="355" t="s">
        <v>31</v>
      </c>
      <c r="E55" s="433"/>
      <c r="F55" s="433"/>
      <c r="G55" s="439"/>
      <c r="J55" s="344" t="str">
        <f t="shared" si="0"/>
        <v>×</v>
      </c>
      <c r="K55" s="350" t="str">
        <f>C55</f>
        <v>Ⅲ　生理学</v>
      </c>
      <c r="L55" s="351"/>
      <c r="M55" s="351"/>
      <c r="N55" s="352"/>
      <c r="P55" s="415" t="str">
        <f>IF((COUNTIF(E55, "*生理学*"))=1,"〇","X")</f>
        <v>X</v>
      </c>
      <c r="Q55" s="415" t="str">
        <f>IF((COUNTIF(F55, "*生理学*"))=1,"〇","X")</f>
        <v>X</v>
      </c>
    </row>
    <row r="56" spans="2:17" x14ac:dyDescent="0.15">
      <c r="B56" s="356"/>
      <c r="C56" s="348" t="s">
        <v>71</v>
      </c>
      <c r="D56" s="355"/>
      <c r="E56" s="433"/>
      <c r="F56" s="433"/>
      <c r="G56" s="439"/>
      <c r="J56" s="344" t="str">
        <f t="shared" si="0"/>
        <v/>
      </c>
      <c r="P56" s="415"/>
      <c r="Q56" s="415"/>
    </row>
    <row r="57" spans="2:17" x14ac:dyDescent="0.15">
      <c r="B57" s="356"/>
      <c r="C57" s="348" t="s">
        <v>72</v>
      </c>
      <c r="D57" s="355"/>
      <c r="E57" s="433"/>
      <c r="F57" s="433"/>
      <c r="G57" s="439"/>
      <c r="J57" s="344" t="str">
        <f t="shared" si="0"/>
        <v/>
      </c>
      <c r="P57" s="415"/>
      <c r="Q57" s="415"/>
    </row>
    <row r="58" spans="2:17" x14ac:dyDescent="0.15">
      <c r="B58" s="356"/>
      <c r="C58" s="348" t="s">
        <v>60</v>
      </c>
      <c r="D58" s="355"/>
      <c r="E58" s="433"/>
      <c r="F58" s="433"/>
      <c r="G58" s="439"/>
      <c r="J58" s="344" t="str">
        <f t="shared" si="0"/>
        <v/>
      </c>
      <c r="P58" s="415"/>
      <c r="Q58" s="415"/>
    </row>
    <row r="59" spans="2:17" x14ac:dyDescent="0.15">
      <c r="B59" s="356"/>
      <c r="C59" s="348" t="s">
        <v>73</v>
      </c>
      <c r="D59" s="355"/>
      <c r="E59" s="433"/>
      <c r="F59" s="433"/>
      <c r="G59" s="439"/>
      <c r="J59" s="344" t="str">
        <f t="shared" si="0"/>
        <v/>
      </c>
      <c r="P59" s="415"/>
      <c r="Q59" s="415"/>
    </row>
    <row r="60" spans="2:17" x14ac:dyDescent="0.15">
      <c r="B60" s="356"/>
      <c r="C60" s="348" t="s">
        <v>74</v>
      </c>
      <c r="D60" s="355"/>
      <c r="E60" s="433"/>
      <c r="F60" s="433"/>
      <c r="G60" s="439"/>
      <c r="J60" s="344" t="str">
        <f t="shared" si="0"/>
        <v/>
      </c>
      <c r="P60" s="415"/>
      <c r="Q60" s="415"/>
    </row>
    <row r="61" spans="2:17" x14ac:dyDescent="0.15">
      <c r="B61" s="356"/>
      <c r="C61" s="348" t="s">
        <v>75</v>
      </c>
      <c r="D61" s="355"/>
      <c r="E61" s="433"/>
      <c r="F61" s="433"/>
      <c r="G61" s="439"/>
      <c r="J61" s="344" t="str">
        <f t="shared" si="0"/>
        <v/>
      </c>
      <c r="P61" s="415"/>
      <c r="Q61" s="415"/>
    </row>
    <row r="62" spans="2:17" x14ac:dyDescent="0.15">
      <c r="B62" s="356"/>
      <c r="C62" s="348" t="s">
        <v>76</v>
      </c>
      <c r="D62" s="355"/>
      <c r="E62" s="433"/>
      <c r="F62" s="433"/>
      <c r="G62" s="439"/>
      <c r="J62" s="344" t="str">
        <f t="shared" si="0"/>
        <v/>
      </c>
      <c r="P62" s="415"/>
      <c r="Q62" s="415"/>
    </row>
    <row r="63" spans="2:17" x14ac:dyDescent="0.15">
      <c r="B63" s="356"/>
      <c r="C63" s="348" t="s">
        <v>77</v>
      </c>
      <c r="D63" s="355"/>
      <c r="E63" s="433"/>
      <c r="F63" s="433"/>
      <c r="G63" s="439"/>
      <c r="J63" s="344" t="str">
        <f t="shared" si="0"/>
        <v/>
      </c>
      <c r="P63" s="415"/>
      <c r="Q63" s="415"/>
    </row>
    <row r="64" spans="2:17" x14ac:dyDescent="0.15">
      <c r="B64" s="356"/>
      <c r="C64" s="348" t="s">
        <v>78</v>
      </c>
      <c r="D64" s="355"/>
      <c r="E64" s="433"/>
      <c r="F64" s="433"/>
      <c r="G64" s="439"/>
      <c r="J64" s="344" t="str">
        <f t="shared" si="0"/>
        <v/>
      </c>
      <c r="P64" s="415"/>
      <c r="Q64" s="415"/>
    </row>
    <row r="65" spans="2:17" x14ac:dyDescent="0.15">
      <c r="B65" s="356"/>
      <c r="C65" s="348" t="s">
        <v>79</v>
      </c>
      <c r="D65" s="355"/>
      <c r="E65" s="433"/>
      <c r="F65" s="433"/>
      <c r="G65" s="439"/>
      <c r="J65" s="344" t="str">
        <f t="shared" si="0"/>
        <v/>
      </c>
      <c r="P65" s="415"/>
      <c r="Q65" s="415"/>
    </row>
    <row r="66" spans="2:17" x14ac:dyDescent="0.15">
      <c r="B66" s="356"/>
      <c r="C66" s="348" t="s">
        <v>80</v>
      </c>
      <c r="D66" s="355"/>
      <c r="E66" s="433"/>
      <c r="F66" s="433"/>
      <c r="G66" s="439"/>
      <c r="J66" s="344" t="str">
        <f t="shared" si="0"/>
        <v/>
      </c>
      <c r="P66" s="415"/>
      <c r="Q66" s="415"/>
    </row>
    <row r="67" spans="2:17" x14ac:dyDescent="0.15">
      <c r="B67" s="356"/>
      <c r="C67" s="348" t="s">
        <v>81</v>
      </c>
      <c r="D67" s="355"/>
      <c r="E67" s="433"/>
      <c r="F67" s="433"/>
      <c r="G67" s="439"/>
      <c r="J67" s="344" t="str">
        <f t="shared" si="0"/>
        <v/>
      </c>
      <c r="P67" s="415"/>
      <c r="Q67" s="415"/>
    </row>
    <row r="68" spans="2:17" x14ac:dyDescent="0.15">
      <c r="B68" s="356"/>
      <c r="C68" s="348" t="s">
        <v>82</v>
      </c>
      <c r="D68" s="355"/>
      <c r="E68" s="433"/>
      <c r="F68" s="433"/>
      <c r="G68" s="439"/>
      <c r="J68" s="344" t="str">
        <f t="shared" si="0"/>
        <v/>
      </c>
      <c r="P68" s="415"/>
      <c r="Q68" s="415"/>
    </row>
    <row r="69" spans="2:17" x14ac:dyDescent="0.15">
      <c r="B69" s="356"/>
      <c r="C69" s="348" t="s">
        <v>83</v>
      </c>
      <c r="D69" s="355"/>
      <c r="E69" s="433"/>
      <c r="F69" s="433"/>
      <c r="G69" s="439"/>
      <c r="J69" s="344" t="str">
        <f t="shared" si="0"/>
        <v/>
      </c>
      <c r="P69" s="415"/>
      <c r="Q69" s="415"/>
    </row>
    <row r="70" spans="2:17" x14ac:dyDescent="0.15">
      <c r="B70" s="356"/>
      <c r="C70" s="348" t="s">
        <v>84</v>
      </c>
      <c r="D70" s="355"/>
      <c r="E70" s="433"/>
      <c r="F70" s="433"/>
      <c r="G70" s="439"/>
      <c r="J70" s="344" t="str">
        <f t="shared" si="0"/>
        <v/>
      </c>
      <c r="P70" s="415"/>
      <c r="Q70" s="415"/>
    </row>
    <row r="71" spans="2:17" x14ac:dyDescent="0.15">
      <c r="B71" s="356"/>
      <c r="C71" s="348" t="s">
        <v>85</v>
      </c>
      <c r="D71" s="355"/>
      <c r="E71" s="433"/>
      <c r="F71" s="433"/>
      <c r="G71" s="439"/>
      <c r="J71" s="344" t="str">
        <f t="shared" ref="J71:J134" si="1">IF(AND(OR(D71="◎",D71="◎※１"),OR(E71="",F71="",G71="")),"×","")</f>
        <v/>
      </c>
      <c r="P71" s="415"/>
      <c r="Q71" s="415"/>
    </row>
    <row r="72" spans="2:17" x14ac:dyDescent="0.15">
      <c r="B72" s="356"/>
      <c r="C72" s="348" t="s">
        <v>86</v>
      </c>
      <c r="D72" s="355"/>
      <c r="E72" s="433"/>
      <c r="F72" s="433"/>
      <c r="G72" s="439"/>
      <c r="J72" s="344" t="str">
        <f t="shared" si="1"/>
        <v/>
      </c>
      <c r="P72" s="415"/>
      <c r="Q72" s="415"/>
    </row>
    <row r="73" spans="2:17" x14ac:dyDescent="0.15">
      <c r="B73" s="356"/>
      <c r="C73" s="348" t="s">
        <v>87</v>
      </c>
      <c r="D73" s="355"/>
      <c r="E73" s="433"/>
      <c r="F73" s="433"/>
      <c r="G73" s="439"/>
      <c r="J73" s="344" t="str">
        <f t="shared" si="1"/>
        <v/>
      </c>
      <c r="P73" s="415"/>
      <c r="Q73" s="415"/>
    </row>
    <row r="74" spans="2:17" x14ac:dyDescent="0.15">
      <c r="B74" s="356"/>
      <c r="C74" s="348" t="s">
        <v>88</v>
      </c>
      <c r="D74" s="355"/>
      <c r="E74" s="433"/>
      <c r="F74" s="433"/>
      <c r="G74" s="439"/>
      <c r="J74" s="344" t="str">
        <f t="shared" si="1"/>
        <v/>
      </c>
      <c r="P74" s="415"/>
      <c r="Q74" s="415"/>
    </row>
    <row r="75" spans="2:17" x14ac:dyDescent="0.15">
      <c r="B75" s="356"/>
      <c r="C75" s="348" t="s">
        <v>89</v>
      </c>
      <c r="D75" s="355"/>
      <c r="E75" s="433"/>
      <c r="F75" s="433"/>
      <c r="G75" s="439"/>
      <c r="J75" s="344" t="str">
        <f t="shared" si="1"/>
        <v/>
      </c>
      <c r="P75" s="415"/>
      <c r="Q75" s="415"/>
    </row>
    <row r="76" spans="2:17" x14ac:dyDescent="0.15">
      <c r="B76" s="356"/>
      <c r="C76" s="348"/>
      <c r="D76" s="355"/>
      <c r="E76" s="435"/>
      <c r="F76" s="435"/>
      <c r="G76" s="355"/>
      <c r="J76" s="344" t="str">
        <f t="shared" si="1"/>
        <v/>
      </c>
      <c r="P76" s="415"/>
      <c r="Q76" s="415"/>
    </row>
    <row r="77" spans="2:17" x14ac:dyDescent="0.15">
      <c r="B77" s="356"/>
      <c r="C77" s="348" t="s">
        <v>987</v>
      </c>
      <c r="D77" s="355" t="s">
        <v>31</v>
      </c>
      <c r="E77" s="433"/>
      <c r="F77" s="433"/>
      <c r="G77" s="439"/>
      <c r="J77" s="344" t="str">
        <f t="shared" si="1"/>
        <v>×</v>
      </c>
      <c r="K77" s="350" t="str">
        <f>C77</f>
        <v>Ⅳ　生化学</v>
      </c>
      <c r="L77" s="351"/>
      <c r="M77" s="351"/>
      <c r="N77" s="352"/>
      <c r="P77" s="415" t="str">
        <f>IF((COUNTIF(E77, "*生化学*"))=1,"〇","X")</f>
        <v>X</v>
      </c>
      <c r="Q77" s="415" t="str">
        <f>IF((COUNTIF(F77, "*生化学*"))=1,"〇","X")</f>
        <v>X</v>
      </c>
    </row>
    <row r="78" spans="2:17" x14ac:dyDescent="0.15">
      <c r="B78" s="356"/>
      <c r="C78" s="348" t="s">
        <v>90</v>
      </c>
      <c r="D78" s="355"/>
      <c r="E78" s="433"/>
      <c r="F78" s="433"/>
      <c r="G78" s="439"/>
      <c r="J78" s="344" t="str">
        <f t="shared" si="1"/>
        <v/>
      </c>
      <c r="P78" s="415"/>
      <c r="Q78" s="415"/>
    </row>
    <row r="79" spans="2:17" x14ac:dyDescent="0.15">
      <c r="B79" s="356"/>
      <c r="C79" s="348" t="s">
        <v>91</v>
      </c>
      <c r="D79" s="355"/>
      <c r="E79" s="433"/>
      <c r="F79" s="433"/>
      <c r="G79" s="439"/>
      <c r="J79" s="344" t="str">
        <f t="shared" si="1"/>
        <v/>
      </c>
      <c r="P79" s="415"/>
      <c r="Q79" s="415"/>
    </row>
    <row r="80" spans="2:17" x14ac:dyDescent="0.15">
      <c r="B80" s="356"/>
      <c r="C80" s="348" t="s">
        <v>92</v>
      </c>
      <c r="D80" s="355"/>
      <c r="E80" s="433"/>
      <c r="F80" s="433"/>
      <c r="G80" s="439"/>
      <c r="J80" s="344" t="str">
        <f t="shared" si="1"/>
        <v/>
      </c>
      <c r="P80" s="415"/>
      <c r="Q80" s="415"/>
    </row>
    <row r="81" spans="2:17" x14ac:dyDescent="0.15">
      <c r="B81" s="356"/>
      <c r="C81" s="348" t="s">
        <v>93</v>
      </c>
      <c r="D81" s="355"/>
      <c r="E81" s="433"/>
      <c r="F81" s="433"/>
      <c r="G81" s="439"/>
      <c r="J81" s="344" t="str">
        <f t="shared" si="1"/>
        <v/>
      </c>
      <c r="P81" s="415"/>
      <c r="Q81" s="415"/>
    </row>
    <row r="82" spans="2:17" x14ac:dyDescent="0.15">
      <c r="B82" s="356"/>
      <c r="C82" s="348" t="s">
        <v>94</v>
      </c>
      <c r="D82" s="355"/>
      <c r="E82" s="433"/>
      <c r="F82" s="433"/>
      <c r="G82" s="439"/>
      <c r="J82" s="344" t="str">
        <f t="shared" si="1"/>
        <v/>
      </c>
      <c r="P82" s="415"/>
      <c r="Q82" s="415"/>
    </row>
    <row r="83" spans="2:17" x14ac:dyDescent="0.15">
      <c r="B83" s="356"/>
      <c r="C83" s="348" t="s">
        <v>95</v>
      </c>
      <c r="D83" s="355"/>
      <c r="E83" s="433"/>
      <c r="F83" s="433"/>
      <c r="G83" s="439"/>
      <c r="J83" s="344" t="str">
        <f t="shared" si="1"/>
        <v/>
      </c>
      <c r="P83" s="415"/>
      <c r="Q83" s="415"/>
    </row>
    <row r="84" spans="2:17" x14ac:dyDescent="0.15">
      <c r="B84" s="356"/>
      <c r="C84" s="348" t="s">
        <v>96</v>
      </c>
      <c r="D84" s="355"/>
      <c r="E84" s="433"/>
      <c r="F84" s="433"/>
      <c r="G84" s="439"/>
      <c r="J84" s="344" t="str">
        <f t="shared" si="1"/>
        <v/>
      </c>
      <c r="P84" s="415"/>
      <c r="Q84" s="415"/>
    </row>
    <row r="85" spans="2:17" x14ac:dyDescent="0.15">
      <c r="B85" s="356"/>
      <c r="C85" s="348" t="s">
        <v>97</v>
      </c>
      <c r="D85" s="355"/>
      <c r="E85" s="433"/>
      <c r="F85" s="433"/>
      <c r="G85" s="439"/>
      <c r="J85" s="344" t="str">
        <f t="shared" si="1"/>
        <v/>
      </c>
      <c r="P85" s="415"/>
      <c r="Q85" s="415"/>
    </row>
    <row r="86" spans="2:17" x14ac:dyDescent="0.15">
      <c r="B86" s="356"/>
      <c r="C86" s="348" t="s">
        <v>98</v>
      </c>
      <c r="D86" s="355"/>
      <c r="E86" s="433"/>
      <c r="F86" s="433"/>
      <c r="G86" s="439"/>
      <c r="J86" s="344" t="str">
        <f t="shared" si="1"/>
        <v/>
      </c>
      <c r="P86" s="415"/>
      <c r="Q86" s="415"/>
    </row>
    <row r="87" spans="2:17" x14ac:dyDescent="0.15">
      <c r="B87" s="356"/>
      <c r="C87" s="348" t="s">
        <v>99</v>
      </c>
      <c r="D87" s="355"/>
      <c r="E87" s="433"/>
      <c r="F87" s="433"/>
      <c r="G87" s="439"/>
      <c r="J87" s="344" t="str">
        <f t="shared" si="1"/>
        <v/>
      </c>
      <c r="P87" s="415"/>
      <c r="Q87" s="415"/>
    </row>
    <row r="88" spans="2:17" x14ac:dyDescent="0.15">
      <c r="B88" s="356"/>
      <c r="C88" s="348" t="s">
        <v>100</v>
      </c>
      <c r="D88" s="355"/>
      <c r="E88" s="433"/>
      <c r="F88" s="433"/>
      <c r="G88" s="439"/>
      <c r="J88" s="344" t="str">
        <f t="shared" si="1"/>
        <v/>
      </c>
      <c r="P88" s="415"/>
      <c r="Q88" s="415"/>
    </row>
    <row r="89" spans="2:17" x14ac:dyDescent="0.15">
      <c r="B89" s="356"/>
      <c r="C89" s="348" t="s">
        <v>101</v>
      </c>
      <c r="D89" s="355"/>
      <c r="E89" s="433"/>
      <c r="F89" s="433"/>
      <c r="G89" s="439"/>
      <c r="J89" s="344" t="str">
        <f t="shared" si="1"/>
        <v/>
      </c>
      <c r="P89" s="415"/>
      <c r="Q89" s="415"/>
    </row>
    <row r="90" spans="2:17" x14ac:dyDescent="0.15">
      <c r="B90" s="356"/>
      <c r="C90" s="348" t="s">
        <v>102</v>
      </c>
      <c r="D90" s="355"/>
      <c r="E90" s="433"/>
      <c r="F90" s="433"/>
      <c r="G90" s="439"/>
      <c r="J90" s="344" t="str">
        <f t="shared" si="1"/>
        <v/>
      </c>
      <c r="P90" s="415"/>
      <c r="Q90" s="415"/>
    </row>
    <row r="91" spans="2:17" x14ac:dyDescent="0.15">
      <c r="B91" s="356"/>
      <c r="C91" s="348" t="s">
        <v>103</v>
      </c>
      <c r="D91" s="355"/>
      <c r="E91" s="433"/>
      <c r="F91" s="433"/>
      <c r="G91" s="439"/>
      <c r="J91" s="344" t="str">
        <f t="shared" si="1"/>
        <v/>
      </c>
      <c r="P91" s="415"/>
      <c r="Q91" s="415"/>
    </row>
    <row r="92" spans="2:17" x14ac:dyDescent="0.15">
      <c r="B92" s="356"/>
      <c r="C92" s="348" t="s">
        <v>104</v>
      </c>
      <c r="D92" s="355"/>
      <c r="E92" s="433"/>
      <c r="F92" s="433"/>
      <c r="G92" s="439"/>
      <c r="J92" s="344" t="str">
        <f t="shared" si="1"/>
        <v/>
      </c>
      <c r="P92" s="415"/>
      <c r="Q92" s="415"/>
    </row>
    <row r="93" spans="2:17" x14ac:dyDescent="0.15">
      <c r="B93" s="356"/>
      <c r="C93" s="348" t="s">
        <v>105</v>
      </c>
      <c r="D93" s="355"/>
      <c r="E93" s="433"/>
      <c r="F93" s="433"/>
      <c r="G93" s="439"/>
      <c r="J93" s="344" t="str">
        <f t="shared" si="1"/>
        <v/>
      </c>
      <c r="P93" s="415"/>
      <c r="Q93" s="415"/>
    </row>
    <row r="94" spans="2:17" x14ac:dyDescent="0.15">
      <c r="B94" s="356"/>
      <c r="C94" s="348" t="s">
        <v>106</v>
      </c>
      <c r="D94" s="355"/>
      <c r="E94" s="433"/>
      <c r="F94" s="433"/>
      <c r="G94" s="439"/>
      <c r="J94" s="344" t="str">
        <f t="shared" si="1"/>
        <v/>
      </c>
      <c r="P94" s="415"/>
      <c r="Q94" s="415"/>
    </row>
    <row r="95" spans="2:17" x14ac:dyDescent="0.15">
      <c r="B95" s="356"/>
      <c r="C95" s="348" t="s">
        <v>107</v>
      </c>
      <c r="D95" s="355"/>
      <c r="E95" s="433"/>
      <c r="F95" s="433"/>
      <c r="G95" s="439"/>
      <c r="J95" s="344" t="str">
        <f t="shared" si="1"/>
        <v/>
      </c>
      <c r="P95" s="415"/>
      <c r="Q95" s="415"/>
    </row>
    <row r="96" spans="2:17" x14ac:dyDescent="0.15">
      <c r="B96" s="356"/>
      <c r="C96" s="348" t="s">
        <v>108</v>
      </c>
      <c r="D96" s="355"/>
      <c r="E96" s="433"/>
      <c r="F96" s="433"/>
      <c r="G96" s="439"/>
      <c r="J96" s="344" t="str">
        <f t="shared" si="1"/>
        <v/>
      </c>
      <c r="P96" s="415"/>
      <c r="Q96" s="415"/>
    </row>
    <row r="97" spans="2:17" x14ac:dyDescent="0.15">
      <c r="B97" s="356"/>
      <c r="C97" s="348" t="s">
        <v>69</v>
      </c>
      <c r="D97" s="355"/>
      <c r="E97" s="433"/>
      <c r="F97" s="433"/>
      <c r="G97" s="439"/>
      <c r="J97" s="344" t="str">
        <f t="shared" si="1"/>
        <v/>
      </c>
      <c r="P97" s="415"/>
      <c r="Q97" s="415"/>
    </row>
    <row r="98" spans="2:17" x14ac:dyDescent="0.15">
      <c r="B98" s="356"/>
      <c r="C98" s="348" t="s">
        <v>91</v>
      </c>
      <c r="D98" s="355"/>
      <c r="E98" s="433"/>
      <c r="F98" s="433"/>
      <c r="G98" s="439"/>
      <c r="J98" s="344" t="str">
        <f t="shared" si="1"/>
        <v/>
      </c>
      <c r="P98" s="415"/>
      <c r="Q98" s="415"/>
    </row>
    <row r="99" spans="2:17" x14ac:dyDescent="0.15">
      <c r="B99" s="356"/>
      <c r="C99" s="348" t="s">
        <v>92</v>
      </c>
      <c r="D99" s="355"/>
      <c r="E99" s="433"/>
      <c r="F99" s="433"/>
      <c r="G99" s="439"/>
      <c r="J99" s="344" t="str">
        <f t="shared" si="1"/>
        <v/>
      </c>
      <c r="P99" s="415"/>
      <c r="Q99" s="415"/>
    </row>
    <row r="100" spans="2:17" x14ac:dyDescent="0.15">
      <c r="B100" s="356"/>
      <c r="C100" s="348" t="s">
        <v>93</v>
      </c>
      <c r="D100" s="355"/>
      <c r="E100" s="433"/>
      <c r="F100" s="433"/>
      <c r="G100" s="439"/>
      <c r="J100" s="344" t="str">
        <f t="shared" si="1"/>
        <v/>
      </c>
      <c r="P100" s="415"/>
      <c r="Q100" s="415"/>
    </row>
    <row r="101" spans="2:17" x14ac:dyDescent="0.15">
      <c r="B101" s="356"/>
      <c r="C101" s="348" t="s">
        <v>94</v>
      </c>
      <c r="D101" s="355"/>
      <c r="E101" s="433"/>
      <c r="F101" s="433"/>
      <c r="G101" s="439"/>
      <c r="J101" s="344" t="str">
        <f t="shared" si="1"/>
        <v/>
      </c>
      <c r="P101" s="415"/>
      <c r="Q101" s="415"/>
    </row>
    <row r="102" spans="2:17" x14ac:dyDescent="0.15">
      <c r="B102" s="356"/>
      <c r="C102" s="348" t="s">
        <v>95</v>
      </c>
      <c r="D102" s="355"/>
      <c r="E102" s="433"/>
      <c r="F102" s="433"/>
      <c r="G102" s="439"/>
      <c r="J102" s="344" t="str">
        <f t="shared" si="1"/>
        <v/>
      </c>
      <c r="P102" s="415"/>
      <c r="Q102" s="415"/>
    </row>
    <row r="103" spans="2:17" x14ac:dyDescent="0.15">
      <c r="B103" s="356"/>
      <c r="C103" s="348" t="s">
        <v>109</v>
      </c>
      <c r="D103" s="355"/>
      <c r="E103" s="433"/>
      <c r="F103" s="433"/>
      <c r="G103" s="439"/>
      <c r="J103" s="344" t="str">
        <f t="shared" si="1"/>
        <v/>
      </c>
      <c r="P103" s="415"/>
      <c r="Q103" s="415"/>
    </row>
    <row r="104" spans="2:17" x14ac:dyDescent="0.15">
      <c r="B104" s="356"/>
      <c r="C104" s="348"/>
      <c r="D104" s="355"/>
      <c r="E104" s="435"/>
      <c r="F104" s="435"/>
      <c r="G104" s="355"/>
      <c r="J104" s="344" t="str">
        <f t="shared" si="1"/>
        <v/>
      </c>
      <c r="P104" s="415"/>
      <c r="Q104" s="415"/>
    </row>
    <row r="105" spans="2:17" x14ac:dyDescent="0.15">
      <c r="B105" s="356"/>
      <c r="C105" s="348" t="s">
        <v>988</v>
      </c>
      <c r="D105" s="355" t="s">
        <v>31</v>
      </c>
      <c r="E105" s="433"/>
      <c r="F105" s="433"/>
      <c r="G105" s="439"/>
      <c r="J105" s="344" t="str">
        <f t="shared" si="1"/>
        <v>×</v>
      </c>
      <c r="K105" s="350" t="str">
        <f>C105</f>
        <v>Ⅴ　栄養学</v>
      </c>
      <c r="L105" s="351"/>
      <c r="M105" s="351"/>
      <c r="N105" s="352"/>
      <c r="P105" s="415" t="str">
        <f>IF((COUNTIF(E105, "*栄養学*"))=1,"〇","X")</f>
        <v>X</v>
      </c>
      <c r="Q105" s="415" t="str">
        <f>IF((COUNTIF(F105, "*栄養学*"))=1,"〇","X")</f>
        <v>X</v>
      </c>
    </row>
    <row r="106" spans="2:17" x14ac:dyDescent="0.15">
      <c r="B106" s="356"/>
      <c r="C106" s="348" t="s">
        <v>110</v>
      </c>
      <c r="D106" s="355"/>
      <c r="E106" s="433"/>
      <c r="F106" s="433"/>
      <c r="G106" s="439"/>
      <c r="J106" s="344" t="str">
        <f t="shared" si="1"/>
        <v/>
      </c>
      <c r="P106" s="415"/>
      <c r="Q106" s="415"/>
    </row>
    <row r="107" spans="2:17" x14ac:dyDescent="0.15">
      <c r="B107" s="356"/>
      <c r="C107" s="348" t="s">
        <v>111</v>
      </c>
      <c r="D107" s="355"/>
      <c r="E107" s="433"/>
      <c r="F107" s="433"/>
      <c r="G107" s="439"/>
      <c r="J107" s="344" t="str">
        <f t="shared" si="1"/>
        <v/>
      </c>
      <c r="P107" s="415"/>
      <c r="Q107" s="415"/>
    </row>
    <row r="108" spans="2:17" x14ac:dyDescent="0.15">
      <c r="B108" s="356"/>
      <c r="C108" s="348" t="s">
        <v>112</v>
      </c>
      <c r="D108" s="355"/>
      <c r="E108" s="433"/>
      <c r="F108" s="433"/>
      <c r="G108" s="439"/>
      <c r="J108" s="344" t="str">
        <f t="shared" si="1"/>
        <v/>
      </c>
      <c r="P108" s="415"/>
      <c r="Q108" s="415"/>
    </row>
    <row r="109" spans="2:17" x14ac:dyDescent="0.15">
      <c r="B109" s="356"/>
      <c r="C109" s="348" t="s">
        <v>113</v>
      </c>
      <c r="D109" s="355"/>
      <c r="E109" s="433"/>
      <c r="F109" s="433"/>
      <c r="G109" s="439"/>
      <c r="J109" s="344" t="str">
        <f t="shared" si="1"/>
        <v/>
      </c>
      <c r="P109" s="415"/>
      <c r="Q109" s="415"/>
    </row>
    <row r="110" spans="2:17" x14ac:dyDescent="0.15">
      <c r="B110" s="356"/>
      <c r="C110" s="348" t="s">
        <v>114</v>
      </c>
      <c r="D110" s="355"/>
      <c r="E110" s="433"/>
      <c r="F110" s="433"/>
      <c r="G110" s="439"/>
      <c r="J110" s="344" t="str">
        <f t="shared" si="1"/>
        <v/>
      </c>
      <c r="P110" s="415"/>
      <c r="Q110" s="415"/>
    </row>
    <row r="111" spans="2:17" x14ac:dyDescent="0.15">
      <c r="B111" s="356"/>
      <c r="C111" s="348" t="s">
        <v>115</v>
      </c>
      <c r="D111" s="355"/>
      <c r="E111" s="433"/>
      <c r="F111" s="433"/>
      <c r="G111" s="439"/>
      <c r="J111" s="344" t="str">
        <f t="shared" si="1"/>
        <v/>
      </c>
      <c r="P111" s="415"/>
      <c r="Q111" s="415"/>
    </row>
    <row r="112" spans="2:17" x14ac:dyDescent="0.15">
      <c r="B112" s="356"/>
      <c r="C112" s="348" t="s">
        <v>116</v>
      </c>
      <c r="D112" s="355"/>
      <c r="E112" s="433"/>
      <c r="F112" s="433"/>
      <c r="G112" s="439"/>
      <c r="J112" s="344" t="str">
        <f t="shared" si="1"/>
        <v/>
      </c>
      <c r="P112" s="415"/>
      <c r="Q112" s="415"/>
    </row>
    <row r="113" spans="2:17" x14ac:dyDescent="0.15">
      <c r="B113" s="356"/>
      <c r="C113" s="348" t="s">
        <v>117</v>
      </c>
      <c r="D113" s="355"/>
      <c r="E113" s="433"/>
      <c r="F113" s="433"/>
      <c r="G113" s="439"/>
      <c r="J113" s="344" t="str">
        <f t="shared" si="1"/>
        <v/>
      </c>
      <c r="P113" s="415"/>
      <c r="Q113" s="415"/>
    </row>
    <row r="114" spans="2:17" x14ac:dyDescent="0.15">
      <c r="B114" s="356"/>
      <c r="C114" s="348" t="s">
        <v>118</v>
      </c>
      <c r="D114" s="355"/>
      <c r="E114" s="433"/>
      <c r="F114" s="433"/>
      <c r="G114" s="439"/>
      <c r="J114" s="344" t="str">
        <f t="shared" si="1"/>
        <v/>
      </c>
      <c r="P114" s="415"/>
      <c r="Q114" s="415"/>
    </row>
    <row r="115" spans="2:17" x14ac:dyDescent="0.15">
      <c r="B115" s="356"/>
      <c r="C115" s="348" t="s">
        <v>119</v>
      </c>
      <c r="D115" s="355"/>
      <c r="E115" s="433"/>
      <c r="F115" s="433"/>
      <c r="G115" s="439"/>
      <c r="J115" s="344" t="str">
        <f t="shared" si="1"/>
        <v/>
      </c>
      <c r="P115" s="415"/>
      <c r="Q115" s="415"/>
    </row>
    <row r="116" spans="2:17" x14ac:dyDescent="0.15">
      <c r="B116" s="356"/>
      <c r="C116" s="348" t="s">
        <v>120</v>
      </c>
      <c r="D116" s="355"/>
      <c r="E116" s="433"/>
      <c r="F116" s="433"/>
      <c r="G116" s="439"/>
      <c r="J116" s="344" t="str">
        <f t="shared" si="1"/>
        <v/>
      </c>
      <c r="P116" s="415"/>
      <c r="Q116" s="415"/>
    </row>
    <row r="117" spans="2:17" x14ac:dyDescent="0.15">
      <c r="B117" s="356"/>
      <c r="C117" s="348" t="s">
        <v>121</v>
      </c>
      <c r="D117" s="355"/>
      <c r="E117" s="433"/>
      <c r="F117" s="433"/>
      <c r="G117" s="439"/>
      <c r="J117" s="344" t="str">
        <f t="shared" si="1"/>
        <v/>
      </c>
      <c r="P117" s="415"/>
      <c r="Q117" s="415"/>
    </row>
    <row r="118" spans="2:17" x14ac:dyDescent="0.15">
      <c r="B118" s="356"/>
      <c r="C118" s="348" t="s">
        <v>122</v>
      </c>
      <c r="D118" s="355"/>
      <c r="E118" s="433"/>
      <c r="F118" s="433"/>
      <c r="G118" s="439"/>
      <c r="J118" s="344" t="str">
        <f t="shared" si="1"/>
        <v/>
      </c>
      <c r="P118" s="415"/>
      <c r="Q118" s="415"/>
    </row>
    <row r="119" spans="2:17" x14ac:dyDescent="0.15">
      <c r="B119" s="356"/>
      <c r="C119" s="348" t="s">
        <v>123</v>
      </c>
      <c r="D119" s="355"/>
      <c r="E119" s="433"/>
      <c r="F119" s="433"/>
      <c r="G119" s="439"/>
      <c r="J119" s="344" t="str">
        <f t="shared" si="1"/>
        <v/>
      </c>
      <c r="P119" s="415"/>
      <c r="Q119" s="415"/>
    </row>
    <row r="120" spans="2:17" x14ac:dyDescent="0.15">
      <c r="B120" s="356"/>
      <c r="C120" s="348" t="s">
        <v>124</v>
      </c>
      <c r="D120" s="355"/>
      <c r="E120" s="433"/>
      <c r="F120" s="433"/>
      <c r="G120" s="439"/>
      <c r="J120" s="344" t="str">
        <f t="shared" si="1"/>
        <v/>
      </c>
      <c r="P120" s="415"/>
      <c r="Q120" s="415"/>
    </row>
    <row r="121" spans="2:17" x14ac:dyDescent="0.15">
      <c r="B121" s="356"/>
      <c r="C121" s="348" t="s">
        <v>125</v>
      </c>
      <c r="D121" s="355"/>
      <c r="E121" s="433"/>
      <c r="F121" s="433"/>
      <c r="G121" s="439"/>
      <c r="J121" s="344" t="str">
        <f t="shared" si="1"/>
        <v/>
      </c>
      <c r="P121" s="415"/>
      <c r="Q121" s="415"/>
    </row>
    <row r="122" spans="2:17" x14ac:dyDescent="0.15">
      <c r="B122" s="356"/>
      <c r="C122" s="348" t="s">
        <v>126</v>
      </c>
      <c r="D122" s="355"/>
      <c r="E122" s="433"/>
      <c r="F122" s="433"/>
      <c r="G122" s="439"/>
      <c r="J122" s="344" t="str">
        <f t="shared" si="1"/>
        <v/>
      </c>
      <c r="P122" s="415"/>
      <c r="Q122" s="415"/>
    </row>
    <row r="123" spans="2:17" x14ac:dyDescent="0.15">
      <c r="B123" s="356"/>
      <c r="C123" s="348" t="s">
        <v>127</v>
      </c>
      <c r="D123" s="355"/>
      <c r="E123" s="433"/>
      <c r="F123" s="433"/>
      <c r="G123" s="439"/>
      <c r="J123" s="344" t="str">
        <f t="shared" si="1"/>
        <v/>
      </c>
      <c r="P123" s="415"/>
      <c r="Q123" s="415"/>
    </row>
    <row r="124" spans="2:17" x14ac:dyDescent="0.15">
      <c r="B124" s="356"/>
      <c r="C124" s="348"/>
      <c r="D124" s="355"/>
      <c r="E124" s="435"/>
      <c r="F124" s="435"/>
      <c r="G124" s="355"/>
      <c r="J124" s="344" t="str">
        <f t="shared" si="1"/>
        <v/>
      </c>
      <c r="P124" s="415"/>
      <c r="Q124" s="415"/>
    </row>
    <row r="125" spans="2:17" x14ac:dyDescent="0.15">
      <c r="B125" s="356"/>
      <c r="C125" s="348" t="s">
        <v>989</v>
      </c>
      <c r="D125" s="355" t="s">
        <v>128</v>
      </c>
      <c r="E125" s="433"/>
      <c r="F125" s="433"/>
      <c r="G125" s="439"/>
      <c r="J125" s="344" t="str">
        <f t="shared" si="1"/>
        <v>×</v>
      </c>
      <c r="K125" s="350" t="str">
        <f>C125</f>
        <v>Ⅵ　薬理学</v>
      </c>
      <c r="L125" s="351"/>
      <c r="M125" s="351"/>
      <c r="N125" s="352"/>
      <c r="P125" s="415" t="str">
        <f>IF((COUNTIF(E125, "*薬理学*"))=1,"〇","X")</f>
        <v>X</v>
      </c>
      <c r="Q125" s="415" t="str">
        <f>IF((COUNTIF(F125, "*薬理学*"))=1,"〇","X")</f>
        <v>X</v>
      </c>
    </row>
    <row r="126" spans="2:17" x14ac:dyDescent="0.15">
      <c r="B126" s="356"/>
      <c r="C126" s="348" t="s">
        <v>129</v>
      </c>
      <c r="D126" s="355"/>
      <c r="E126" s="433"/>
      <c r="F126" s="433"/>
      <c r="G126" s="439"/>
      <c r="J126" s="344" t="str">
        <f t="shared" si="1"/>
        <v/>
      </c>
      <c r="P126" s="415"/>
      <c r="Q126" s="415"/>
    </row>
    <row r="127" spans="2:17" x14ac:dyDescent="0.15">
      <c r="B127" s="356"/>
      <c r="C127" s="348" t="s">
        <v>130</v>
      </c>
      <c r="D127" s="355"/>
      <c r="E127" s="433"/>
      <c r="F127" s="433"/>
      <c r="G127" s="439"/>
      <c r="J127" s="344" t="str">
        <f t="shared" si="1"/>
        <v/>
      </c>
      <c r="P127" s="415"/>
      <c r="Q127" s="415"/>
    </row>
    <row r="128" spans="2:17" x14ac:dyDescent="0.15">
      <c r="B128" s="356"/>
      <c r="C128" s="348" t="s">
        <v>131</v>
      </c>
      <c r="D128" s="355"/>
      <c r="E128" s="433"/>
      <c r="F128" s="433"/>
      <c r="G128" s="439"/>
      <c r="J128" s="344" t="str">
        <f t="shared" si="1"/>
        <v/>
      </c>
      <c r="P128" s="415"/>
      <c r="Q128" s="415"/>
    </row>
    <row r="129" spans="2:17" x14ac:dyDescent="0.15">
      <c r="B129" s="356"/>
      <c r="C129" s="348" t="s">
        <v>132</v>
      </c>
      <c r="D129" s="355"/>
      <c r="E129" s="433"/>
      <c r="F129" s="433"/>
      <c r="G129" s="439"/>
      <c r="J129" s="344" t="str">
        <f t="shared" si="1"/>
        <v/>
      </c>
      <c r="P129" s="415"/>
      <c r="Q129" s="415"/>
    </row>
    <row r="130" spans="2:17" x14ac:dyDescent="0.15">
      <c r="B130" s="356"/>
      <c r="C130" s="348" t="s">
        <v>133</v>
      </c>
      <c r="D130" s="355"/>
      <c r="E130" s="433"/>
      <c r="F130" s="433"/>
      <c r="G130" s="439"/>
      <c r="J130" s="344" t="str">
        <f t="shared" si="1"/>
        <v/>
      </c>
      <c r="P130" s="415"/>
      <c r="Q130" s="415"/>
    </row>
    <row r="131" spans="2:17" x14ac:dyDescent="0.15">
      <c r="B131" s="356"/>
      <c r="C131" s="348" t="s">
        <v>134</v>
      </c>
      <c r="D131" s="355"/>
      <c r="E131" s="433"/>
      <c r="F131" s="433"/>
      <c r="G131" s="439"/>
      <c r="J131" s="344" t="str">
        <f t="shared" si="1"/>
        <v/>
      </c>
      <c r="P131" s="415"/>
      <c r="Q131" s="415"/>
    </row>
    <row r="132" spans="2:17" ht="27" x14ac:dyDescent="0.15">
      <c r="B132" s="356"/>
      <c r="C132" s="348" t="s">
        <v>884</v>
      </c>
      <c r="D132" s="355"/>
      <c r="E132" s="433"/>
      <c r="F132" s="433"/>
      <c r="G132" s="439"/>
      <c r="J132" s="344" t="str">
        <f t="shared" si="1"/>
        <v/>
      </c>
      <c r="P132" s="415"/>
      <c r="Q132" s="415"/>
    </row>
    <row r="133" spans="2:17" x14ac:dyDescent="0.15">
      <c r="B133" s="356"/>
      <c r="C133" s="348" t="s">
        <v>135</v>
      </c>
      <c r="D133" s="355"/>
      <c r="E133" s="433"/>
      <c r="F133" s="433"/>
      <c r="G133" s="439"/>
      <c r="J133" s="344" t="str">
        <f t="shared" si="1"/>
        <v/>
      </c>
      <c r="P133" s="415"/>
      <c r="Q133" s="415"/>
    </row>
    <row r="134" spans="2:17" ht="27" x14ac:dyDescent="0.15">
      <c r="B134" s="356"/>
      <c r="C134" s="348" t="s">
        <v>885</v>
      </c>
      <c r="D134" s="355"/>
      <c r="E134" s="433"/>
      <c r="F134" s="433"/>
      <c r="G134" s="439"/>
      <c r="J134" s="344" t="str">
        <f t="shared" si="1"/>
        <v/>
      </c>
      <c r="P134" s="415"/>
      <c r="Q134" s="415"/>
    </row>
    <row r="135" spans="2:17" x14ac:dyDescent="0.15">
      <c r="B135" s="356"/>
      <c r="C135" s="348" t="s">
        <v>136</v>
      </c>
      <c r="D135" s="355"/>
      <c r="E135" s="433"/>
      <c r="F135" s="433"/>
      <c r="G135" s="439"/>
      <c r="J135" s="344" t="str">
        <f t="shared" ref="J135:J198" si="2">IF(AND(OR(D135="◎",D135="◎※１"),OR(E135="",F135="",G135="")),"×","")</f>
        <v/>
      </c>
      <c r="P135" s="415"/>
      <c r="Q135" s="415"/>
    </row>
    <row r="136" spans="2:17" x14ac:dyDescent="0.15">
      <c r="B136" s="356"/>
      <c r="C136" s="348" t="s">
        <v>137</v>
      </c>
      <c r="D136" s="355"/>
      <c r="E136" s="433"/>
      <c r="F136" s="433"/>
      <c r="G136" s="439"/>
      <c r="J136" s="344" t="str">
        <f t="shared" si="2"/>
        <v/>
      </c>
      <c r="P136" s="415"/>
      <c r="Q136" s="415"/>
    </row>
    <row r="137" spans="2:17" ht="27" x14ac:dyDescent="0.15">
      <c r="B137" s="356"/>
      <c r="C137" s="348" t="s">
        <v>886</v>
      </c>
      <c r="D137" s="355"/>
      <c r="E137" s="433"/>
      <c r="F137" s="433"/>
      <c r="G137" s="439"/>
      <c r="J137" s="344" t="str">
        <f t="shared" si="2"/>
        <v/>
      </c>
      <c r="P137" s="415"/>
      <c r="Q137" s="415"/>
    </row>
    <row r="138" spans="2:17" x14ac:dyDescent="0.15">
      <c r="B138" s="356"/>
      <c r="C138" s="348" t="s">
        <v>138</v>
      </c>
      <c r="D138" s="355"/>
      <c r="E138" s="433"/>
      <c r="F138" s="433"/>
      <c r="G138" s="439"/>
      <c r="J138" s="344" t="str">
        <f t="shared" si="2"/>
        <v/>
      </c>
      <c r="P138" s="415"/>
      <c r="Q138" s="415"/>
    </row>
    <row r="139" spans="2:17" x14ac:dyDescent="0.15">
      <c r="B139" s="356"/>
      <c r="C139" s="348" t="s">
        <v>139</v>
      </c>
      <c r="D139" s="355"/>
      <c r="E139" s="433"/>
      <c r="F139" s="433"/>
      <c r="G139" s="439"/>
      <c r="J139" s="344" t="str">
        <f t="shared" si="2"/>
        <v/>
      </c>
      <c r="P139" s="415"/>
      <c r="Q139" s="415"/>
    </row>
    <row r="140" spans="2:17" x14ac:dyDescent="0.15">
      <c r="B140" s="356"/>
      <c r="C140" s="348" t="s">
        <v>140</v>
      </c>
      <c r="D140" s="355"/>
      <c r="E140" s="433"/>
      <c r="F140" s="433"/>
      <c r="G140" s="439"/>
      <c r="J140" s="344" t="str">
        <f t="shared" si="2"/>
        <v/>
      </c>
      <c r="P140" s="415"/>
      <c r="Q140" s="415"/>
    </row>
    <row r="141" spans="2:17" x14ac:dyDescent="0.15">
      <c r="B141" s="356"/>
      <c r="C141" s="348" t="s">
        <v>141</v>
      </c>
      <c r="D141" s="355"/>
      <c r="E141" s="433"/>
      <c r="F141" s="433"/>
      <c r="G141" s="439"/>
      <c r="J141" s="344" t="str">
        <f t="shared" si="2"/>
        <v/>
      </c>
      <c r="P141" s="415"/>
      <c r="Q141" s="415"/>
    </row>
    <row r="142" spans="2:17" x14ac:dyDescent="0.15">
      <c r="B142" s="356"/>
      <c r="C142" s="348" t="s">
        <v>142</v>
      </c>
      <c r="D142" s="355"/>
      <c r="E142" s="433"/>
      <c r="F142" s="433"/>
      <c r="G142" s="439"/>
      <c r="J142" s="344" t="str">
        <f t="shared" si="2"/>
        <v/>
      </c>
      <c r="P142" s="415"/>
      <c r="Q142" s="415"/>
    </row>
    <row r="143" spans="2:17" x14ac:dyDescent="0.15">
      <c r="B143" s="356"/>
      <c r="C143" s="348"/>
      <c r="D143" s="355"/>
      <c r="E143" s="435"/>
      <c r="F143" s="435"/>
      <c r="G143" s="355"/>
      <c r="J143" s="344" t="str">
        <f t="shared" si="2"/>
        <v/>
      </c>
      <c r="P143" s="415"/>
      <c r="Q143" s="415"/>
    </row>
    <row r="144" spans="2:17" ht="27" x14ac:dyDescent="0.15">
      <c r="B144" s="356"/>
      <c r="C144" s="348" t="s">
        <v>143</v>
      </c>
      <c r="D144" s="355"/>
      <c r="E144" s="435"/>
      <c r="F144" s="435"/>
      <c r="G144" s="355"/>
      <c r="J144" s="344" t="str">
        <f t="shared" si="2"/>
        <v/>
      </c>
      <c r="P144" s="415"/>
      <c r="Q144" s="415"/>
    </row>
    <row r="145" spans="2:17" x14ac:dyDescent="0.15">
      <c r="B145" s="356"/>
      <c r="C145" s="348" t="s">
        <v>990</v>
      </c>
      <c r="D145" s="355" t="s">
        <v>31</v>
      </c>
      <c r="E145" s="433"/>
      <c r="F145" s="433"/>
      <c r="G145" s="439"/>
      <c r="J145" s="344" t="str">
        <f t="shared" si="2"/>
        <v>×</v>
      </c>
      <c r="K145" s="350" t="str">
        <f>C145</f>
        <v>Ⅶ　病理学</v>
      </c>
      <c r="L145" s="351"/>
      <c r="M145" s="351"/>
      <c r="N145" s="352"/>
      <c r="P145" s="415" t="str">
        <f>IF((COUNTIF(E145, "*病理学*"))=1,"〇","X")</f>
        <v>X</v>
      </c>
      <c r="Q145" s="415" t="str">
        <f>IF((COUNTIF(F145, "*病理学*"))=1,"〇","X")</f>
        <v>X</v>
      </c>
    </row>
    <row r="146" spans="2:17" x14ac:dyDescent="0.15">
      <c r="B146" s="356"/>
      <c r="C146" s="348" t="s">
        <v>144</v>
      </c>
      <c r="D146" s="355"/>
      <c r="E146" s="433"/>
      <c r="F146" s="433"/>
      <c r="G146" s="439"/>
      <c r="J146" s="344" t="str">
        <f t="shared" si="2"/>
        <v/>
      </c>
      <c r="P146" s="415"/>
      <c r="Q146" s="415"/>
    </row>
    <row r="147" spans="2:17" x14ac:dyDescent="0.15">
      <c r="B147" s="356"/>
      <c r="C147" s="348" t="s">
        <v>145</v>
      </c>
      <c r="D147" s="355"/>
      <c r="E147" s="433"/>
      <c r="F147" s="433"/>
      <c r="G147" s="439"/>
      <c r="J147" s="344" t="str">
        <f t="shared" si="2"/>
        <v/>
      </c>
      <c r="P147" s="415"/>
      <c r="Q147" s="415"/>
    </row>
    <row r="148" spans="2:17" x14ac:dyDescent="0.15">
      <c r="B148" s="356"/>
      <c r="C148" s="348" t="s">
        <v>146</v>
      </c>
      <c r="D148" s="355"/>
      <c r="E148" s="433"/>
      <c r="F148" s="433"/>
      <c r="G148" s="439"/>
      <c r="J148" s="344" t="str">
        <f t="shared" si="2"/>
        <v/>
      </c>
      <c r="P148" s="415"/>
      <c r="Q148" s="415"/>
    </row>
    <row r="149" spans="2:17" x14ac:dyDescent="0.15">
      <c r="B149" s="356"/>
      <c r="C149" s="348" t="s">
        <v>147</v>
      </c>
      <c r="D149" s="355"/>
      <c r="E149" s="433"/>
      <c r="F149" s="433"/>
      <c r="G149" s="439"/>
      <c r="J149" s="344" t="str">
        <f t="shared" si="2"/>
        <v/>
      </c>
      <c r="P149" s="415"/>
      <c r="Q149" s="415"/>
    </row>
    <row r="150" spans="2:17" x14ac:dyDescent="0.15">
      <c r="B150" s="356"/>
      <c r="C150" s="348" t="s">
        <v>148</v>
      </c>
      <c r="D150" s="355"/>
      <c r="E150" s="433"/>
      <c r="F150" s="433"/>
      <c r="G150" s="439"/>
      <c r="J150" s="344" t="str">
        <f t="shared" si="2"/>
        <v/>
      </c>
      <c r="P150" s="415"/>
      <c r="Q150" s="415"/>
    </row>
    <row r="151" spans="2:17" x14ac:dyDescent="0.15">
      <c r="B151" s="356"/>
      <c r="C151" s="348" t="s">
        <v>149</v>
      </c>
      <c r="D151" s="355"/>
      <c r="E151" s="433"/>
      <c r="F151" s="433"/>
      <c r="G151" s="439"/>
      <c r="J151" s="344" t="str">
        <f t="shared" si="2"/>
        <v/>
      </c>
      <c r="P151" s="415"/>
      <c r="Q151" s="415"/>
    </row>
    <row r="152" spans="2:17" x14ac:dyDescent="0.15">
      <c r="B152" s="356"/>
      <c r="C152" s="348" t="s">
        <v>150</v>
      </c>
      <c r="D152" s="355"/>
      <c r="E152" s="433"/>
      <c r="F152" s="433"/>
      <c r="G152" s="439"/>
      <c r="J152" s="344" t="str">
        <f t="shared" si="2"/>
        <v/>
      </c>
      <c r="P152" s="415"/>
      <c r="Q152" s="415"/>
    </row>
    <row r="153" spans="2:17" x14ac:dyDescent="0.15">
      <c r="B153" s="356"/>
      <c r="C153" s="348" t="s">
        <v>151</v>
      </c>
      <c r="D153" s="355"/>
      <c r="E153" s="433"/>
      <c r="F153" s="433"/>
      <c r="G153" s="439"/>
      <c r="J153" s="344" t="str">
        <f t="shared" si="2"/>
        <v/>
      </c>
      <c r="P153" s="415"/>
      <c r="Q153" s="415"/>
    </row>
    <row r="154" spans="2:17" x14ac:dyDescent="0.15">
      <c r="B154" s="356"/>
      <c r="C154" s="348" t="s">
        <v>152</v>
      </c>
      <c r="D154" s="355"/>
      <c r="E154" s="433"/>
      <c r="F154" s="433"/>
      <c r="G154" s="439"/>
      <c r="J154" s="344" t="str">
        <f t="shared" si="2"/>
        <v/>
      </c>
      <c r="P154" s="415"/>
      <c r="Q154" s="415"/>
    </row>
    <row r="155" spans="2:17" x14ac:dyDescent="0.15">
      <c r="B155" s="356"/>
      <c r="C155" s="348" t="s">
        <v>153</v>
      </c>
      <c r="D155" s="355"/>
      <c r="E155" s="433"/>
      <c r="F155" s="433"/>
      <c r="G155" s="439"/>
      <c r="J155" s="344" t="str">
        <f t="shared" si="2"/>
        <v/>
      </c>
      <c r="P155" s="415"/>
      <c r="Q155" s="415"/>
    </row>
    <row r="156" spans="2:17" x14ac:dyDescent="0.15">
      <c r="B156" s="356"/>
      <c r="C156" s="348" t="s">
        <v>154</v>
      </c>
      <c r="D156" s="355"/>
      <c r="E156" s="433"/>
      <c r="F156" s="433"/>
      <c r="G156" s="439"/>
      <c r="J156" s="344" t="str">
        <f t="shared" si="2"/>
        <v/>
      </c>
      <c r="P156" s="415"/>
      <c r="Q156" s="415"/>
    </row>
    <row r="157" spans="2:17" x14ac:dyDescent="0.15">
      <c r="B157" s="356"/>
      <c r="C157" s="348" t="s">
        <v>155</v>
      </c>
      <c r="D157" s="355"/>
      <c r="E157" s="433"/>
      <c r="F157" s="433"/>
      <c r="G157" s="439"/>
      <c r="J157" s="344" t="str">
        <f t="shared" si="2"/>
        <v/>
      </c>
      <c r="P157" s="415"/>
      <c r="Q157" s="415"/>
    </row>
    <row r="158" spans="2:17" x14ac:dyDescent="0.15">
      <c r="B158" s="356"/>
      <c r="C158" s="348" t="s">
        <v>156</v>
      </c>
      <c r="D158" s="355"/>
      <c r="E158" s="433"/>
      <c r="F158" s="433"/>
      <c r="G158" s="439"/>
      <c r="J158" s="344" t="str">
        <f t="shared" si="2"/>
        <v/>
      </c>
      <c r="P158" s="415"/>
      <c r="Q158" s="415"/>
    </row>
    <row r="159" spans="2:17" x14ac:dyDescent="0.15">
      <c r="B159" s="356"/>
      <c r="C159" s="348" t="s">
        <v>157</v>
      </c>
      <c r="D159" s="355"/>
      <c r="E159" s="433"/>
      <c r="F159" s="433"/>
      <c r="G159" s="439"/>
      <c r="J159" s="344" t="str">
        <f t="shared" si="2"/>
        <v/>
      </c>
      <c r="P159" s="415"/>
      <c r="Q159" s="415"/>
    </row>
    <row r="160" spans="2:17" x14ac:dyDescent="0.15">
      <c r="B160" s="356"/>
      <c r="C160" s="348" t="s">
        <v>158</v>
      </c>
      <c r="D160" s="355"/>
      <c r="E160" s="433"/>
      <c r="F160" s="433"/>
      <c r="G160" s="439"/>
      <c r="J160" s="344" t="str">
        <f t="shared" si="2"/>
        <v/>
      </c>
      <c r="P160" s="415"/>
      <c r="Q160" s="415"/>
    </row>
    <row r="161" spans="2:17" x14ac:dyDescent="0.15">
      <c r="B161" s="356"/>
      <c r="C161" s="348" t="s">
        <v>159</v>
      </c>
      <c r="D161" s="355"/>
      <c r="E161" s="433"/>
      <c r="F161" s="433"/>
      <c r="G161" s="439"/>
      <c r="J161" s="344" t="str">
        <f t="shared" si="2"/>
        <v/>
      </c>
      <c r="P161" s="415"/>
      <c r="Q161" s="415"/>
    </row>
    <row r="162" spans="2:17" x14ac:dyDescent="0.15">
      <c r="B162" s="356"/>
      <c r="C162" s="348" t="s">
        <v>160</v>
      </c>
      <c r="D162" s="355"/>
      <c r="E162" s="433"/>
      <c r="F162" s="433"/>
      <c r="G162" s="439"/>
      <c r="J162" s="344" t="str">
        <f t="shared" si="2"/>
        <v/>
      </c>
      <c r="P162" s="415"/>
      <c r="Q162" s="415"/>
    </row>
    <row r="163" spans="2:17" x14ac:dyDescent="0.15">
      <c r="B163" s="356"/>
      <c r="C163" s="348" t="s">
        <v>161</v>
      </c>
      <c r="D163" s="355"/>
      <c r="E163" s="433"/>
      <c r="F163" s="433"/>
      <c r="G163" s="439"/>
      <c r="J163" s="344" t="str">
        <f t="shared" si="2"/>
        <v/>
      </c>
      <c r="P163" s="415"/>
      <c r="Q163" s="415"/>
    </row>
    <row r="164" spans="2:17" x14ac:dyDescent="0.15">
      <c r="B164" s="356"/>
      <c r="C164" s="348" t="s">
        <v>162</v>
      </c>
      <c r="D164" s="355"/>
      <c r="E164" s="433"/>
      <c r="F164" s="433"/>
      <c r="G164" s="439"/>
      <c r="J164" s="344" t="str">
        <f t="shared" si="2"/>
        <v/>
      </c>
      <c r="P164" s="415"/>
      <c r="Q164" s="415"/>
    </row>
    <row r="165" spans="2:17" x14ac:dyDescent="0.15">
      <c r="B165" s="356"/>
      <c r="C165" s="348" t="s">
        <v>163</v>
      </c>
      <c r="D165" s="355"/>
      <c r="E165" s="433"/>
      <c r="F165" s="433"/>
      <c r="G165" s="439"/>
      <c r="J165" s="344" t="str">
        <f t="shared" si="2"/>
        <v/>
      </c>
      <c r="P165" s="415"/>
      <c r="Q165" s="415"/>
    </row>
    <row r="166" spans="2:17" x14ac:dyDescent="0.15">
      <c r="B166" s="356"/>
      <c r="C166" s="348" t="s">
        <v>164</v>
      </c>
      <c r="D166" s="355"/>
      <c r="E166" s="433"/>
      <c r="F166" s="433"/>
      <c r="G166" s="439"/>
      <c r="J166" s="344" t="str">
        <f t="shared" si="2"/>
        <v/>
      </c>
      <c r="P166" s="415"/>
      <c r="Q166" s="415"/>
    </row>
    <row r="167" spans="2:17" x14ac:dyDescent="0.15">
      <c r="B167" s="356"/>
      <c r="C167" s="348" t="s">
        <v>165</v>
      </c>
      <c r="D167" s="355"/>
      <c r="E167" s="433"/>
      <c r="F167" s="433"/>
      <c r="G167" s="439"/>
      <c r="J167" s="344" t="str">
        <f t="shared" si="2"/>
        <v/>
      </c>
      <c r="P167" s="415"/>
      <c r="Q167" s="415"/>
    </row>
    <row r="168" spans="2:17" x14ac:dyDescent="0.15">
      <c r="B168" s="356"/>
      <c r="C168" s="348" t="s">
        <v>166</v>
      </c>
      <c r="D168" s="355"/>
      <c r="E168" s="433"/>
      <c r="F168" s="433"/>
      <c r="G168" s="439"/>
      <c r="J168" s="344" t="str">
        <f t="shared" si="2"/>
        <v/>
      </c>
      <c r="P168" s="415"/>
      <c r="Q168" s="415"/>
    </row>
    <row r="169" spans="2:17" x14ac:dyDescent="0.15">
      <c r="B169" s="356"/>
      <c r="C169" s="348" t="s">
        <v>167</v>
      </c>
      <c r="D169" s="355"/>
      <c r="E169" s="433"/>
      <c r="F169" s="433"/>
      <c r="G169" s="439"/>
      <c r="J169" s="344" t="str">
        <f t="shared" si="2"/>
        <v/>
      </c>
      <c r="P169" s="415"/>
      <c r="Q169" s="415"/>
    </row>
    <row r="170" spans="2:17" x14ac:dyDescent="0.15">
      <c r="B170" s="356"/>
      <c r="C170" s="348" t="s">
        <v>168</v>
      </c>
      <c r="D170" s="355"/>
      <c r="E170" s="433"/>
      <c r="F170" s="433"/>
      <c r="G170" s="439"/>
      <c r="J170" s="344" t="str">
        <f t="shared" si="2"/>
        <v/>
      </c>
      <c r="P170" s="415"/>
      <c r="Q170" s="415"/>
    </row>
    <row r="171" spans="2:17" x14ac:dyDescent="0.15">
      <c r="B171" s="356"/>
      <c r="C171" s="348"/>
      <c r="D171" s="355"/>
      <c r="E171" s="435"/>
      <c r="F171" s="435"/>
      <c r="G171" s="355"/>
      <c r="J171" s="344" t="str">
        <f t="shared" si="2"/>
        <v/>
      </c>
      <c r="P171" s="415"/>
      <c r="Q171" s="415"/>
    </row>
    <row r="172" spans="2:17" x14ac:dyDescent="0.15">
      <c r="B172" s="356"/>
      <c r="C172" s="348" t="s">
        <v>991</v>
      </c>
      <c r="D172" s="355" t="s">
        <v>31</v>
      </c>
      <c r="E172" s="433"/>
      <c r="F172" s="433"/>
      <c r="G172" s="439"/>
      <c r="J172" s="344" t="str">
        <f t="shared" si="2"/>
        <v>×</v>
      </c>
      <c r="K172" s="350" t="str">
        <f>C172</f>
        <v>Ⅷ　微生物学</v>
      </c>
      <c r="L172" s="351"/>
      <c r="M172" s="351"/>
      <c r="N172" s="352"/>
      <c r="P172" s="415" t="str">
        <f>IF((COUNTIF(E172, "*微生物学*"))=1,"〇","X")</f>
        <v>X</v>
      </c>
      <c r="Q172" s="415" t="str">
        <f>IF((COUNTIF(F172, "*微生物学*"))=1,"〇","X")</f>
        <v>X</v>
      </c>
    </row>
    <row r="173" spans="2:17" x14ac:dyDescent="0.15">
      <c r="B173" s="356"/>
      <c r="C173" s="348" t="s">
        <v>169</v>
      </c>
      <c r="D173" s="355"/>
      <c r="E173" s="433"/>
      <c r="F173" s="433"/>
      <c r="G173" s="439"/>
      <c r="J173" s="344" t="str">
        <f t="shared" si="2"/>
        <v/>
      </c>
      <c r="P173" s="415"/>
      <c r="Q173" s="415"/>
    </row>
    <row r="174" spans="2:17" x14ac:dyDescent="0.15">
      <c r="B174" s="356"/>
      <c r="C174" s="348" t="s">
        <v>170</v>
      </c>
      <c r="D174" s="355"/>
      <c r="E174" s="433"/>
      <c r="F174" s="433"/>
      <c r="G174" s="439"/>
      <c r="J174" s="344" t="str">
        <f t="shared" si="2"/>
        <v/>
      </c>
      <c r="P174" s="415"/>
      <c r="Q174" s="415"/>
    </row>
    <row r="175" spans="2:17" x14ac:dyDescent="0.15">
      <c r="B175" s="356"/>
      <c r="C175" s="348" t="s">
        <v>171</v>
      </c>
      <c r="D175" s="355"/>
      <c r="E175" s="433"/>
      <c r="F175" s="433"/>
      <c r="G175" s="439"/>
      <c r="J175" s="344" t="str">
        <f t="shared" si="2"/>
        <v/>
      </c>
      <c r="P175" s="415"/>
      <c r="Q175" s="415"/>
    </row>
    <row r="176" spans="2:17" x14ac:dyDescent="0.15">
      <c r="B176" s="356"/>
      <c r="C176" s="348" t="s">
        <v>172</v>
      </c>
      <c r="D176" s="355"/>
      <c r="E176" s="433"/>
      <c r="F176" s="433"/>
      <c r="G176" s="439"/>
      <c r="J176" s="344" t="str">
        <f t="shared" si="2"/>
        <v/>
      </c>
      <c r="P176" s="415"/>
      <c r="Q176" s="415"/>
    </row>
    <row r="177" spans="2:17" x14ac:dyDescent="0.15">
      <c r="B177" s="356"/>
      <c r="C177" s="348" t="s">
        <v>173</v>
      </c>
      <c r="D177" s="355"/>
      <c r="E177" s="433"/>
      <c r="F177" s="433"/>
      <c r="G177" s="439"/>
      <c r="J177" s="344" t="str">
        <f t="shared" si="2"/>
        <v/>
      </c>
      <c r="P177" s="415"/>
      <c r="Q177" s="415"/>
    </row>
    <row r="178" spans="2:17" x14ac:dyDescent="0.15">
      <c r="B178" s="356"/>
      <c r="C178" s="348" t="s">
        <v>174</v>
      </c>
      <c r="D178" s="355"/>
      <c r="E178" s="433"/>
      <c r="F178" s="433"/>
      <c r="G178" s="439"/>
      <c r="J178" s="344" t="str">
        <f t="shared" si="2"/>
        <v/>
      </c>
      <c r="P178" s="415"/>
      <c r="Q178" s="415"/>
    </row>
    <row r="179" spans="2:17" x14ac:dyDescent="0.15">
      <c r="B179" s="356"/>
      <c r="C179" s="348" t="s">
        <v>175</v>
      </c>
      <c r="D179" s="355"/>
      <c r="E179" s="433"/>
      <c r="F179" s="433"/>
      <c r="G179" s="439"/>
      <c r="J179" s="344" t="str">
        <f t="shared" si="2"/>
        <v/>
      </c>
      <c r="P179" s="415"/>
      <c r="Q179" s="415"/>
    </row>
    <row r="180" spans="2:17" x14ac:dyDescent="0.15">
      <c r="B180" s="356"/>
      <c r="C180" s="348" t="s">
        <v>176</v>
      </c>
      <c r="D180" s="355"/>
      <c r="E180" s="433"/>
      <c r="F180" s="433"/>
      <c r="G180" s="439"/>
      <c r="J180" s="344" t="str">
        <f t="shared" si="2"/>
        <v/>
      </c>
      <c r="P180" s="415"/>
      <c r="Q180" s="415"/>
    </row>
    <row r="181" spans="2:17" x14ac:dyDescent="0.15">
      <c r="B181" s="356"/>
      <c r="C181" s="348" t="s">
        <v>177</v>
      </c>
      <c r="D181" s="355"/>
      <c r="E181" s="433"/>
      <c r="F181" s="433"/>
      <c r="G181" s="439"/>
      <c r="J181" s="344" t="str">
        <f t="shared" si="2"/>
        <v/>
      </c>
      <c r="P181" s="415"/>
      <c r="Q181" s="415"/>
    </row>
    <row r="182" spans="2:17" x14ac:dyDescent="0.15">
      <c r="B182" s="356"/>
      <c r="C182" s="348" t="s">
        <v>178</v>
      </c>
      <c r="D182" s="355"/>
      <c r="E182" s="433"/>
      <c r="F182" s="433"/>
      <c r="G182" s="439"/>
      <c r="J182" s="344" t="str">
        <f t="shared" si="2"/>
        <v/>
      </c>
      <c r="P182" s="415"/>
      <c r="Q182" s="415"/>
    </row>
    <row r="183" spans="2:17" x14ac:dyDescent="0.15">
      <c r="B183" s="356"/>
      <c r="C183" s="348" t="s">
        <v>179</v>
      </c>
      <c r="D183" s="355"/>
      <c r="E183" s="433"/>
      <c r="F183" s="433"/>
      <c r="G183" s="439"/>
      <c r="J183" s="344" t="str">
        <f t="shared" si="2"/>
        <v/>
      </c>
      <c r="P183" s="415"/>
      <c r="Q183" s="415"/>
    </row>
    <row r="184" spans="2:17" x14ac:dyDescent="0.15">
      <c r="B184" s="356"/>
      <c r="C184" s="348" t="s">
        <v>180</v>
      </c>
      <c r="D184" s="355"/>
      <c r="E184" s="433"/>
      <c r="F184" s="433"/>
      <c r="G184" s="439"/>
      <c r="J184" s="344" t="str">
        <f t="shared" si="2"/>
        <v/>
      </c>
      <c r="P184" s="415"/>
      <c r="Q184" s="415"/>
    </row>
    <row r="185" spans="2:17" x14ac:dyDescent="0.15">
      <c r="B185" s="356"/>
      <c r="C185" s="348" t="s">
        <v>181</v>
      </c>
      <c r="D185" s="355"/>
      <c r="E185" s="433"/>
      <c r="F185" s="433"/>
      <c r="G185" s="439"/>
      <c r="J185" s="344" t="str">
        <f t="shared" si="2"/>
        <v/>
      </c>
      <c r="P185" s="415"/>
      <c r="Q185" s="415"/>
    </row>
    <row r="186" spans="2:17" x14ac:dyDescent="0.15">
      <c r="B186" s="356"/>
      <c r="C186" s="348" t="s">
        <v>182</v>
      </c>
      <c r="D186" s="355"/>
      <c r="E186" s="433"/>
      <c r="F186" s="433"/>
      <c r="G186" s="439"/>
      <c r="J186" s="344" t="str">
        <f t="shared" si="2"/>
        <v/>
      </c>
      <c r="P186" s="415"/>
      <c r="Q186" s="415"/>
    </row>
    <row r="187" spans="2:17" x14ac:dyDescent="0.15">
      <c r="B187" s="356"/>
      <c r="C187" s="348" t="s">
        <v>183</v>
      </c>
      <c r="D187" s="355"/>
      <c r="E187" s="433"/>
      <c r="F187" s="433"/>
      <c r="G187" s="439"/>
      <c r="J187" s="344" t="str">
        <f t="shared" si="2"/>
        <v/>
      </c>
      <c r="P187" s="415"/>
      <c r="Q187" s="415"/>
    </row>
    <row r="188" spans="2:17" x14ac:dyDescent="0.15">
      <c r="B188" s="356"/>
      <c r="C188" s="348" t="s">
        <v>184</v>
      </c>
      <c r="D188" s="355"/>
      <c r="E188" s="433"/>
      <c r="F188" s="433"/>
      <c r="G188" s="439"/>
      <c r="J188" s="344" t="str">
        <f t="shared" si="2"/>
        <v/>
      </c>
      <c r="P188" s="415"/>
      <c r="Q188" s="415"/>
    </row>
    <row r="189" spans="2:17" x14ac:dyDescent="0.15">
      <c r="B189" s="356"/>
      <c r="C189" s="348" t="s">
        <v>185</v>
      </c>
      <c r="D189" s="355"/>
      <c r="E189" s="433"/>
      <c r="F189" s="433"/>
      <c r="G189" s="439"/>
      <c r="J189" s="344" t="str">
        <f t="shared" si="2"/>
        <v/>
      </c>
      <c r="P189" s="415"/>
      <c r="Q189" s="415"/>
    </row>
    <row r="190" spans="2:17" x14ac:dyDescent="0.15">
      <c r="B190" s="356"/>
      <c r="C190" s="348" t="s">
        <v>186</v>
      </c>
      <c r="D190" s="355"/>
      <c r="E190" s="433"/>
      <c r="F190" s="433"/>
      <c r="G190" s="439"/>
      <c r="J190" s="344" t="str">
        <f t="shared" si="2"/>
        <v/>
      </c>
      <c r="P190" s="415"/>
      <c r="Q190" s="415"/>
    </row>
    <row r="191" spans="2:17" x14ac:dyDescent="0.15">
      <c r="B191" s="356"/>
      <c r="C191" s="348"/>
      <c r="D191" s="355"/>
      <c r="E191" s="435"/>
      <c r="F191" s="435"/>
      <c r="G191" s="355"/>
      <c r="J191" s="344" t="str">
        <f t="shared" si="2"/>
        <v/>
      </c>
      <c r="P191" s="415"/>
      <c r="Q191" s="415"/>
    </row>
    <row r="192" spans="2:17" x14ac:dyDescent="0.15">
      <c r="B192" s="356"/>
      <c r="C192" s="348" t="s">
        <v>992</v>
      </c>
      <c r="D192" s="355" t="s">
        <v>31</v>
      </c>
      <c r="E192" s="433"/>
      <c r="F192" s="433"/>
      <c r="G192" s="439"/>
      <c r="J192" s="344" t="str">
        <f t="shared" si="2"/>
        <v>×</v>
      </c>
      <c r="K192" s="350" t="str">
        <f>C192</f>
        <v>Ⅸ　臨床栄養学</v>
      </c>
      <c r="L192" s="351"/>
      <c r="M192" s="351"/>
      <c r="N192" s="352"/>
      <c r="P192" s="415" t="str">
        <f>IF((COUNTIF(E192, "*臨床栄養学*"))=1,"〇","X")</f>
        <v>X</v>
      </c>
      <c r="Q192" s="415" t="str">
        <f>IF((COUNTIF(F192, "*臨床栄養学*"))=1,"〇","X")</f>
        <v>X</v>
      </c>
    </row>
    <row r="193" spans="2:17" x14ac:dyDescent="0.15">
      <c r="B193" s="356"/>
      <c r="C193" s="348" t="s">
        <v>187</v>
      </c>
      <c r="D193" s="355"/>
      <c r="E193" s="433"/>
      <c r="F193" s="433"/>
      <c r="G193" s="439"/>
      <c r="J193" s="344" t="str">
        <f t="shared" si="2"/>
        <v/>
      </c>
      <c r="P193" s="415"/>
      <c r="Q193" s="415"/>
    </row>
    <row r="194" spans="2:17" x14ac:dyDescent="0.15">
      <c r="B194" s="356"/>
      <c r="C194" s="348" t="s">
        <v>188</v>
      </c>
      <c r="D194" s="355"/>
      <c r="E194" s="433"/>
      <c r="F194" s="433"/>
      <c r="G194" s="439"/>
      <c r="J194" s="344" t="str">
        <f t="shared" si="2"/>
        <v/>
      </c>
      <c r="P194" s="415"/>
      <c r="Q194" s="415"/>
    </row>
    <row r="195" spans="2:17" x14ac:dyDescent="0.15">
      <c r="B195" s="356"/>
      <c r="C195" s="348" t="s">
        <v>189</v>
      </c>
      <c r="D195" s="355"/>
      <c r="E195" s="433"/>
      <c r="F195" s="433"/>
      <c r="G195" s="439"/>
      <c r="J195" s="344" t="str">
        <f t="shared" si="2"/>
        <v/>
      </c>
      <c r="P195" s="415"/>
      <c r="Q195" s="415"/>
    </row>
    <row r="196" spans="2:17" x14ac:dyDescent="0.15">
      <c r="B196" s="356"/>
      <c r="C196" s="348" t="s">
        <v>190</v>
      </c>
      <c r="D196" s="355"/>
      <c r="E196" s="433"/>
      <c r="F196" s="433"/>
      <c r="G196" s="439"/>
      <c r="J196" s="344" t="str">
        <f t="shared" si="2"/>
        <v/>
      </c>
      <c r="P196" s="415"/>
      <c r="Q196" s="415"/>
    </row>
    <row r="197" spans="2:17" x14ac:dyDescent="0.15">
      <c r="B197" s="356"/>
      <c r="C197" s="348" t="s">
        <v>191</v>
      </c>
      <c r="D197" s="355"/>
      <c r="E197" s="433"/>
      <c r="F197" s="433"/>
      <c r="G197" s="439"/>
      <c r="J197" s="344" t="str">
        <f t="shared" si="2"/>
        <v/>
      </c>
      <c r="P197" s="415"/>
      <c r="Q197" s="415"/>
    </row>
    <row r="198" spans="2:17" x14ac:dyDescent="0.15">
      <c r="B198" s="356"/>
      <c r="C198" s="348" t="s">
        <v>192</v>
      </c>
      <c r="D198" s="355"/>
      <c r="E198" s="433"/>
      <c r="F198" s="433"/>
      <c r="G198" s="439"/>
      <c r="J198" s="344" t="str">
        <f t="shared" si="2"/>
        <v/>
      </c>
      <c r="P198" s="415"/>
      <c r="Q198" s="415"/>
    </row>
    <row r="199" spans="2:17" x14ac:dyDescent="0.15">
      <c r="B199" s="356"/>
      <c r="C199" s="348" t="s">
        <v>193</v>
      </c>
      <c r="D199" s="355"/>
      <c r="E199" s="433"/>
      <c r="F199" s="433"/>
      <c r="G199" s="439"/>
      <c r="J199" s="344" t="str">
        <f t="shared" ref="J199:J262" si="3">IF(AND(OR(D199="◎",D199="◎※１"),OR(E199="",F199="",G199="")),"×","")</f>
        <v/>
      </c>
      <c r="P199" s="415"/>
      <c r="Q199" s="415"/>
    </row>
    <row r="200" spans="2:17" x14ac:dyDescent="0.15">
      <c r="B200" s="356"/>
      <c r="C200" s="348" t="s">
        <v>194</v>
      </c>
      <c r="D200" s="355"/>
      <c r="E200" s="433"/>
      <c r="F200" s="433"/>
      <c r="G200" s="439"/>
      <c r="J200" s="344" t="str">
        <f t="shared" si="3"/>
        <v/>
      </c>
      <c r="P200" s="415"/>
      <c r="Q200" s="415"/>
    </row>
    <row r="201" spans="2:17" x14ac:dyDescent="0.15">
      <c r="B201" s="356"/>
      <c r="C201" s="348" t="s">
        <v>993</v>
      </c>
      <c r="D201" s="355" t="s">
        <v>195</v>
      </c>
      <c r="E201" s="433"/>
      <c r="F201" s="433"/>
      <c r="G201" s="439"/>
      <c r="J201" s="344" t="str">
        <f t="shared" si="3"/>
        <v>×</v>
      </c>
      <c r="K201" s="350" t="str">
        <f>C201</f>
        <v>（１）栄養サポートチーム</v>
      </c>
      <c r="L201" s="351"/>
      <c r="M201" s="351"/>
      <c r="N201" s="352"/>
      <c r="P201" s="415" t="str">
        <f>IF((COUNTIF(E201, "*栄養サポートチーム*"))=1,"〇","X")</f>
        <v>X</v>
      </c>
      <c r="Q201" s="415" t="str">
        <f>IF((COUNTIF(F201, "*栄養サポートチーム*"))=1,"〇","X")</f>
        <v>X</v>
      </c>
    </row>
    <row r="202" spans="2:17" x14ac:dyDescent="0.15">
      <c r="B202" s="356"/>
      <c r="C202" s="348" t="s">
        <v>196</v>
      </c>
      <c r="D202" s="355"/>
      <c r="E202" s="433"/>
      <c r="F202" s="433"/>
      <c r="G202" s="439"/>
      <c r="J202" s="344" t="str">
        <f t="shared" si="3"/>
        <v/>
      </c>
      <c r="P202" s="415"/>
      <c r="Q202" s="415"/>
    </row>
    <row r="203" spans="2:17" x14ac:dyDescent="0.15">
      <c r="B203" s="356"/>
      <c r="C203" s="348" t="s">
        <v>197</v>
      </c>
      <c r="D203" s="355"/>
      <c r="E203" s="433"/>
      <c r="F203" s="433"/>
      <c r="G203" s="439"/>
      <c r="J203" s="344" t="str">
        <f t="shared" si="3"/>
        <v/>
      </c>
      <c r="P203" s="415"/>
      <c r="Q203" s="415"/>
    </row>
    <row r="204" spans="2:17" x14ac:dyDescent="0.15">
      <c r="B204" s="356"/>
      <c r="C204" s="348" t="s">
        <v>198</v>
      </c>
      <c r="D204" s="355"/>
      <c r="E204" s="433"/>
      <c r="F204" s="433"/>
      <c r="G204" s="439"/>
      <c r="J204" s="344" t="str">
        <f t="shared" si="3"/>
        <v/>
      </c>
      <c r="P204" s="415"/>
      <c r="Q204" s="415"/>
    </row>
    <row r="205" spans="2:17" x14ac:dyDescent="0.15">
      <c r="B205" s="356"/>
      <c r="C205" s="348" t="s">
        <v>199</v>
      </c>
      <c r="D205" s="355"/>
      <c r="E205" s="433"/>
      <c r="F205" s="433"/>
      <c r="G205" s="439"/>
      <c r="J205" s="344" t="str">
        <f t="shared" si="3"/>
        <v/>
      </c>
      <c r="P205" s="415"/>
      <c r="Q205" s="415"/>
    </row>
    <row r="206" spans="2:17" x14ac:dyDescent="0.15">
      <c r="B206" s="356"/>
      <c r="C206" s="348" t="s">
        <v>200</v>
      </c>
      <c r="D206" s="355"/>
      <c r="E206" s="433"/>
      <c r="F206" s="433"/>
      <c r="G206" s="439"/>
      <c r="J206" s="344" t="str">
        <f t="shared" si="3"/>
        <v/>
      </c>
      <c r="P206" s="415"/>
      <c r="Q206" s="415"/>
    </row>
    <row r="207" spans="2:17" x14ac:dyDescent="0.15">
      <c r="B207" s="356"/>
      <c r="C207" s="348"/>
      <c r="D207" s="355"/>
      <c r="E207" s="435"/>
      <c r="F207" s="435"/>
      <c r="G207" s="355"/>
      <c r="J207" s="344" t="str">
        <f t="shared" si="3"/>
        <v/>
      </c>
      <c r="P207" s="415"/>
      <c r="Q207" s="415"/>
    </row>
    <row r="208" spans="2:17" x14ac:dyDescent="0.15">
      <c r="B208" s="356"/>
      <c r="C208" s="348" t="s">
        <v>994</v>
      </c>
      <c r="D208" s="355" t="s">
        <v>128</v>
      </c>
      <c r="E208" s="433"/>
      <c r="F208" s="433"/>
      <c r="G208" s="439"/>
      <c r="J208" s="344" t="str">
        <f t="shared" si="3"/>
        <v>×</v>
      </c>
      <c r="K208" s="350" t="str">
        <f>C208</f>
        <v>Ⅹ　病態薬理学</v>
      </c>
      <c r="L208" s="351"/>
      <c r="M208" s="351"/>
      <c r="N208" s="352"/>
      <c r="P208" s="415" t="str">
        <f>IF((COUNTIF(E208, "*病態薬理学*"))=1,"〇","X")</f>
        <v>X</v>
      </c>
      <c r="Q208" s="415" t="str">
        <f>IF((COUNTIF(F208, "*病態薬理学*"))=1,"〇","X")</f>
        <v>X</v>
      </c>
    </row>
    <row r="209" spans="2:17" x14ac:dyDescent="0.15">
      <c r="B209" s="356"/>
      <c r="C209" s="348" t="s">
        <v>201</v>
      </c>
      <c r="D209" s="355"/>
      <c r="E209" s="433"/>
      <c r="F209" s="433"/>
      <c r="G209" s="439"/>
      <c r="J209" s="344" t="str">
        <f t="shared" si="3"/>
        <v/>
      </c>
      <c r="P209" s="415"/>
      <c r="Q209" s="415"/>
    </row>
    <row r="210" spans="2:17" x14ac:dyDescent="0.15">
      <c r="B210" s="356"/>
      <c r="C210" s="348" t="s">
        <v>202</v>
      </c>
      <c r="D210" s="355"/>
      <c r="E210" s="433"/>
      <c r="F210" s="433"/>
      <c r="G210" s="439"/>
      <c r="J210" s="344" t="str">
        <f t="shared" si="3"/>
        <v/>
      </c>
      <c r="P210" s="415"/>
      <c r="Q210" s="415"/>
    </row>
    <row r="211" spans="2:17" x14ac:dyDescent="0.15">
      <c r="B211" s="356"/>
      <c r="C211" s="348" t="s">
        <v>203</v>
      </c>
      <c r="D211" s="355"/>
      <c r="E211" s="433"/>
      <c r="F211" s="433"/>
      <c r="G211" s="439"/>
      <c r="J211" s="344" t="str">
        <f t="shared" si="3"/>
        <v/>
      </c>
      <c r="P211" s="415"/>
      <c r="Q211" s="415"/>
    </row>
    <row r="212" spans="2:17" x14ac:dyDescent="0.15">
      <c r="B212" s="356"/>
      <c r="C212" s="348" t="s">
        <v>204</v>
      </c>
      <c r="D212" s="355"/>
      <c r="E212" s="433"/>
      <c r="F212" s="433"/>
      <c r="G212" s="439"/>
      <c r="J212" s="344" t="str">
        <f t="shared" si="3"/>
        <v/>
      </c>
      <c r="P212" s="415"/>
      <c r="Q212" s="415"/>
    </row>
    <row r="213" spans="2:17" x14ac:dyDescent="0.15">
      <c r="B213" s="356"/>
      <c r="C213" s="348" t="s">
        <v>205</v>
      </c>
      <c r="D213" s="355"/>
      <c r="E213" s="433"/>
      <c r="F213" s="433"/>
      <c r="G213" s="439"/>
      <c r="J213" s="344" t="str">
        <f t="shared" si="3"/>
        <v/>
      </c>
      <c r="P213" s="415"/>
      <c r="Q213" s="415"/>
    </row>
    <row r="214" spans="2:17" ht="27" x14ac:dyDescent="0.15">
      <c r="B214" s="356"/>
      <c r="C214" s="348" t="s">
        <v>887</v>
      </c>
      <c r="D214" s="355"/>
      <c r="E214" s="433"/>
      <c r="F214" s="433"/>
      <c r="G214" s="439"/>
      <c r="J214" s="344" t="str">
        <f t="shared" si="3"/>
        <v/>
      </c>
      <c r="P214" s="415"/>
      <c r="Q214" s="415"/>
    </row>
    <row r="215" spans="2:17" x14ac:dyDescent="0.15">
      <c r="B215" s="356"/>
      <c r="C215" s="348" t="s">
        <v>206</v>
      </c>
      <c r="D215" s="355"/>
      <c r="E215" s="433"/>
      <c r="F215" s="433"/>
      <c r="G215" s="439"/>
      <c r="J215" s="344" t="str">
        <f t="shared" si="3"/>
        <v/>
      </c>
      <c r="P215" s="415"/>
      <c r="Q215" s="415"/>
    </row>
    <row r="216" spans="2:17" x14ac:dyDescent="0.15">
      <c r="B216" s="356"/>
      <c r="C216" s="348" t="s">
        <v>207</v>
      </c>
      <c r="D216" s="355"/>
      <c r="E216" s="433"/>
      <c r="F216" s="433"/>
      <c r="G216" s="439"/>
      <c r="J216" s="344" t="str">
        <f t="shared" si="3"/>
        <v/>
      </c>
      <c r="P216" s="415"/>
      <c r="Q216" s="415"/>
    </row>
    <row r="217" spans="2:17" x14ac:dyDescent="0.15">
      <c r="B217" s="356"/>
      <c r="C217" s="348" t="s">
        <v>208</v>
      </c>
      <c r="D217" s="355"/>
      <c r="E217" s="433"/>
      <c r="F217" s="433"/>
      <c r="G217" s="439"/>
      <c r="J217" s="344" t="str">
        <f t="shared" si="3"/>
        <v/>
      </c>
      <c r="P217" s="415"/>
      <c r="Q217" s="415"/>
    </row>
    <row r="218" spans="2:17" x14ac:dyDescent="0.15">
      <c r="B218" s="356"/>
      <c r="C218" s="348" t="s">
        <v>209</v>
      </c>
      <c r="D218" s="355"/>
      <c r="E218" s="433"/>
      <c r="F218" s="433"/>
      <c r="G218" s="439"/>
      <c r="J218" s="344" t="str">
        <f t="shared" si="3"/>
        <v/>
      </c>
      <c r="P218" s="415"/>
      <c r="Q218" s="415"/>
    </row>
    <row r="219" spans="2:17" x14ac:dyDescent="0.15">
      <c r="B219" s="356"/>
      <c r="C219" s="348" t="s">
        <v>210</v>
      </c>
      <c r="D219" s="355"/>
      <c r="E219" s="433"/>
      <c r="F219" s="433"/>
      <c r="G219" s="439"/>
      <c r="J219" s="344" t="str">
        <f t="shared" si="3"/>
        <v/>
      </c>
      <c r="P219" s="415"/>
      <c r="Q219" s="415"/>
    </row>
    <row r="220" spans="2:17" x14ac:dyDescent="0.15">
      <c r="B220" s="356"/>
      <c r="C220" s="348" t="s">
        <v>211</v>
      </c>
      <c r="D220" s="355"/>
      <c r="E220" s="433"/>
      <c r="F220" s="433"/>
      <c r="G220" s="439"/>
      <c r="J220" s="344" t="str">
        <f t="shared" si="3"/>
        <v/>
      </c>
      <c r="P220" s="415"/>
      <c r="Q220" s="415"/>
    </row>
    <row r="221" spans="2:17" x14ac:dyDescent="0.15">
      <c r="B221" s="356"/>
      <c r="C221" s="348" t="s">
        <v>212</v>
      </c>
      <c r="D221" s="355"/>
      <c r="E221" s="433"/>
      <c r="F221" s="433"/>
      <c r="G221" s="439"/>
      <c r="J221" s="344" t="str">
        <f t="shared" si="3"/>
        <v/>
      </c>
      <c r="P221" s="415"/>
      <c r="Q221" s="415"/>
    </row>
    <row r="222" spans="2:17" x14ac:dyDescent="0.15">
      <c r="B222" s="356"/>
      <c r="C222" s="348" t="s">
        <v>213</v>
      </c>
      <c r="D222" s="355"/>
      <c r="E222" s="433"/>
      <c r="F222" s="433"/>
      <c r="G222" s="439"/>
      <c r="J222" s="344" t="str">
        <f t="shared" si="3"/>
        <v/>
      </c>
      <c r="P222" s="415"/>
      <c r="Q222" s="415"/>
    </row>
    <row r="223" spans="2:17" x14ac:dyDescent="0.15">
      <c r="B223" s="356"/>
      <c r="C223" s="348" t="s">
        <v>214</v>
      </c>
      <c r="D223" s="355"/>
      <c r="E223" s="433"/>
      <c r="F223" s="433"/>
      <c r="G223" s="439"/>
      <c r="J223" s="344" t="str">
        <f t="shared" si="3"/>
        <v/>
      </c>
      <c r="P223" s="415"/>
      <c r="Q223" s="415"/>
    </row>
    <row r="224" spans="2:17" x14ac:dyDescent="0.15">
      <c r="B224" s="356"/>
      <c r="C224" s="348" t="s">
        <v>215</v>
      </c>
      <c r="D224" s="355"/>
      <c r="E224" s="433"/>
      <c r="F224" s="433"/>
      <c r="G224" s="439"/>
      <c r="J224" s="344" t="str">
        <f t="shared" si="3"/>
        <v/>
      </c>
      <c r="P224" s="415"/>
      <c r="Q224" s="415"/>
    </row>
    <row r="225" spans="2:17" x14ac:dyDescent="0.15">
      <c r="B225" s="356"/>
      <c r="C225" s="348" t="s">
        <v>216</v>
      </c>
      <c r="D225" s="355"/>
      <c r="E225" s="433"/>
      <c r="F225" s="433"/>
      <c r="G225" s="439"/>
      <c r="J225" s="344" t="str">
        <f t="shared" si="3"/>
        <v/>
      </c>
      <c r="P225" s="415"/>
      <c r="Q225" s="415"/>
    </row>
    <row r="226" spans="2:17" x14ac:dyDescent="0.15">
      <c r="B226" s="356"/>
      <c r="C226" s="348" t="s">
        <v>217</v>
      </c>
      <c r="D226" s="355"/>
      <c r="E226" s="433"/>
      <c r="F226" s="433"/>
      <c r="G226" s="439"/>
      <c r="J226" s="344" t="str">
        <f t="shared" si="3"/>
        <v/>
      </c>
      <c r="P226" s="415"/>
      <c r="Q226" s="415"/>
    </row>
    <row r="227" spans="2:17" x14ac:dyDescent="0.15">
      <c r="B227" s="356"/>
      <c r="C227" s="348" t="s">
        <v>218</v>
      </c>
      <c r="D227" s="355"/>
      <c r="E227" s="433"/>
      <c r="F227" s="433"/>
      <c r="G227" s="439"/>
      <c r="J227" s="344" t="str">
        <f t="shared" si="3"/>
        <v/>
      </c>
      <c r="P227" s="415"/>
      <c r="Q227" s="415"/>
    </row>
    <row r="228" spans="2:17" x14ac:dyDescent="0.15">
      <c r="B228" s="356"/>
      <c r="C228" s="348" t="s">
        <v>219</v>
      </c>
      <c r="D228" s="355"/>
      <c r="E228" s="433"/>
      <c r="F228" s="433"/>
      <c r="G228" s="439"/>
      <c r="J228" s="344" t="str">
        <f t="shared" si="3"/>
        <v/>
      </c>
      <c r="P228" s="415"/>
      <c r="Q228" s="415"/>
    </row>
    <row r="229" spans="2:17" x14ac:dyDescent="0.15">
      <c r="B229" s="356"/>
      <c r="C229" s="348" t="s">
        <v>220</v>
      </c>
      <c r="D229" s="355"/>
      <c r="E229" s="433"/>
      <c r="F229" s="433"/>
      <c r="G229" s="439"/>
      <c r="J229" s="344" t="str">
        <f t="shared" si="3"/>
        <v/>
      </c>
      <c r="P229" s="415"/>
      <c r="Q229" s="415"/>
    </row>
    <row r="230" spans="2:17" ht="27" x14ac:dyDescent="0.15">
      <c r="B230" s="356"/>
      <c r="C230" s="348" t="s">
        <v>888</v>
      </c>
      <c r="D230" s="355"/>
      <c r="E230" s="433"/>
      <c r="F230" s="433"/>
      <c r="G230" s="439"/>
      <c r="J230" s="344" t="str">
        <f t="shared" si="3"/>
        <v/>
      </c>
      <c r="P230" s="415"/>
      <c r="Q230" s="415"/>
    </row>
    <row r="231" spans="2:17" x14ac:dyDescent="0.15">
      <c r="B231" s="356"/>
      <c r="C231" s="348" t="s">
        <v>221</v>
      </c>
      <c r="D231" s="355"/>
      <c r="E231" s="433"/>
      <c r="F231" s="433"/>
      <c r="G231" s="439"/>
      <c r="J231" s="344" t="str">
        <f t="shared" si="3"/>
        <v/>
      </c>
      <c r="P231" s="415"/>
      <c r="Q231" s="415"/>
    </row>
    <row r="232" spans="2:17" x14ac:dyDescent="0.15">
      <c r="B232" s="356"/>
      <c r="C232" s="348" t="s">
        <v>222</v>
      </c>
      <c r="D232" s="355"/>
      <c r="E232" s="433"/>
      <c r="F232" s="433"/>
      <c r="G232" s="439"/>
      <c r="J232" s="344" t="str">
        <f t="shared" si="3"/>
        <v/>
      </c>
      <c r="P232" s="415"/>
      <c r="Q232" s="415"/>
    </row>
    <row r="233" spans="2:17" x14ac:dyDescent="0.15">
      <c r="B233" s="356"/>
      <c r="C233" s="348"/>
      <c r="D233" s="355"/>
      <c r="E233" s="435"/>
      <c r="F233" s="435"/>
      <c r="G233" s="355"/>
      <c r="J233" s="344" t="str">
        <f t="shared" si="3"/>
        <v/>
      </c>
      <c r="P233" s="415"/>
      <c r="Q233" s="415"/>
    </row>
    <row r="234" spans="2:17" x14ac:dyDescent="0.15">
      <c r="B234" s="356"/>
      <c r="C234" s="348" t="s">
        <v>995</v>
      </c>
      <c r="D234" s="355" t="s">
        <v>31</v>
      </c>
      <c r="E234" s="433"/>
      <c r="F234" s="433"/>
      <c r="G234" s="439"/>
      <c r="J234" s="344" t="str">
        <f t="shared" si="3"/>
        <v>×</v>
      </c>
      <c r="K234" s="350" t="str">
        <f>C234</f>
        <v>Ⅺ　認知症の検査</v>
      </c>
      <c r="L234" s="351"/>
      <c r="M234" s="351"/>
      <c r="N234" s="352"/>
      <c r="P234" s="415" t="str">
        <f>IF((COUNTIF(E234, "*認知症の検査*"))=1,"〇","X")</f>
        <v>X</v>
      </c>
      <c r="Q234" s="415" t="str">
        <f>IF((COUNTIF(F234, "*認知症の検査*"))=1,"〇","X")</f>
        <v>X</v>
      </c>
    </row>
    <row r="235" spans="2:17" x14ac:dyDescent="0.15">
      <c r="B235" s="356"/>
      <c r="C235" s="348" t="s">
        <v>223</v>
      </c>
      <c r="D235" s="355"/>
      <c r="E235" s="433"/>
      <c r="F235" s="433"/>
      <c r="G235" s="439"/>
      <c r="J235" s="344" t="str">
        <f t="shared" si="3"/>
        <v/>
      </c>
      <c r="P235" s="415"/>
      <c r="Q235" s="415"/>
    </row>
    <row r="236" spans="2:17" x14ac:dyDescent="0.15">
      <c r="B236" s="356"/>
      <c r="C236" s="348" t="s">
        <v>224</v>
      </c>
      <c r="D236" s="355"/>
      <c r="E236" s="433"/>
      <c r="F236" s="433"/>
      <c r="G236" s="439"/>
      <c r="J236" s="344" t="str">
        <f t="shared" si="3"/>
        <v/>
      </c>
      <c r="P236" s="415"/>
      <c r="Q236" s="415"/>
    </row>
    <row r="237" spans="2:17" x14ac:dyDescent="0.15">
      <c r="B237" s="356"/>
      <c r="C237" s="348" t="s">
        <v>225</v>
      </c>
      <c r="D237" s="355"/>
      <c r="E237" s="433"/>
      <c r="F237" s="433"/>
      <c r="G237" s="439"/>
      <c r="J237" s="344" t="str">
        <f t="shared" si="3"/>
        <v/>
      </c>
      <c r="P237" s="415"/>
      <c r="Q237" s="415"/>
    </row>
    <row r="238" spans="2:17" x14ac:dyDescent="0.15">
      <c r="B238" s="356"/>
      <c r="C238" s="348" t="s">
        <v>226</v>
      </c>
      <c r="D238" s="355"/>
      <c r="E238" s="433"/>
      <c r="F238" s="433"/>
      <c r="G238" s="439"/>
      <c r="J238" s="344" t="str">
        <f t="shared" si="3"/>
        <v/>
      </c>
      <c r="P238" s="415"/>
      <c r="Q238" s="415"/>
    </row>
    <row r="239" spans="2:17" x14ac:dyDescent="0.15">
      <c r="B239" s="356"/>
      <c r="C239" s="348" t="s">
        <v>227</v>
      </c>
      <c r="D239" s="355"/>
      <c r="E239" s="433"/>
      <c r="F239" s="433"/>
      <c r="G239" s="439"/>
      <c r="J239" s="344" t="str">
        <f t="shared" si="3"/>
        <v/>
      </c>
      <c r="P239" s="415"/>
      <c r="Q239" s="415"/>
    </row>
    <row r="240" spans="2:17" x14ac:dyDescent="0.15">
      <c r="B240" s="356"/>
      <c r="C240" s="348" t="s">
        <v>228</v>
      </c>
      <c r="D240" s="355"/>
      <c r="E240" s="433"/>
      <c r="F240" s="433"/>
      <c r="G240" s="439"/>
      <c r="J240" s="344" t="str">
        <f t="shared" si="3"/>
        <v/>
      </c>
      <c r="P240" s="415"/>
      <c r="Q240" s="415"/>
    </row>
    <row r="241" spans="2:17" x14ac:dyDescent="0.15">
      <c r="B241" s="356"/>
      <c r="C241" s="348" t="s">
        <v>229</v>
      </c>
      <c r="D241" s="355"/>
      <c r="E241" s="433"/>
      <c r="F241" s="433"/>
      <c r="G241" s="439"/>
      <c r="J241" s="344" t="str">
        <f t="shared" si="3"/>
        <v/>
      </c>
      <c r="P241" s="415"/>
      <c r="Q241" s="415"/>
    </row>
    <row r="242" spans="2:17" x14ac:dyDescent="0.15">
      <c r="B242" s="356"/>
      <c r="C242" s="348" t="s">
        <v>230</v>
      </c>
      <c r="D242" s="355"/>
      <c r="E242" s="433"/>
      <c r="F242" s="433"/>
      <c r="G242" s="439"/>
      <c r="J242" s="344" t="str">
        <f t="shared" si="3"/>
        <v/>
      </c>
      <c r="P242" s="415"/>
      <c r="Q242" s="415"/>
    </row>
    <row r="243" spans="2:17" x14ac:dyDescent="0.15">
      <c r="B243" s="356"/>
      <c r="C243" s="348" t="s">
        <v>231</v>
      </c>
      <c r="D243" s="355"/>
      <c r="E243" s="433"/>
      <c r="F243" s="433"/>
      <c r="G243" s="439"/>
      <c r="J243" s="344" t="str">
        <f t="shared" si="3"/>
        <v/>
      </c>
      <c r="P243" s="415"/>
      <c r="Q243" s="415"/>
    </row>
    <row r="244" spans="2:17" x14ac:dyDescent="0.15">
      <c r="B244" s="356"/>
      <c r="C244" s="348" t="s">
        <v>232</v>
      </c>
      <c r="D244" s="355"/>
      <c r="E244" s="433"/>
      <c r="F244" s="433"/>
      <c r="G244" s="439"/>
      <c r="J244" s="344" t="str">
        <f t="shared" si="3"/>
        <v/>
      </c>
      <c r="P244" s="415"/>
      <c r="Q244" s="415"/>
    </row>
    <row r="245" spans="2:17" x14ac:dyDescent="0.15">
      <c r="B245" s="356"/>
      <c r="C245" s="348" t="s">
        <v>233</v>
      </c>
      <c r="D245" s="355"/>
      <c r="E245" s="433"/>
      <c r="F245" s="433"/>
      <c r="G245" s="439"/>
      <c r="J245" s="344" t="str">
        <f t="shared" si="3"/>
        <v/>
      </c>
      <c r="K245" s="358"/>
      <c r="P245" s="415"/>
      <c r="Q245" s="415"/>
    </row>
    <row r="246" spans="2:17" x14ac:dyDescent="0.15">
      <c r="B246" s="356"/>
      <c r="C246" s="348" t="s">
        <v>234</v>
      </c>
      <c r="D246" s="355"/>
      <c r="E246" s="433"/>
      <c r="F246" s="433"/>
      <c r="G246" s="439"/>
      <c r="J246" s="344" t="str">
        <f t="shared" si="3"/>
        <v/>
      </c>
      <c r="P246" s="415"/>
      <c r="Q246" s="415"/>
    </row>
    <row r="247" spans="2:17" x14ac:dyDescent="0.15">
      <c r="B247" s="356"/>
      <c r="C247" s="348" t="s">
        <v>235</v>
      </c>
      <c r="D247" s="355"/>
      <c r="E247" s="433"/>
      <c r="F247" s="433"/>
      <c r="G247" s="439"/>
      <c r="J247" s="344" t="str">
        <f t="shared" si="3"/>
        <v/>
      </c>
      <c r="P247" s="415"/>
      <c r="Q247" s="415"/>
    </row>
    <row r="248" spans="2:17" ht="14.25" thickBot="1" x14ac:dyDescent="0.2">
      <c r="B248" s="359"/>
      <c r="C248" s="360" t="s">
        <v>236</v>
      </c>
      <c r="D248" s="361"/>
      <c r="E248" s="436"/>
      <c r="F248" s="436"/>
      <c r="G248" s="441"/>
      <c r="J248" s="344" t="str">
        <f t="shared" si="3"/>
        <v/>
      </c>
      <c r="P248" s="415"/>
      <c r="Q248" s="415"/>
    </row>
    <row r="249" spans="2:17" ht="14.25" thickBot="1" x14ac:dyDescent="0.2">
      <c r="D249" s="363"/>
      <c r="E249" s="437"/>
      <c r="F249" s="437"/>
      <c r="G249" s="442"/>
      <c r="J249" s="344" t="str">
        <f t="shared" si="3"/>
        <v/>
      </c>
      <c r="P249" s="415"/>
      <c r="Q249" s="415"/>
    </row>
    <row r="250" spans="2:17" x14ac:dyDescent="0.15">
      <c r="B250" s="364" t="s">
        <v>237</v>
      </c>
      <c r="C250" s="365" t="s">
        <v>996</v>
      </c>
      <c r="D250" s="343" t="s">
        <v>31</v>
      </c>
      <c r="E250" s="431"/>
      <c r="F250" s="431"/>
      <c r="G250" s="428"/>
      <c r="J250" s="344" t="str">
        <f t="shared" si="3"/>
        <v>×</v>
      </c>
      <c r="K250" s="350" t="str">
        <f>C250</f>
        <v>Ⅰ　公衆衛生学</v>
      </c>
      <c r="L250" s="351"/>
      <c r="M250" s="351"/>
      <c r="N250" s="352"/>
      <c r="P250" s="415" t="str">
        <f>IF((COUNTIF(E250, "*公衆衛生学*"))=1,"〇","X")</f>
        <v>X</v>
      </c>
      <c r="Q250" s="415" t="str">
        <f>IF((COUNTIF(F250, "*公衆衛生学*"))=1,"〇","X")</f>
        <v>X</v>
      </c>
    </row>
    <row r="251" spans="2:17" x14ac:dyDescent="0.15">
      <c r="B251" s="341"/>
      <c r="C251" s="348" t="s">
        <v>997</v>
      </c>
      <c r="D251" s="349" t="s">
        <v>31</v>
      </c>
      <c r="E251" s="433"/>
      <c r="F251" s="433"/>
      <c r="G251" s="439"/>
      <c r="J251" s="344" t="str">
        <f t="shared" si="3"/>
        <v>×</v>
      </c>
      <c r="K251" s="350" t="str">
        <f>C251</f>
        <v>１　公衆衛生の意義</v>
      </c>
      <c r="L251" s="351"/>
      <c r="M251" s="351"/>
      <c r="N251" s="352"/>
      <c r="P251" s="415" t="str">
        <f>IF((COUNTIF(E251, "*公衆衛生の意義*"))=1,"〇","X")</f>
        <v>X</v>
      </c>
      <c r="Q251" s="415" t="str">
        <f>IF((COUNTIF(F251, "*公衆衛生の意義*"))=1,"〇","X")</f>
        <v>X</v>
      </c>
    </row>
    <row r="252" spans="2:17" x14ac:dyDescent="0.15">
      <c r="B252" s="341" t="s">
        <v>238</v>
      </c>
      <c r="C252" s="348" t="s">
        <v>239</v>
      </c>
      <c r="D252" s="349"/>
      <c r="E252" s="433"/>
      <c r="F252" s="433"/>
      <c r="G252" s="439"/>
      <c r="J252" s="344" t="str">
        <f t="shared" si="3"/>
        <v/>
      </c>
      <c r="P252" s="415"/>
      <c r="Q252" s="415"/>
    </row>
    <row r="253" spans="2:17" x14ac:dyDescent="0.15">
      <c r="B253" s="353"/>
      <c r="C253" s="348" t="s">
        <v>240</v>
      </c>
      <c r="D253" s="349"/>
      <c r="E253" s="433"/>
      <c r="F253" s="433"/>
      <c r="G253" s="439"/>
      <c r="J253" s="344" t="str">
        <f t="shared" si="3"/>
        <v/>
      </c>
      <c r="P253" s="415"/>
      <c r="Q253" s="415"/>
    </row>
    <row r="254" spans="2:17" x14ac:dyDescent="0.15">
      <c r="B254" s="574" t="s">
        <v>241</v>
      </c>
      <c r="C254" s="348" t="s">
        <v>998</v>
      </c>
      <c r="D254" s="349" t="s">
        <v>31</v>
      </c>
      <c r="E254" s="433"/>
      <c r="F254" s="433"/>
      <c r="G254" s="439"/>
      <c r="J254" s="344" t="str">
        <f t="shared" si="3"/>
        <v>×</v>
      </c>
      <c r="K254" s="350" t="str">
        <f>C254</f>
        <v>２　人口統計と健康水準</v>
      </c>
      <c r="L254" s="351"/>
      <c r="M254" s="351"/>
      <c r="N254" s="352"/>
      <c r="P254" s="415" t="str">
        <f>IF((COUNTIF(E254, "*人口統計と健康水準*"))=1,"〇","X")</f>
        <v>X</v>
      </c>
      <c r="Q254" s="415" t="str">
        <f>IF((COUNTIF(F254, "*人口統計と健康水準*"))=1,"〇","X")</f>
        <v>X</v>
      </c>
    </row>
    <row r="255" spans="2:17" x14ac:dyDescent="0.15">
      <c r="B255" s="574"/>
      <c r="C255" s="348" t="s">
        <v>242</v>
      </c>
      <c r="D255" s="349"/>
      <c r="E255" s="433"/>
      <c r="F255" s="433"/>
      <c r="G255" s="439"/>
      <c r="J255" s="344" t="str">
        <f t="shared" si="3"/>
        <v/>
      </c>
      <c r="P255" s="415"/>
      <c r="Q255" s="415"/>
    </row>
    <row r="256" spans="2:17" x14ac:dyDescent="0.15">
      <c r="B256" s="574"/>
      <c r="C256" s="348" t="s">
        <v>243</v>
      </c>
      <c r="D256" s="349"/>
      <c r="E256" s="433"/>
      <c r="F256" s="433"/>
      <c r="G256" s="439"/>
      <c r="J256" s="344" t="str">
        <f t="shared" si="3"/>
        <v/>
      </c>
      <c r="P256" s="415"/>
      <c r="Q256" s="415"/>
    </row>
    <row r="257" spans="2:17" x14ac:dyDescent="0.15">
      <c r="B257" s="574"/>
      <c r="C257" s="348" t="s">
        <v>244</v>
      </c>
      <c r="D257" s="349"/>
      <c r="E257" s="433"/>
      <c r="F257" s="433"/>
      <c r="G257" s="439"/>
      <c r="J257" s="344" t="str">
        <f t="shared" si="3"/>
        <v/>
      </c>
      <c r="P257" s="415"/>
      <c r="Q257" s="415"/>
    </row>
    <row r="258" spans="2:17" x14ac:dyDescent="0.15">
      <c r="B258" s="574"/>
      <c r="C258" s="348" t="s">
        <v>245</v>
      </c>
      <c r="D258" s="349"/>
      <c r="E258" s="433"/>
      <c r="F258" s="433"/>
      <c r="G258" s="439"/>
      <c r="J258" s="344" t="str">
        <f t="shared" si="3"/>
        <v/>
      </c>
      <c r="P258" s="415"/>
      <c r="Q258" s="415"/>
    </row>
    <row r="259" spans="2:17" x14ac:dyDescent="0.15">
      <c r="B259" s="574"/>
      <c r="C259" s="348" t="s">
        <v>999</v>
      </c>
      <c r="D259" s="349" t="s">
        <v>31</v>
      </c>
      <c r="E259" s="433"/>
      <c r="F259" s="433"/>
      <c r="G259" s="439"/>
      <c r="J259" s="344" t="str">
        <f t="shared" si="3"/>
        <v>×</v>
      </c>
      <c r="K259" s="350" t="str">
        <f>C259</f>
        <v>３　疫学と疫学的分析法</v>
      </c>
      <c r="L259" s="351"/>
      <c r="M259" s="351"/>
      <c r="N259" s="352"/>
      <c r="P259" s="415" t="str">
        <f>IF((COUNTIF(E259, "*疫学と疫学的分析法*"))=1,"〇","X")</f>
        <v>X</v>
      </c>
      <c r="Q259" s="415" t="str">
        <f>IF((COUNTIF(F259, "*疫学と疫学的分析法*"))=1,"〇","X")</f>
        <v>X</v>
      </c>
    </row>
    <row r="260" spans="2:17" x14ac:dyDescent="0.15">
      <c r="B260" s="574"/>
      <c r="C260" s="348" t="s">
        <v>246</v>
      </c>
      <c r="D260" s="349"/>
      <c r="E260" s="433"/>
      <c r="F260" s="433"/>
      <c r="G260" s="439"/>
      <c r="J260" s="344" t="str">
        <f t="shared" si="3"/>
        <v/>
      </c>
      <c r="P260" s="415"/>
      <c r="Q260" s="415"/>
    </row>
    <row r="261" spans="2:17" x14ac:dyDescent="0.15">
      <c r="B261" s="574"/>
      <c r="C261" s="348" t="s">
        <v>247</v>
      </c>
      <c r="D261" s="349"/>
      <c r="E261" s="433"/>
      <c r="F261" s="433"/>
      <c r="G261" s="439"/>
      <c r="J261" s="344" t="str">
        <f t="shared" si="3"/>
        <v/>
      </c>
      <c r="P261" s="415"/>
      <c r="Q261" s="415"/>
    </row>
    <row r="262" spans="2:17" x14ac:dyDescent="0.15">
      <c r="B262" s="574"/>
      <c r="C262" s="348" t="s">
        <v>248</v>
      </c>
      <c r="D262" s="349" t="s">
        <v>31</v>
      </c>
      <c r="E262" s="433"/>
      <c r="F262" s="433"/>
      <c r="G262" s="439"/>
      <c r="J262" s="344" t="str">
        <f t="shared" si="3"/>
        <v>×</v>
      </c>
      <c r="K262" s="350" t="str">
        <f>C262</f>
        <v>（３）疫学的分析法</v>
      </c>
      <c r="L262" s="351"/>
      <c r="M262" s="351"/>
      <c r="N262" s="352"/>
      <c r="P262" s="415" t="str">
        <f>IF((COUNTIF(E262, "*疫学的分析法*"))=1,"〇","X")</f>
        <v>X</v>
      </c>
      <c r="Q262" s="415" t="str">
        <f>IF((COUNTIF(F262, "*疫学的分析法*"))=1,"〇","X")</f>
        <v>X</v>
      </c>
    </row>
    <row r="263" spans="2:17" x14ac:dyDescent="0.15">
      <c r="B263" s="574"/>
      <c r="C263" s="348" t="s">
        <v>1000</v>
      </c>
      <c r="D263" s="349" t="s">
        <v>31</v>
      </c>
      <c r="E263" s="433"/>
      <c r="F263" s="433"/>
      <c r="G263" s="439"/>
      <c r="J263" s="344" t="str">
        <f t="shared" ref="J263:J326" si="4">IF(AND(OR(D263="◎",D263="◎※１"),OR(E263="",F263="",G263="")),"×","")</f>
        <v>×</v>
      </c>
      <c r="K263" s="350" t="str">
        <f>C263</f>
        <v>４　環境と健康</v>
      </c>
      <c r="L263" s="351"/>
      <c r="M263" s="351"/>
      <c r="N263" s="352"/>
      <c r="P263" s="415" t="str">
        <f>IF((COUNTIF(E263, "*環境と健康*"))=1,"〇","X")</f>
        <v>X</v>
      </c>
      <c r="Q263" s="415" t="str">
        <f>IF((COUNTIF(F263, "*環境と健康*"))=1,"〇","X")</f>
        <v>X</v>
      </c>
    </row>
    <row r="264" spans="2:17" x14ac:dyDescent="0.15">
      <c r="B264" s="574"/>
      <c r="C264" s="348" t="s">
        <v>249</v>
      </c>
      <c r="D264" s="349"/>
      <c r="E264" s="433"/>
      <c r="F264" s="433"/>
      <c r="G264" s="439"/>
      <c r="J264" s="344" t="str">
        <f t="shared" si="4"/>
        <v/>
      </c>
      <c r="P264" s="415"/>
      <c r="Q264" s="415"/>
    </row>
    <row r="265" spans="2:17" x14ac:dyDescent="0.15">
      <c r="B265" s="574"/>
      <c r="C265" s="348" t="s">
        <v>250</v>
      </c>
      <c r="D265" s="349"/>
      <c r="E265" s="433"/>
      <c r="F265" s="433"/>
      <c r="G265" s="439"/>
      <c r="J265" s="344" t="str">
        <f t="shared" si="4"/>
        <v/>
      </c>
      <c r="P265" s="415"/>
      <c r="Q265" s="415"/>
    </row>
    <row r="266" spans="2:17" x14ac:dyDescent="0.15">
      <c r="B266" s="574"/>
      <c r="C266" s="348" t="s">
        <v>251</v>
      </c>
      <c r="D266" s="354"/>
      <c r="E266" s="433"/>
      <c r="F266" s="433"/>
      <c r="G266" s="439"/>
      <c r="J266" s="344" t="str">
        <f t="shared" si="4"/>
        <v/>
      </c>
      <c r="P266" s="415"/>
      <c r="Q266" s="415"/>
    </row>
    <row r="267" spans="2:17" x14ac:dyDescent="0.15">
      <c r="B267" s="574"/>
      <c r="C267" s="348" t="s">
        <v>252</v>
      </c>
      <c r="D267" s="354"/>
      <c r="E267" s="433"/>
      <c r="F267" s="433"/>
      <c r="G267" s="439"/>
      <c r="J267" s="344" t="str">
        <f t="shared" si="4"/>
        <v/>
      </c>
      <c r="P267" s="415"/>
      <c r="Q267" s="415"/>
    </row>
    <row r="268" spans="2:17" x14ac:dyDescent="0.15">
      <c r="B268" s="574"/>
      <c r="C268" s="348" t="s">
        <v>253</v>
      </c>
      <c r="D268" s="354"/>
      <c r="E268" s="433"/>
      <c r="F268" s="433"/>
      <c r="G268" s="439"/>
      <c r="J268" s="344" t="str">
        <f t="shared" si="4"/>
        <v/>
      </c>
      <c r="P268" s="415"/>
      <c r="Q268" s="415"/>
    </row>
    <row r="269" spans="2:17" x14ac:dyDescent="0.15">
      <c r="B269" s="574"/>
      <c r="C269" s="348" t="s">
        <v>254</v>
      </c>
      <c r="D269" s="354"/>
      <c r="E269" s="433"/>
      <c r="F269" s="433"/>
      <c r="G269" s="439"/>
      <c r="J269" s="344" t="str">
        <f t="shared" si="4"/>
        <v/>
      </c>
      <c r="P269" s="415"/>
      <c r="Q269" s="415"/>
    </row>
    <row r="270" spans="2:17" x14ac:dyDescent="0.15">
      <c r="B270" s="356"/>
      <c r="C270" s="348" t="s">
        <v>255</v>
      </c>
      <c r="D270" s="355"/>
      <c r="E270" s="433"/>
      <c r="F270" s="433"/>
      <c r="G270" s="439"/>
      <c r="J270" s="344" t="str">
        <f t="shared" si="4"/>
        <v/>
      </c>
      <c r="P270" s="415"/>
      <c r="Q270" s="415"/>
    </row>
    <row r="271" spans="2:17" x14ac:dyDescent="0.15">
      <c r="B271" s="356"/>
      <c r="C271" s="348" t="s">
        <v>1001</v>
      </c>
      <c r="D271" s="355" t="s">
        <v>31</v>
      </c>
      <c r="E271" s="433"/>
      <c r="F271" s="433"/>
      <c r="G271" s="439"/>
      <c r="J271" s="344" t="str">
        <f t="shared" si="4"/>
        <v>×</v>
      </c>
      <c r="K271" s="350" t="str">
        <f>C271</f>
        <v>５　健康の保持増進と予防医学</v>
      </c>
      <c r="L271" s="351"/>
      <c r="M271" s="351"/>
      <c r="N271" s="352"/>
      <c r="P271" s="415" t="str">
        <f>IF((COUNTIF(E271, "*健康の保持増進と予防医学*"))=1,"〇","X")</f>
        <v>X</v>
      </c>
      <c r="Q271" s="415" t="str">
        <f>IF((COUNTIF(F271, "*健康の保持増進と予防医学*"))=1,"〇","X")</f>
        <v>X</v>
      </c>
    </row>
    <row r="272" spans="2:17" x14ac:dyDescent="0.15">
      <c r="B272" s="356"/>
      <c r="C272" s="348" t="s">
        <v>256</v>
      </c>
      <c r="D272" s="355" t="s">
        <v>31</v>
      </c>
      <c r="E272" s="433"/>
      <c r="F272" s="433"/>
      <c r="G272" s="439"/>
      <c r="J272" s="344" t="str">
        <f t="shared" si="4"/>
        <v>×</v>
      </c>
      <c r="K272" s="350" t="str">
        <f>C272</f>
        <v>（１）予防医学</v>
      </c>
      <c r="L272" s="351"/>
      <c r="M272" s="351"/>
      <c r="N272" s="352"/>
      <c r="P272" s="415" t="str">
        <f>IF((COUNTIF(E272, "*予防医学*"))=1,"〇","X")</f>
        <v>X</v>
      </c>
      <c r="Q272" s="415" t="str">
        <f>IF((COUNTIF(F272, "*予防医学*"))=1,"〇","X")</f>
        <v>X</v>
      </c>
    </row>
    <row r="273" spans="2:17" x14ac:dyDescent="0.15">
      <c r="B273" s="356"/>
      <c r="C273" s="348" t="s">
        <v>257</v>
      </c>
      <c r="D273" s="355"/>
      <c r="E273" s="433"/>
      <c r="F273" s="433"/>
      <c r="G273" s="439"/>
      <c r="J273" s="344" t="str">
        <f t="shared" si="4"/>
        <v/>
      </c>
      <c r="P273" s="415"/>
      <c r="Q273" s="415"/>
    </row>
    <row r="274" spans="2:17" x14ac:dyDescent="0.15">
      <c r="B274" s="356"/>
      <c r="C274" s="348" t="s">
        <v>258</v>
      </c>
      <c r="D274" s="355"/>
      <c r="E274" s="433"/>
      <c r="F274" s="433"/>
      <c r="G274" s="439"/>
      <c r="J274" s="344" t="str">
        <f t="shared" si="4"/>
        <v/>
      </c>
      <c r="P274" s="415"/>
      <c r="Q274" s="415"/>
    </row>
    <row r="275" spans="2:17" x14ac:dyDescent="0.15">
      <c r="B275" s="356"/>
      <c r="C275" s="348" t="s">
        <v>259</v>
      </c>
      <c r="D275" s="355"/>
      <c r="E275" s="433"/>
      <c r="F275" s="433"/>
      <c r="G275" s="439"/>
      <c r="J275" s="344" t="str">
        <f t="shared" si="4"/>
        <v/>
      </c>
      <c r="P275" s="415"/>
      <c r="Q275" s="415"/>
    </row>
    <row r="276" spans="2:17" x14ac:dyDescent="0.15">
      <c r="B276" s="356"/>
      <c r="C276" s="348" t="s">
        <v>260</v>
      </c>
      <c r="D276" s="355"/>
      <c r="E276" s="433"/>
      <c r="F276" s="433"/>
      <c r="G276" s="439"/>
      <c r="J276" s="344" t="str">
        <f t="shared" si="4"/>
        <v/>
      </c>
      <c r="P276" s="415"/>
      <c r="Q276" s="415"/>
    </row>
    <row r="277" spans="2:17" x14ac:dyDescent="0.15">
      <c r="B277" s="356"/>
      <c r="C277" s="348" t="s">
        <v>261</v>
      </c>
      <c r="D277" s="355"/>
      <c r="E277" s="433"/>
      <c r="F277" s="433"/>
      <c r="G277" s="439"/>
      <c r="J277" s="344" t="str">
        <f t="shared" si="4"/>
        <v/>
      </c>
      <c r="P277" s="415"/>
      <c r="Q277" s="415"/>
    </row>
    <row r="278" spans="2:17" x14ac:dyDescent="0.15">
      <c r="B278" s="356"/>
      <c r="C278" s="348" t="s">
        <v>262</v>
      </c>
      <c r="D278" s="355"/>
      <c r="E278" s="433"/>
      <c r="F278" s="433"/>
      <c r="G278" s="439"/>
      <c r="J278" s="344" t="str">
        <f t="shared" si="4"/>
        <v/>
      </c>
      <c r="P278" s="415"/>
      <c r="Q278" s="415"/>
    </row>
    <row r="279" spans="2:17" x14ac:dyDescent="0.15">
      <c r="B279" s="356"/>
      <c r="C279" s="348" t="s">
        <v>263</v>
      </c>
      <c r="D279" s="355"/>
      <c r="E279" s="433"/>
      <c r="F279" s="433"/>
      <c r="G279" s="439"/>
      <c r="J279" s="344" t="str">
        <f t="shared" si="4"/>
        <v/>
      </c>
      <c r="P279" s="415"/>
      <c r="Q279" s="415"/>
    </row>
    <row r="280" spans="2:17" x14ac:dyDescent="0.15">
      <c r="B280" s="356"/>
      <c r="C280" s="348" t="s">
        <v>264</v>
      </c>
      <c r="D280" s="355"/>
      <c r="E280" s="433"/>
      <c r="F280" s="433"/>
      <c r="G280" s="439"/>
      <c r="J280" s="344" t="str">
        <f t="shared" si="4"/>
        <v/>
      </c>
      <c r="P280" s="415"/>
      <c r="Q280" s="415"/>
    </row>
    <row r="281" spans="2:17" x14ac:dyDescent="0.15">
      <c r="B281" s="356"/>
      <c r="C281" s="348" t="s">
        <v>265</v>
      </c>
      <c r="D281" s="355" t="s">
        <v>31</v>
      </c>
      <c r="E281" s="433"/>
      <c r="F281" s="433"/>
      <c r="G281" s="439"/>
      <c r="J281" s="344" t="str">
        <f t="shared" si="4"/>
        <v>×</v>
      </c>
      <c r="K281" s="350" t="str">
        <f>C281</f>
        <v>（10）在宅医療</v>
      </c>
      <c r="L281" s="351"/>
      <c r="M281" s="351"/>
      <c r="N281" s="352"/>
      <c r="P281" s="415" t="str">
        <f>IF((COUNTIF(E281, "*在宅医療*"))=1,"〇","X")</f>
        <v>X</v>
      </c>
      <c r="Q281" s="415" t="str">
        <f>IF((COUNTIF(F281, "*在宅医療*"))=1,"〇","X")</f>
        <v>X</v>
      </c>
    </row>
    <row r="282" spans="2:17" x14ac:dyDescent="0.15">
      <c r="B282" s="356"/>
      <c r="C282" s="348" t="s">
        <v>266</v>
      </c>
      <c r="D282" s="355"/>
      <c r="E282" s="433"/>
      <c r="F282" s="433"/>
      <c r="G282" s="439"/>
      <c r="J282" s="344" t="str">
        <f t="shared" si="4"/>
        <v/>
      </c>
      <c r="P282" s="415"/>
      <c r="Q282" s="415"/>
    </row>
    <row r="283" spans="2:17" x14ac:dyDescent="0.15">
      <c r="B283" s="356"/>
      <c r="C283" s="348" t="s">
        <v>267</v>
      </c>
      <c r="D283" s="355"/>
      <c r="E283" s="433"/>
      <c r="F283" s="433"/>
      <c r="G283" s="439"/>
      <c r="J283" s="344" t="str">
        <f t="shared" si="4"/>
        <v/>
      </c>
      <c r="P283" s="415"/>
      <c r="Q283" s="415"/>
    </row>
    <row r="284" spans="2:17" x14ac:dyDescent="0.15">
      <c r="B284" s="356"/>
      <c r="C284" s="348" t="s">
        <v>1002</v>
      </c>
      <c r="D284" s="355" t="s">
        <v>31</v>
      </c>
      <c r="E284" s="433"/>
      <c r="F284" s="433"/>
      <c r="G284" s="439"/>
      <c r="J284" s="344" t="str">
        <f t="shared" si="4"/>
        <v>×</v>
      </c>
      <c r="K284" s="350" t="str">
        <f>C284</f>
        <v>６　衛生行政</v>
      </c>
      <c r="L284" s="351"/>
      <c r="M284" s="351"/>
      <c r="N284" s="352"/>
      <c r="P284" s="415" t="str">
        <f>IF((COUNTIF(E284, "*衛生行政*"))=1,"〇","X")</f>
        <v>X</v>
      </c>
      <c r="Q284" s="415" t="str">
        <f>IF((COUNTIF(F284, "*衛生行政*"))=1,"〇","X")</f>
        <v>X</v>
      </c>
    </row>
    <row r="285" spans="2:17" x14ac:dyDescent="0.15">
      <c r="B285" s="356"/>
      <c r="C285" s="348" t="s">
        <v>268</v>
      </c>
      <c r="D285" s="355"/>
      <c r="E285" s="433"/>
      <c r="F285" s="433"/>
      <c r="G285" s="439"/>
      <c r="J285" s="344" t="str">
        <f t="shared" si="4"/>
        <v/>
      </c>
      <c r="P285" s="415"/>
      <c r="Q285" s="415"/>
    </row>
    <row r="286" spans="2:17" x14ac:dyDescent="0.15">
      <c r="B286" s="356"/>
      <c r="C286" s="348" t="s">
        <v>269</v>
      </c>
      <c r="D286" s="355"/>
      <c r="E286" s="433"/>
      <c r="F286" s="433"/>
      <c r="G286" s="439"/>
      <c r="J286" s="344" t="str">
        <f t="shared" si="4"/>
        <v/>
      </c>
      <c r="P286" s="415"/>
      <c r="Q286" s="415"/>
    </row>
    <row r="287" spans="2:17" x14ac:dyDescent="0.15">
      <c r="B287" s="356"/>
      <c r="C287" s="348" t="s">
        <v>1003</v>
      </c>
      <c r="D287" s="355" t="s">
        <v>31</v>
      </c>
      <c r="E287" s="433"/>
      <c r="F287" s="433"/>
      <c r="G287" s="439"/>
      <c r="J287" s="344" t="str">
        <f t="shared" si="4"/>
        <v>×</v>
      </c>
      <c r="K287" s="350" t="str">
        <f>C287</f>
        <v>（３）多職種連携とチーム医療　</v>
      </c>
      <c r="L287" s="351"/>
      <c r="M287" s="351"/>
      <c r="N287" s="352"/>
      <c r="P287" s="415" t="str">
        <f>IF((COUNTIF(E287, "*多職種連携とチーム医療*"))=1,"〇","X")</f>
        <v>X</v>
      </c>
      <c r="Q287" s="415" t="str">
        <f>IF((COUNTIF(F287, "*多職種連携とチーム医療*"))=1,"〇","X")</f>
        <v>X</v>
      </c>
    </row>
    <row r="288" spans="2:17" ht="27" x14ac:dyDescent="0.15">
      <c r="B288" s="356"/>
      <c r="C288" s="348" t="s">
        <v>889</v>
      </c>
      <c r="D288" s="355" t="s">
        <v>31</v>
      </c>
      <c r="E288" s="433"/>
      <c r="F288" s="433"/>
      <c r="G288" s="439"/>
      <c r="J288" s="344" t="str">
        <f t="shared" si="4"/>
        <v>×</v>
      </c>
      <c r="K288" s="350" t="str">
        <f>C288</f>
        <v>（４）地域保健（地域包括ケアシス
　　テムを含む）</v>
      </c>
      <c r="L288" s="351"/>
      <c r="M288" s="351"/>
      <c r="N288" s="352"/>
      <c r="P288" s="415" t="str">
        <f>IF((COUNTIF(E288, "*地域保健（地域包括ケアシステムを含む）*"))=1,"〇","X")</f>
        <v>X</v>
      </c>
      <c r="Q288" s="415" t="str">
        <f>IF((COUNTIF(F288, "*地域保健（地域包括ケアシステムを含む）*"))=1,"〇","X")</f>
        <v>X</v>
      </c>
    </row>
    <row r="289" spans="2:17" x14ac:dyDescent="0.15">
      <c r="B289" s="356"/>
      <c r="C289" s="348" t="s">
        <v>270</v>
      </c>
      <c r="D289" s="355"/>
      <c r="E289" s="433"/>
      <c r="F289" s="433"/>
      <c r="G289" s="439"/>
      <c r="J289" s="344" t="str">
        <f t="shared" si="4"/>
        <v/>
      </c>
      <c r="P289" s="415"/>
      <c r="Q289" s="415"/>
    </row>
    <row r="290" spans="2:17" x14ac:dyDescent="0.15">
      <c r="B290" s="356"/>
      <c r="C290" s="348" t="s">
        <v>271</v>
      </c>
      <c r="D290" s="355"/>
      <c r="E290" s="433"/>
      <c r="F290" s="433"/>
      <c r="G290" s="439"/>
      <c r="J290" s="344" t="str">
        <f t="shared" si="4"/>
        <v/>
      </c>
      <c r="P290" s="415"/>
      <c r="Q290" s="415"/>
    </row>
    <row r="291" spans="2:17" x14ac:dyDescent="0.15">
      <c r="B291" s="356"/>
      <c r="C291" s="348" t="s">
        <v>272</v>
      </c>
      <c r="D291" s="355"/>
      <c r="E291" s="433"/>
      <c r="F291" s="433"/>
      <c r="G291" s="439"/>
      <c r="J291" s="344" t="str">
        <f t="shared" si="4"/>
        <v/>
      </c>
      <c r="P291" s="415"/>
      <c r="Q291" s="415"/>
    </row>
    <row r="292" spans="2:17" x14ac:dyDescent="0.15">
      <c r="B292" s="356"/>
      <c r="C292" s="348" t="s">
        <v>1004</v>
      </c>
      <c r="D292" s="355" t="s">
        <v>31</v>
      </c>
      <c r="E292" s="433"/>
      <c r="F292" s="433"/>
      <c r="G292" s="439"/>
      <c r="J292" s="344" t="str">
        <f t="shared" si="4"/>
        <v>×</v>
      </c>
      <c r="K292" s="350" t="str">
        <f>C292</f>
        <v>７　国際保健</v>
      </c>
      <c r="L292" s="351"/>
      <c r="M292" s="351"/>
      <c r="N292" s="352"/>
      <c r="P292" s="415" t="str">
        <f>IF((COUNTIF(E292, "*国際保健*"))=1,"〇","X")</f>
        <v>X</v>
      </c>
      <c r="Q292" s="415" t="str">
        <f>IF((COUNTIF(F292, "*国際保健*"))=1,"〇","X")</f>
        <v>X</v>
      </c>
    </row>
    <row r="293" spans="2:17" x14ac:dyDescent="0.15">
      <c r="B293" s="356"/>
      <c r="C293" s="348" t="s">
        <v>273</v>
      </c>
      <c r="D293" s="355"/>
      <c r="E293" s="433"/>
      <c r="F293" s="433"/>
      <c r="G293" s="439"/>
      <c r="J293" s="344" t="str">
        <f t="shared" si="4"/>
        <v/>
      </c>
      <c r="P293" s="415"/>
      <c r="Q293" s="415"/>
    </row>
    <row r="294" spans="2:17" x14ac:dyDescent="0.15">
      <c r="B294" s="356"/>
      <c r="C294" s="348" t="s">
        <v>274</v>
      </c>
      <c r="D294" s="355"/>
      <c r="E294" s="433"/>
      <c r="F294" s="433"/>
      <c r="G294" s="439"/>
      <c r="J294" s="344" t="str">
        <f t="shared" si="4"/>
        <v/>
      </c>
      <c r="P294" s="415"/>
      <c r="Q294" s="415"/>
    </row>
    <row r="295" spans="2:17" x14ac:dyDescent="0.15">
      <c r="B295" s="356"/>
      <c r="C295" s="348" t="s">
        <v>1005</v>
      </c>
      <c r="D295" s="355" t="s">
        <v>31</v>
      </c>
      <c r="E295" s="433"/>
      <c r="F295" s="433"/>
      <c r="G295" s="439"/>
      <c r="J295" s="344" t="str">
        <f t="shared" si="4"/>
        <v>×</v>
      </c>
      <c r="K295" s="350" t="str">
        <f>C295</f>
        <v>８　関係法規</v>
      </c>
      <c r="L295" s="351"/>
      <c r="M295" s="351"/>
      <c r="N295" s="352"/>
      <c r="P295" s="415" t="str">
        <f>IF((COUNTIF(E295, "*関係法規*"))=1,"〇","X")</f>
        <v>X</v>
      </c>
      <c r="Q295" s="415" t="str">
        <f>IF((COUNTIF(F295, "*関係法規*"))=1,"〇","X")</f>
        <v>X</v>
      </c>
    </row>
    <row r="296" spans="2:17" x14ac:dyDescent="0.15">
      <c r="B296" s="356"/>
      <c r="C296" s="348" t="s">
        <v>275</v>
      </c>
      <c r="D296" s="355"/>
      <c r="E296" s="433"/>
      <c r="F296" s="433"/>
      <c r="G296" s="439"/>
      <c r="J296" s="344" t="str">
        <f t="shared" si="4"/>
        <v/>
      </c>
      <c r="P296" s="415"/>
      <c r="Q296" s="415"/>
    </row>
    <row r="297" spans="2:17" x14ac:dyDescent="0.15">
      <c r="B297" s="356"/>
      <c r="C297" s="348" t="s">
        <v>276</v>
      </c>
      <c r="D297" s="355"/>
      <c r="E297" s="433"/>
      <c r="F297" s="433"/>
      <c r="G297" s="439"/>
      <c r="J297" s="344" t="str">
        <f t="shared" si="4"/>
        <v/>
      </c>
      <c r="P297" s="415"/>
      <c r="Q297" s="415"/>
    </row>
    <row r="298" spans="2:17" x14ac:dyDescent="0.15">
      <c r="B298" s="356"/>
      <c r="C298" s="348" t="s">
        <v>277</v>
      </c>
      <c r="D298" s="355"/>
      <c r="E298" s="433"/>
      <c r="F298" s="433"/>
      <c r="G298" s="439"/>
      <c r="J298" s="344" t="str">
        <f t="shared" si="4"/>
        <v/>
      </c>
      <c r="P298" s="415"/>
      <c r="Q298" s="415"/>
    </row>
    <row r="299" spans="2:17" x14ac:dyDescent="0.15">
      <c r="B299" s="356"/>
      <c r="C299" s="348" t="s">
        <v>278</v>
      </c>
      <c r="D299" s="355"/>
      <c r="E299" s="433"/>
      <c r="F299" s="433"/>
      <c r="G299" s="439"/>
      <c r="J299" s="344" t="str">
        <f t="shared" si="4"/>
        <v/>
      </c>
      <c r="P299" s="415"/>
      <c r="Q299" s="415"/>
    </row>
    <row r="300" spans="2:17" x14ac:dyDescent="0.15">
      <c r="B300" s="356"/>
      <c r="C300" s="348" t="s">
        <v>279</v>
      </c>
      <c r="D300" s="355"/>
      <c r="E300" s="433"/>
      <c r="F300" s="433"/>
      <c r="G300" s="439"/>
      <c r="J300" s="344" t="str">
        <f t="shared" si="4"/>
        <v/>
      </c>
      <c r="P300" s="415"/>
      <c r="Q300" s="415"/>
    </row>
    <row r="301" spans="2:17" x14ac:dyDescent="0.15">
      <c r="B301" s="356"/>
      <c r="C301" s="348" t="s">
        <v>280</v>
      </c>
      <c r="D301" s="355"/>
      <c r="E301" s="433"/>
      <c r="F301" s="433"/>
      <c r="G301" s="439"/>
      <c r="J301" s="344" t="str">
        <f t="shared" si="4"/>
        <v/>
      </c>
      <c r="P301" s="415"/>
      <c r="Q301" s="415"/>
    </row>
    <row r="302" spans="2:17" x14ac:dyDescent="0.15">
      <c r="B302" s="356"/>
      <c r="C302" s="348" t="s">
        <v>281</v>
      </c>
      <c r="D302" s="355"/>
      <c r="E302" s="433"/>
      <c r="F302" s="433"/>
      <c r="G302" s="439"/>
      <c r="J302" s="344" t="str">
        <f t="shared" si="4"/>
        <v/>
      </c>
      <c r="P302" s="415"/>
      <c r="Q302" s="415"/>
    </row>
    <row r="303" spans="2:17" x14ac:dyDescent="0.15">
      <c r="B303" s="356"/>
      <c r="C303" s="348" t="s">
        <v>282</v>
      </c>
      <c r="D303" s="355"/>
      <c r="E303" s="433"/>
      <c r="F303" s="433"/>
      <c r="G303" s="439"/>
      <c r="J303" s="344" t="str">
        <f t="shared" si="4"/>
        <v/>
      </c>
      <c r="P303" s="415"/>
      <c r="Q303" s="415"/>
    </row>
    <row r="304" spans="2:17" x14ac:dyDescent="0.15">
      <c r="B304" s="356"/>
      <c r="C304" s="348" t="s">
        <v>283</v>
      </c>
      <c r="D304" s="355"/>
      <c r="E304" s="433"/>
      <c r="F304" s="433"/>
      <c r="G304" s="439"/>
      <c r="J304" s="344" t="str">
        <f t="shared" si="4"/>
        <v/>
      </c>
      <c r="P304" s="415"/>
      <c r="Q304" s="415"/>
    </row>
    <row r="305" spans="2:17" x14ac:dyDescent="0.15">
      <c r="B305" s="356"/>
      <c r="C305" s="348" t="s">
        <v>284</v>
      </c>
      <c r="D305" s="355"/>
      <c r="E305" s="433"/>
      <c r="F305" s="433"/>
      <c r="G305" s="439"/>
      <c r="J305" s="344" t="str">
        <f t="shared" si="4"/>
        <v/>
      </c>
      <c r="P305" s="415"/>
      <c r="Q305" s="415"/>
    </row>
    <row r="306" spans="2:17" x14ac:dyDescent="0.15">
      <c r="B306" s="356"/>
      <c r="C306" s="348"/>
      <c r="D306" s="355"/>
      <c r="E306" s="435"/>
      <c r="F306" s="435"/>
      <c r="G306" s="355"/>
      <c r="J306" s="344" t="str">
        <f t="shared" si="4"/>
        <v/>
      </c>
      <c r="P306" s="415"/>
      <c r="Q306" s="415"/>
    </row>
    <row r="307" spans="2:17" x14ac:dyDescent="0.15">
      <c r="B307" s="356"/>
      <c r="C307" s="348" t="s">
        <v>1006</v>
      </c>
      <c r="D307" s="355" t="s">
        <v>31</v>
      </c>
      <c r="E307" s="433"/>
      <c r="F307" s="433"/>
      <c r="G307" s="439"/>
      <c r="J307" s="344" t="str">
        <f t="shared" si="4"/>
        <v>×</v>
      </c>
      <c r="K307" s="350" t="str">
        <f>C307</f>
        <v>Ⅱ　医学概論</v>
      </c>
      <c r="L307" s="351"/>
      <c r="M307" s="351"/>
      <c r="N307" s="352"/>
      <c r="P307" s="415" t="str">
        <f>IF((COUNTIF(E307, "*医学概論*"))=1,"〇","X")</f>
        <v>X</v>
      </c>
      <c r="Q307" s="415" t="str">
        <f>IF((COUNTIF(F307, "*医学概論*"))=1,"〇","X")</f>
        <v>X</v>
      </c>
    </row>
    <row r="308" spans="2:17" x14ac:dyDescent="0.15">
      <c r="B308" s="356"/>
      <c r="C308" s="348" t="s">
        <v>285</v>
      </c>
      <c r="D308" s="355" t="s">
        <v>31</v>
      </c>
      <c r="E308" s="433"/>
      <c r="F308" s="433"/>
      <c r="G308" s="439"/>
      <c r="J308" s="344" t="str">
        <f t="shared" si="4"/>
        <v>×</v>
      </c>
      <c r="K308" s="350" t="str">
        <f>C308</f>
        <v>１　医学概論</v>
      </c>
      <c r="L308" s="351"/>
      <c r="M308" s="351"/>
      <c r="N308" s="352"/>
      <c r="P308" s="415" t="str">
        <f>IF((COUNTIF(E308, "*医学概論*"))=1,"〇","X")</f>
        <v>X</v>
      </c>
      <c r="Q308" s="415" t="str">
        <f>IF((COUNTIF(F308, "*医学概論*"))=1,"〇","X")</f>
        <v>X</v>
      </c>
    </row>
    <row r="309" spans="2:17" x14ac:dyDescent="0.15">
      <c r="B309" s="356"/>
      <c r="C309" s="348" t="s">
        <v>286</v>
      </c>
      <c r="D309" s="357"/>
      <c r="E309" s="433"/>
      <c r="F309" s="433"/>
      <c r="G309" s="439"/>
      <c r="J309" s="344" t="str">
        <f t="shared" si="4"/>
        <v/>
      </c>
      <c r="P309" s="415"/>
      <c r="Q309" s="415"/>
    </row>
    <row r="310" spans="2:17" x14ac:dyDescent="0.15">
      <c r="B310" s="356"/>
      <c r="C310" s="348" t="s">
        <v>287</v>
      </c>
      <c r="D310" s="357"/>
      <c r="E310" s="433"/>
      <c r="F310" s="433"/>
      <c r="G310" s="439"/>
      <c r="J310" s="344" t="str">
        <f t="shared" si="4"/>
        <v/>
      </c>
      <c r="P310" s="415"/>
      <c r="Q310" s="415"/>
    </row>
    <row r="311" spans="2:17" x14ac:dyDescent="0.15">
      <c r="B311" s="356"/>
      <c r="C311" s="348" t="s">
        <v>288</v>
      </c>
      <c r="D311" s="357"/>
      <c r="E311" s="433"/>
      <c r="F311" s="433"/>
      <c r="G311" s="439"/>
      <c r="J311" s="344" t="str">
        <f t="shared" si="4"/>
        <v/>
      </c>
      <c r="P311" s="415"/>
      <c r="Q311" s="415"/>
    </row>
    <row r="312" spans="2:17" ht="14.25" thickBot="1" x14ac:dyDescent="0.2">
      <c r="B312" s="359"/>
      <c r="C312" s="360" t="s">
        <v>289</v>
      </c>
      <c r="D312" s="361"/>
      <c r="E312" s="436"/>
      <c r="F312" s="436"/>
      <c r="G312" s="441"/>
      <c r="J312" s="344" t="str">
        <f t="shared" si="4"/>
        <v/>
      </c>
      <c r="K312" s="358"/>
      <c r="P312" s="415"/>
      <c r="Q312" s="415"/>
    </row>
    <row r="313" spans="2:17" ht="14.25" thickBot="1" x14ac:dyDescent="0.2">
      <c r="E313" s="437"/>
      <c r="F313" s="437"/>
      <c r="G313" s="442"/>
      <c r="J313" s="344" t="str">
        <f t="shared" si="4"/>
        <v/>
      </c>
      <c r="P313" s="415"/>
      <c r="Q313" s="415"/>
    </row>
    <row r="314" spans="2:17" x14ac:dyDescent="0.15">
      <c r="B314" s="364" t="s">
        <v>290</v>
      </c>
      <c r="C314" s="365" t="s">
        <v>1007</v>
      </c>
      <c r="D314" s="366" t="s">
        <v>31</v>
      </c>
      <c r="E314" s="431"/>
      <c r="F314" s="431"/>
      <c r="G314" s="428"/>
      <c r="J314" s="344" t="str">
        <f t="shared" si="4"/>
        <v>×</v>
      </c>
      <c r="K314" s="350" t="str">
        <f>C314</f>
        <v>Ⅰ　医用工学概論</v>
      </c>
      <c r="L314" s="351"/>
      <c r="M314" s="351"/>
      <c r="N314" s="352"/>
      <c r="P314" s="415" t="str">
        <f>IF((COUNTIF(E314, "*医用工学概論*"))=1,"〇","X")</f>
        <v>X</v>
      </c>
      <c r="Q314" s="415" t="str">
        <f>IF((COUNTIF(F314, "*医用工学概論*"))=1,"〇","X")</f>
        <v>X</v>
      </c>
    </row>
    <row r="315" spans="2:17" ht="27" x14ac:dyDescent="0.15">
      <c r="B315" s="341"/>
      <c r="C315" s="348" t="s">
        <v>890</v>
      </c>
      <c r="D315" s="349" t="s">
        <v>31</v>
      </c>
      <c r="E315" s="433"/>
      <c r="F315" s="433"/>
      <c r="G315" s="439"/>
      <c r="J315" s="344" t="str">
        <f t="shared" si="4"/>
        <v>×</v>
      </c>
      <c r="K315" s="350" t="str">
        <f>C315</f>
        <v>１　臨床検査で用いられる医用工学
　　の基礎と応用</v>
      </c>
      <c r="L315" s="351"/>
      <c r="M315" s="351"/>
      <c r="N315" s="352"/>
      <c r="P315" s="415" t="str">
        <f>IF((COUNTIF(E315, "*臨床検査で用いられる医用工学の基礎と応用*"))=1,"〇","X")</f>
        <v>X</v>
      </c>
      <c r="Q315" s="415" t="str">
        <f>IF((COUNTIF(F315, "*臨床検査で用いられる医用工学の基礎と応用*"))=1,"〇","X")</f>
        <v>X</v>
      </c>
    </row>
    <row r="316" spans="2:17" x14ac:dyDescent="0.15">
      <c r="B316" s="341" t="s">
        <v>238</v>
      </c>
      <c r="C316" s="348" t="s">
        <v>291</v>
      </c>
      <c r="D316" s="349"/>
      <c r="E316" s="433"/>
      <c r="F316" s="433"/>
      <c r="G316" s="439"/>
      <c r="J316" s="344" t="str">
        <f t="shared" si="4"/>
        <v/>
      </c>
      <c r="P316" s="415"/>
      <c r="Q316" s="415"/>
    </row>
    <row r="317" spans="2:17" x14ac:dyDescent="0.15">
      <c r="B317" s="353"/>
      <c r="C317" s="348" t="s">
        <v>292</v>
      </c>
      <c r="D317" s="349"/>
      <c r="E317" s="433"/>
      <c r="F317" s="433"/>
      <c r="G317" s="439"/>
      <c r="J317" s="344" t="str">
        <f t="shared" si="4"/>
        <v/>
      </c>
      <c r="P317" s="415"/>
      <c r="Q317" s="415"/>
    </row>
    <row r="318" spans="2:17" ht="27" x14ac:dyDescent="0.15">
      <c r="B318" s="574" t="s">
        <v>241</v>
      </c>
      <c r="C318" s="348" t="s">
        <v>891</v>
      </c>
      <c r="D318" s="349" t="s">
        <v>31</v>
      </c>
      <c r="E318" s="433"/>
      <c r="F318" s="433"/>
      <c r="G318" s="439"/>
      <c r="J318" s="344" t="str">
        <f t="shared" si="4"/>
        <v>×</v>
      </c>
      <c r="K318" s="350" t="str">
        <f>C318</f>
        <v>２　生体検査に使用される医用電子
　　技術</v>
      </c>
      <c r="L318" s="351"/>
      <c r="M318" s="351"/>
      <c r="N318" s="352"/>
      <c r="P318" s="415" t="str">
        <f>IF((COUNTIF(E318, "*生体検査に使用される医用電子技術*"))=1,"〇","X")</f>
        <v>X</v>
      </c>
      <c r="Q318" s="415" t="str">
        <f>IF((COUNTIF(F318, "*生体検査に使用される医用電子技術*"))=1,"〇","X")</f>
        <v>X</v>
      </c>
    </row>
    <row r="319" spans="2:17" x14ac:dyDescent="0.15">
      <c r="B319" s="574"/>
      <c r="C319" s="348" t="s">
        <v>293</v>
      </c>
      <c r="D319" s="349"/>
      <c r="E319" s="433"/>
      <c r="F319" s="433"/>
      <c r="G319" s="439"/>
      <c r="J319" s="344" t="str">
        <f t="shared" si="4"/>
        <v/>
      </c>
      <c r="P319" s="415"/>
      <c r="Q319" s="415"/>
    </row>
    <row r="320" spans="2:17" x14ac:dyDescent="0.15">
      <c r="B320" s="574"/>
      <c r="C320" s="348" t="s">
        <v>294</v>
      </c>
      <c r="D320" s="349"/>
      <c r="E320" s="433"/>
      <c r="F320" s="433"/>
      <c r="G320" s="439"/>
      <c r="J320" s="344" t="str">
        <f t="shared" si="4"/>
        <v/>
      </c>
      <c r="P320" s="415"/>
      <c r="Q320" s="415"/>
    </row>
    <row r="321" spans="2:17" x14ac:dyDescent="0.15">
      <c r="B321" s="574"/>
      <c r="C321" s="348" t="s">
        <v>295</v>
      </c>
      <c r="D321" s="349"/>
      <c r="E321" s="433"/>
      <c r="F321" s="433"/>
      <c r="G321" s="439"/>
      <c r="J321" s="344" t="str">
        <f t="shared" si="4"/>
        <v/>
      </c>
      <c r="P321" s="415"/>
      <c r="Q321" s="415"/>
    </row>
    <row r="322" spans="2:17" x14ac:dyDescent="0.15">
      <c r="B322" s="574"/>
      <c r="C322" s="348" t="s">
        <v>296</v>
      </c>
      <c r="D322" s="349"/>
      <c r="E322" s="433"/>
      <c r="F322" s="433"/>
      <c r="G322" s="439"/>
      <c r="J322" s="344" t="str">
        <f t="shared" si="4"/>
        <v/>
      </c>
      <c r="P322" s="415"/>
      <c r="Q322" s="415"/>
    </row>
    <row r="323" spans="2:17" ht="27" x14ac:dyDescent="0.15">
      <c r="B323" s="574"/>
      <c r="C323" s="348" t="s">
        <v>892</v>
      </c>
      <c r="D323" s="349" t="s">
        <v>31</v>
      </c>
      <c r="E323" s="433"/>
      <c r="F323" s="433"/>
      <c r="G323" s="439"/>
      <c r="J323" s="344" t="str">
        <f t="shared" si="4"/>
        <v>×</v>
      </c>
      <c r="K323" s="350" t="str">
        <f>C323</f>
        <v>３　医用電子機器による生体からの
　　情報収集</v>
      </c>
      <c r="L323" s="351"/>
      <c r="M323" s="351"/>
      <c r="N323" s="352"/>
      <c r="P323" s="415" t="str">
        <f>IF((COUNTIF(E323, "*医用電子機器による生体からの情報収集*"))=1,"〇","X")</f>
        <v>X</v>
      </c>
      <c r="Q323" s="415" t="str">
        <f>IF((COUNTIF(F323, "*医用電子機器による生体からの情報収集*"))=1,"〇","X")</f>
        <v>X</v>
      </c>
    </row>
    <row r="324" spans="2:17" x14ac:dyDescent="0.15">
      <c r="B324" s="574"/>
      <c r="C324" s="348" t="s">
        <v>297</v>
      </c>
      <c r="D324" s="349"/>
      <c r="E324" s="433"/>
      <c r="F324" s="433"/>
      <c r="G324" s="439"/>
      <c r="J324" s="344" t="str">
        <f t="shared" si="4"/>
        <v/>
      </c>
      <c r="P324" s="415"/>
      <c r="Q324" s="415"/>
    </row>
    <row r="325" spans="2:17" x14ac:dyDescent="0.15">
      <c r="B325" s="574"/>
      <c r="C325" s="348" t="s">
        <v>298</v>
      </c>
      <c r="D325" s="349"/>
      <c r="E325" s="433"/>
      <c r="F325" s="433"/>
      <c r="G325" s="439"/>
      <c r="J325" s="344" t="str">
        <f t="shared" si="4"/>
        <v/>
      </c>
      <c r="P325" s="415"/>
      <c r="Q325" s="415"/>
    </row>
    <row r="326" spans="2:17" x14ac:dyDescent="0.15">
      <c r="B326" s="574"/>
      <c r="C326" s="348" t="s">
        <v>299</v>
      </c>
      <c r="D326" s="349"/>
      <c r="E326" s="433"/>
      <c r="F326" s="433"/>
      <c r="G326" s="439"/>
      <c r="J326" s="344" t="str">
        <f t="shared" si="4"/>
        <v/>
      </c>
      <c r="P326" s="415"/>
      <c r="Q326" s="415"/>
    </row>
    <row r="327" spans="2:17" x14ac:dyDescent="0.15">
      <c r="B327" s="574"/>
      <c r="C327" s="348" t="s">
        <v>1008</v>
      </c>
      <c r="D327" s="349" t="s">
        <v>31</v>
      </c>
      <c r="E327" s="433"/>
      <c r="F327" s="433"/>
      <c r="G327" s="439"/>
      <c r="J327" s="344" t="str">
        <f t="shared" ref="J327:J390" si="5">IF(AND(OR(D327="◎",D327="◎※１"),OR(E327="",F327="",G327="")),"×","")</f>
        <v>×</v>
      </c>
      <c r="K327" s="350" t="str">
        <f>C327</f>
        <v>４　医用電子機器使用時の安全対策</v>
      </c>
      <c r="L327" s="351"/>
      <c r="M327" s="351"/>
      <c r="N327" s="352"/>
      <c r="P327" s="415" t="str">
        <f>IF((COUNTIF(E327, "*医用電子機器使用時の安全対策*"))=1,"〇","X")</f>
        <v>X</v>
      </c>
      <c r="Q327" s="415" t="str">
        <f>IF((COUNTIF(F327, "*医用電子機器使用時の安全対策*"))=1,"〇","X")</f>
        <v>X</v>
      </c>
    </row>
    <row r="328" spans="2:17" x14ac:dyDescent="0.15">
      <c r="B328" s="574"/>
      <c r="C328" s="348" t="s">
        <v>300</v>
      </c>
      <c r="D328" s="349"/>
      <c r="E328" s="433"/>
      <c r="F328" s="433"/>
      <c r="G328" s="439"/>
      <c r="J328" s="344" t="str">
        <f t="shared" si="5"/>
        <v/>
      </c>
      <c r="P328" s="415"/>
      <c r="Q328" s="415"/>
    </row>
    <row r="329" spans="2:17" x14ac:dyDescent="0.15">
      <c r="B329" s="574"/>
      <c r="C329" s="348" t="s">
        <v>301</v>
      </c>
      <c r="D329" s="349"/>
      <c r="E329" s="433"/>
      <c r="F329" s="433"/>
      <c r="G329" s="439"/>
      <c r="J329" s="344" t="str">
        <f t="shared" si="5"/>
        <v/>
      </c>
      <c r="P329" s="415"/>
      <c r="Q329" s="415"/>
    </row>
    <row r="330" spans="2:17" x14ac:dyDescent="0.15">
      <c r="B330" s="574"/>
      <c r="C330" s="348" t="s">
        <v>302</v>
      </c>
      <c r="D330" s="354"/>
      <c r="E330" s="433"/>
      <c r="F330" s="433"/>
      <c r="G330" s="439"/>
      <c r="J330" s="344" t="str">
        <f t="shared" si="5"/>
        <v/>
      </c>
      <c r="P330" s="415"/>
      <c r="Q330" s="415"/>
    </row>
    <row r="331" spans="2:17" x14ac:dyDescent="0.15">
      <c r="B331" s="574"/>
      <c r="C331" s="348" t="s">
        <v>1009</v>
      </c>
      <c r="D331" s="354" t="s">
        <v>31</v>
      </c>
      <c r="E331" s="433"/>
      <c r="F331" s="433"/>
      <c r="G331" s="439"/>
      <c r="J331" s="344" t="str">
        <f t="shared" si="5"/>
        <v>×</v>
      </c>
      <c r="K331" s="350" t="str">
        <f>C331</f>
        <v>５　学内実習</v>
      </c>
      <c r="L331" s="351"/>
      <c r="M331" s="351"/>
      <c r="N331" s="352"/>
      <c r="P331" s="415" t="str">
        <f>IF((COUNTIF(E331, "*学内実習*"))=1,"〇","X")</f>
        <v>X</v>
      </c>
      <c r="Q331" s="415" t="str">
        <f>IF((COUNTIF(F331, "*学内実習*"))=1,"〇","X")</f>
        <v>X</v>
      </c>
    </row>
    <row r="332" spans="2:17" x14ac:dyDescent="0.15">
      <c r="B332" s="574"/>
      <c r="C332" s="348" t="s">
        <v>303</v>
      </c>
      <c r="D332" s="354"/>
      <c r="E332" s="433"/>
      <c r="F332" s="433"/>
      <c r="G332" s="439"/>
      <c r="J332" s="344" t="str">
        <f t="shared" si="5"/>
        <v/>
      </c>
      <c r="P332" s="415"/>
      <c r="Q332" s="415"/>
    </row>
    <row r="333" spans="2:17" x14ac:dyDescent="0.15">
      <c r="B333" s="574"/>
      <c r="C333" s="348" t="s">
        <v>304</v>
      </c>
      <c r="D333" s="354"/>
      <c r="E333" s="433"/>
      <c r="F333" s="433"/>
      <c r="G333" s="439"/>
      <c r="J333" s="344" t="str">
        <f t="shared" si="5"/>
        <v/>
      </c>
      <c r="P333" s="415"/>
      <c r="Q333" s="415"/>
    </row>
    <row r="334" spans="2:17" x14ac:dyDescent="0.15">
      <c r="B334" s="356"/>
      <c r="C334" s="348" t="s">
        <v>305</v>
      </c>
      <c r="D334" s="355"/>
      <c r="E334" s="433"/>
      <c r="F334" s="433"/>
      <c r="G334" s="439"/>
      <c r="J334" s="344" t="str">
        <f t="shared" si="5"/>
        <v/>
      </c>
      <c r="P334" s="415"/>
      <c r="Q334" s="415"/>
    </row>
    <row r="335" spans="2:17" x14ac:dyDescent="0.15">
      <c r="B335" s="356"/>
      <c r="C335" s="348" t="s">
        <v>306</v>
      </c>
      <c r="D335" s="355"/>
      <c r="E335" s="433"/>
      <c r="F335" s="433"/>
      <c r="G335" s="439"/>
      <c r="J335" s="344" t="str">
        <f t="shared" si="5"/>
        <v/>
      </c>
      <c r="P335" s="415"/>
      <c r="Q335" s="415"/>
    </row>
    <row r="336" spans="2:17" x14ac:dyDescent="0.15">
      <c r="B336" s="356"/>
      <c r="C336" s="348" t="s">
        <v>307</v>
      </c>
      <c r="D336" s="355"/>
      <c r="E336" s="433"/>
      <c r="F336" s="433"/>
      <c r="G336" s="439"/>
      <c r="J336" s="344" t="str">
        <f t="shared" si="5"/>
        <v/>
      </c>
      <c r="P336" s="415"/>
      <c r="Q336" s="415"/>
    </row>
    <row r="337" spans="2:17" x14ac:dyDescent="0.15">
      <c r="B337" s="356"/>
      <c r="C337" s="348"/>
      <c r="D337" s="355"/>
      <c r="E337" s="435"/>
      <c r="F337" s="435"/>
      <c r="G337" s="355"/>
      <c r="J337" s="344" t="str">
        <f t="shared" si="5"/>
        <v/>
      </c>
      <c r="P337" s="415"/>
      <c r="Q337" s="415"/>
    </row>
    <row r="338" spans="2:17" x14ac:dyDescent="0.15">
      <c r="B338" s="356"/>
      <c r="C338" s="348" t="s">
        <v>1010</v>
      </c>
      <c r="D338" s="355" t="s">
        <v>31</v>
      </c>
      <c r="E338" s="433"/>
      <c r="F338" s="433"/>
      <c r="G338" s="439"/>
      <c r="J338" s="344" t="str">
        <f t="shared" si="5"/>
        <v>×</v>
      </c>
      <c r="K338" s="350" t="str">
        <f>C338</f>
        <v>Ⅱ　検査機器総論</v>
      </c>
      <c r="L338" s="351"/>
      <c r="M338" s="351"/>
      <c r="N338" s="352"/>
      <c r="P338" s="415" t="str">
        <f>IF((COUNTIF(E338, "*検査機器総論*"))=1,"〇","X")</f>
        <v>X</v>
      </c>
      <c r="Q338" s="415" t="str">
        <f>IF((COUNTIF(F338, "*検査機器総論*"))=1,"〇","X")</f>
        <v>X</v>
      </c>
    </row>
    <row r="339" spans="2:17" ht="27" x14ac:dyDescent="0.15">
      <c r="B339" s="356"/>
      <c r="C339" s="348" t="s">
        <v>893</v>
      </c>
      <c r="D339" s="355" t="s">
        <v>31</v>
      </c>
      <c r="E339" s="433"/>
      <c r="F339" s="433"/>
      <c r="G339" s="439"/>
      <c r="J339" s="344" t="str">
        <f t="shared" si="5"/>
        <v>×</v>
      </c>
      <c r="K339" s="350" t="str">
        <f>C339</f>
        <v>１　臨床検査で使用する共通機器の
　　原理・使用方法と注意事項</v>
      </c>
      <c r="L339" s="351"/>
      <c r="M339" s="351"/>
      <c r="N339" s="352"/>
      <c r="P339" s="415" t="str">
        <f>IF((COUNTIF(E339, "*臨床検査で使用する共通機器の原理・使用方法と注意事項*"))=1,"〇","X")</f>
        <v>X</v>
      </c>
      <c r="Q339" s="415" t="str">
        <f>IF((COUNTIF(F339, "*臨床検査で使用する共通機器の原理・使用方法と注意事項*"))=1,"〇","X")</f>
        <v>X</v>
      </c>
    </row>
    <row r="340" spans="2:17" x14ac:dyDescent="0.15">
      <c r="B340" s="356"/>
      <c r="C340" s="348" t="s">
        <v>308</v>
      </c>
      <c r="D340" s="355"/>
      <c r="E340" s="433"/>
      <c r="F340" s="433"/>
      <c r="G340" s="439"/>
      <c r="J340" s="344" t="str">
        <f t="shared" si="5"/>
        <v/>
      </c>
      <c r="P340" s="415"/>
      <c r="Q340" s="415"/>
    </row>
    <row r="341" spans="2:17" x14ac:dyDescent="0.15">
      <c r="B341" s="356"/>
      <c r="C341" s="348" t="s">
        <v>309</v>
      </c>
      <c r="D341" s="355"/>
      <c r="E341" s="433"/>
      <c r="F341" s="433"/>
      <c r="G341" s="439"/>
      <c r="J341" s="344" t="str">
        <f t="shared" si="5"/>
        <v/>
      </c>
      <c r="P341" s="415"/>
      <c r="Q341" s="415"/>
    </row>
    <row r="342" spans="2:17" x14ac:dyDescent="0.15">
      <c r="B342" s="356"/>
      <c r="C342" s="348" t="s">
        <v>310</v>
      </c>
      <c r="D342" s="355"/>
      <c r="E342" s="433"/>
      <c r="F342" s="433"/>
      <c r="G342" s="439"/>
      <c r="J342" s="344" t="str">
        <f t="shared" si="5"/>
        <v/>
      </c>
      <c r="P342" s="415"/>
      <c r="Q342" s="415"/>
    </row>
    <row r="343" spans="2:17" x14ac:dyDescent="0.15">
      <c r="B343" s="356"/>
      <c r="C343" s="348" t="s">
        <v>311</v>
      </c>
      <c r="D343" s="355"/>
      <c r="E343" s="433"/>
      <c r="F343" s="433"/>
      <c r="G343" s="439"/>
      <c r="J343" s="344" t="str">
        <f t="shared" si="5"/>
        <v/>
      </c>
      <c r="P343" s="415"/>
      <c r="Q343" s="415"/>
    </row>
    <row r="344" spans="2:17" x14ac:dyDescent="0.15">
      <c r="B344" s="356"/>
      <c r="C344" s="348" t="s">
        <v>312</v>
      </c>
      <c r="D344" s="355"/>
      <c r="E344" s="433"/>
      <c r="F344" s="433"/>
      <c r="G344" s="439"/>
      <c r="J344" s="344" t="str">
        <f t="shared" si="5"/>
        <v/>
      </c>
      <c r="P344" s="415"/>
      <c r="Q344" s="415"/>
    </row>
    <row r="345" spans="2:17" x14ac:dyDescent="0.15">
      <c r="B345" s="356"/>
      <c r="C345" s="348" t="s">
        <v>313</v>
      </c>
      <c r="D345" s="355"/>
      <c r="E345" s="433"/>
      <c r="F345" s="433"/>
      <c r="G345" s="439"/>
      <c r="J345" s="344" t="str">
        <f t="shared" si="5"/>
        <v/>
      </c>
      <c r="P345" s="415"/>
      <c r="Q345" s="415"/>
    </row>
    <row r="346" spans="2:17" x14ac:dyDescent="0.15">
      <c r="B346" s="356"/>
      <c r="C346" s="348" t="s">
        <v>314</v>
      </c>
      <c r="D346" s="355"/>
      <c r="E346" s="433"/>
      <c r="F346" s="433"/>
      <c r="G346" s="439"/>
      <c r="J346" s="344" t="str">
        <f t="shared" si="5"/>
        <v/>
      </c>
      <c r="P346" s="415"/>
      <c r="Q346" s="415"/>
    </row>
    <row r="347" spans="2:17" x14ac:dyDescent="0.15">
      <c r="B347" s="356"/>
      <c r="C347" s="348" t="s">
        <v>315</v>
      </c>
      <c r="D347" s="355"/>
      <c r="E347" s="433"/>
      <c r="F347" s="433"/>
      <c r="G347" s="439"/>
      <c r="J347" s="344" t="str">
        <f t="shared" si="5"/>
        <v/>
      </c>
      <c r="P347" s="415"/>
      <c r="Q347" s="415"/>
    </row>
    <row r="348" spans="2:17" x14ac:dyDescent="0.15">
      <c r="B348" s="356"/>
      <c r="C348" s="348" t="s">
        <v>316</v>
      </c>
      <c r="D348" s="355"/>
      <c r="E348" s="433"/>
      <c r="F348" s="433"/>
      <c r="G348" s="439"/>
      <c r="J348" s="344" t="str">
        <f t="shared" si="5"/>
        <v/>
      </c>
      <c r="P348" s="415"/>
      <c r="Q348" s="415"/>
    </row>
    <row r="349" spans="2:17" x14ac:dyDescent="0.15">
      <c r="B349" s="356"/>
      <c r="C349" s="348" t="s">
        <v>317</v>
      </c>
      <c r="D349" s="355"/>
      <c r="E349" s="433"/>
      <c r="F349" s="433"/>
      <c r="G349" s="439"/>
      <c r="J349" s="344" t="str">
        <f t="shared" si="5"/>
        <v/>
      </c>
      <c r="P349" s="415"/>
      <c r="Q349" s="415"/>
    </row>
    <row r="350" spans="2:17" ht="27" x14ac:dyDescent="0.15">
      <c r="B350" s="356"/>
      <c r="C350" s="348" t="s">
        <v>894</v>
      </c>
      <c r="D350" s="355" t="s">
        <v>31</v>
      </c>
      <c r="E350" s="433"/>
      <c r="F350" s="433"/>
      <c r="G350" s="439"/>
      <c r="J350" s="344" t="str">
        <f t="shared" si="5"/>
        <v>×</v>
      </c>
      <c r="K350" s="350" t="str">
        <f>C350</f>
        <v>２　各種臨床検査で使用する機器の
　　原理・使用方法と注意事項</v>
      </c>
      <c r="L350" s="351"/>
      <c r="M350" s="351"/>
      <c r="N350" s="352"/>
      <c r="P350" s="415" t="str">
        <f>IF((COUNTIF(E350, "*各種臨床検査で使用する機器の原理・使用方法と注意事項*"))=1,"〇","X")</f>
        <v>X</v>
      </c>
      <c r="Q350" s="415" t="str">
        <f>IF((COUNTIF(F350, "*各種臨床検査で使用する機器の原理・使用方法と注意事項*"))=1,"〇","X")</f>
        <v>X</v>
      </c>
    </row>
    <row r="351" spans="2:17" x14ac:dyDescent="0.15">
      <c r="B351" s="356"/>
      <c r="C351" s="348" t="s">
        <v>318</v>
      </c>
      <c r="D351" s="355"/>
      <c r="E351" s="433"/>
      <c r="F351" s="433"/>
      <c r="G351" s="439"/>
      <c r="J351" s="344" t="str">
        <f t="shared" si="5"/>
        <v/>
      </c>
      <c r="P351" s="415"/>
      <c r="Q351" s="415"/>
    </row>
    <row r="352" spans="2:17" x14ac:dyDescent="0.15">
      <c r="B352" s="356"/>
      <c r="C352" s="348" t="s">
        <v>319</v>
      </c>
      <c r="D352" s="355"/>
      <c r="E352" s="433"/>
      <c r="F352" s="433"/>
      <c r="G352" s="439"/>
      <c r="J352" s="344" t="str">
        <f t="shared" si="5"/>
        <v/>
      </c>
      <c r="P352" s="415"/>
      <c r="Q352" s="415"/>
    </row>
    <row r="353" spans="2:17" x14ac:dyDescent="0.15">
      <c r="B353" s="356"/>
      <c r="C353" s="348" t="s">
        <v>320</v>
      </c>
      <c r="D353" s="355"/>
      <c r="E353" s="433"/>
      <c r="F353" s="433"/>
      <c r="G353" s="439"/>
      <c r="J353" s="344" t="str">
        <f t="shared" si="5"/>
        <v/>
      </c>
      <c r="P353" s="415"/>
      <c r="Q353" s="415"/>
    </row>
    <row r="354" spans="2:17" x14ac:dyDescent="0.15">
      <c r="B354" s="356"/>
      <c r="C354" s="348" t="s">
        <v>321</v>
      </c>
      <c r="D354" s="355"/>
      <c r="E354" s="433"/>
      <c r="F354" s="433"/>
      <c r="G354" s="439"/>
      <c r="J354" s="344" t="str">
        <f t="shared" si="5"/>
        <v/>
      </c>
      <c r="P354" s="415"/>
      <c r="Q354" s="415"/>
    </row>
    <row r="355" spans="2:17" x14ac:dyDescent="0.15">
      <c r="B355" s="356"/>
      <c r="C355" s="348" t="s">
        <v>322</v>
      </c>
      <c r="D355" s="355"/>
      <c r="E355" s="433"/>
      <c r="F355" s="433"/>
      <c r="G355" s="439"/>
      <c r="J355" s="344" t="str">
        <f t="shared" si="5"/>
        <v/>
      </c>
      <c r="P355" s="415"/>
      <c r="Q355" s="415"/>
    </row>
    <row r="356" spans="2:17" x14ac:dyDescent="0.15">
      <c r="B356" s="356"/>
      <c r="C356" s="348" t="s">
        <v>323</v>
      </c>
      <c r="D356" s="355"/>
      <c r="E356" s="433"/>
      <c r="F356" s="433"/>
      <c r="G356" s="439"/>
      <c r="J356" s="344" t="str">
        <f t="shared" si="5"/>
        <v/>
      </c>
      <c r="P356" s="415"/>
      <c r="Q356" s="415"/>
    </row>
    <row r="357" spans="2:17" x14ac:dyDescent="0.15">
      <c r="B357" s="356"/>
      <c r="C357" s="348" t="s">
        <v>324</v>
      </c>
      <c r="D357" s="355"/>
      <c r="E357" s="433"/>
      <c r="F357" s="433"/>
      <c r="G357" s="439"/>
      <c r="J357" s="344" t="str">
        <f t="shared" si="5"/>
        <v/>
      </c>
      <c r="P357" s="415"/>
      <c r="Q357" s="415"/>
    </row>
    <row r="358" spans="2:17" x14ac:dyDescent="0.15">
      <c r="B358" s="356"/>
      <c r="C358" s="348"/>
      <c r="D358" s="355"/>
      <c r="E358" s="435"/>
      <c r="F358" s="435"/>
      <c r="G358" s="355"/>
      <c r="J358" s="344" t="str">
        <f t="shared" si="5"/>
        <v/>
      </c>
      <c r="P358" s="415"/>
      <c r="Q358" s="415"/>
    </row>
    <row r="359" spans="2:17" x14ac:dyDescent="0.15">
      <c r="B359" s="356"/>
      <c r="C359" s="348" t="s">
        <v>1011</v>
      </c>
      <c r="D359" s="355" t="s">
        <v>31</v>
      </c>
      <c r="E359" s="433"/>
      <c r="F359" s="433"/>
      <c r="G359" s="439"/>
      <c r="J359" s="344" t="str">
        <f t="shared" si="5"/>
        <v>×</v>
      </c>
      <c r="K359" s="350" t="str">
        <f>C359</f>
        <v>Ⅲ　情報科学概論</v>
      </c>
      <c r="L359" s="351"/>
      <c r="M359" s="351"/>
      <c r="N359" s="352"/>
      <c r="P359" s="415" t="str">
        <f>IF((COUNTIF(E359, "*情報科学概論*"))=1,"〇","X")</f>
        <v>X</v>
      </c>
      <c r="Q359" s="415" t="str">
        <f>IF((COUNTIF(F359, "*情報科学概論*"))=1,"〇","X")</f>
        <v>X</v>
      </c>
    </row>
    <row r="360" spans="2:17" x14ac:dyDescent="0.15">
      <c r="B360" s="356"/>
      <c r="C360" s="348" t="s">
        <v>1012</v>
      </c>
      <c r="D360" s="355" t="s">
        <v>31</v>
      </c>
      <c r="E360" s="433"/>
      <c r="F360" s="433"/>
      <c r="G360" s="439"/>
      <c r="J360" s="344" t="str">
        <f t="shared" si="5"/>
        <v>×</v>
      </c>
      <c r="K360" s="350" t="str">
        <f>C360</f>
        <v>１　情報の概念と情報収集・処理</v>
      </c>
      <c r="L360" s="351"/>
      <c r="M360" s="351"/>
      <c r="N360" s="352"/>
      <c r="P360" s="415" t="str">
        <f>IF((COUNTIF(E360, "*情報の概念と情報収集・処理*"))=1,"〇","X")</f>
        <v>X</v>
      </c>
      <c r="Q360" s="415" t="str">
        <f>IF((COUNTIF(F360, "*情報の概念と情報収集・処理*"))=1,"〇","X")</f>
        <v>X</v>
      </c>
    </row>
    <row r="361" spans="2:17" x14ac:dyDescent="0.15">
      <c r="B361" s="356"/>
      <c r="C361" s="348" t="s">
        <v>325</v>
      </c>
      <c r="D361" s="355"/>
      <c r="E361" s="433"/>
      <c r="F361" s="433"/>
      <c r="G361" s="439"/>
      <c r="J361" s="344" t="str">
        <f t="shared" si="5"/>
        <v/>
      </c>
      <c r="P361" s="415"/>
      <c r="Q361" s="415"/>
    </row>
    <row r="362" spans="2:17" x14ac:dyDescent="0.15">
      <c r="B362" s="356"/>
      <c r="C362" s="348" t="s">
        <v>326</v>
      </c>
      <c r="D362" s="355"/>
      <c r="E362" s="433"/>
      <c r="F362" s="433"/>
      <c r="G362" s="439"/>
      <c r="J362" s="344" t="str">
        <f t="shared" si="5"/>
        <v/>
      </c>
      <c r="P362" s="415"/>
      <c r="Q362" s="415"/>
    </row>
    <row r="363" spans="2:17" x14ac:dyDescent="0.15">
      <c r="B363" s="356"/>
      <c r="C363" s="348" t="s">
        <v>327</v>
      </c>
      <c r="D363" s="355"/>
      <c r="E363" s="433"/>
      <c r="F363" s="433"/>
      <c r="G363" s="439"/>
      <c r="J363" s="344" t="str">
        <f t="shared" si="5"/>
        <v/>
      </c>
      <c r="P363" s="415"/>
      <c r="Q363" s="415"/>
    </row>
    <row r="364" spans="2:17" x14ac:dyDescent="0.15">
      <c r="B364" s="356"/>
      <c r="C364" s="348" t="s">
        <v>1013</v>
      </c>
      <c r="D364" s="355" t="s">
        <v>31</v>
      </c>
      <c r="E364" s="433"/>
      <c r="F364" s="433"/>
      <c r="G364" s="439"/>
      <c r="J364" s="344" t="str">
        <f t="shared" si="5"/>
        <v>×</v>
      </c>
      <c r="K364" s="350" t="str">
        <f>C364</f>
        <v xml:space="preserve">２　医療・臨床検査と情報システム </v>
      </c>
      <c r="L364" s="351"/>
      <c r="M364" s="351"/>
      <c r="N364" s="352"/>
      <c r="P364" s="415" t="str">
        <f>IF((COUNTIF(E364, "*医療・臨床検査と情報システム*"))=1,"〇","X")</f>
        <v>X</v>
      </c>
      <c r="Q364" s="415" t="str">
        <f>IF((COUNTIF(F364, "*医療・臨床検査と情報システム*"))=1,"〇","X")</f>
        <v>X</v>
      </c>
    </row>
    <row r="365" spans="2:17" x14ac:dyDescent="0.15">
      <c r="B365" s="356"/>
      <c r="C365" s="348" t="s">
        <v>328</v>
      </c>
      <c r="D365" s="355"/>
      <c r="E365" s="433"/>
      <c r="F365" s="433"/>
      <c r="G365" s="439"/>
      <c r="J365" s="344" t="str">
        <f t="shared" si="5"/>
        <v/>
      </c>
      <c r="P365" s="415"/>
      <c r="Q365" s="415"/>
    </row>
    <row r="366" spans="2:17" x14ac:dyDescent="0.15">
      <c r="B366" s="356"/>
      <c r="C366" s="348" t="s">
        <v>329</v>
      </c>
      <c r="D366" s="355"/>
      <c r="E366" s="433"/>
      <c r="F366" s="433"/>
      <c r="G366" s="439"/>
      <c r="J366" s="344" t="str">
        <f t="shared" si="5"/>
        <v/>
      </c>
      <c r="P366" s="415"/>
      <c r="Q366" s="415"/>
    </row>
    <row r="367" spans="2:17" x14ac:dyDescent="0.15">
      <c r="B367" s="356"/>
      <c r="C367" s="348" t="s">
        <v>330</v>
      </c>
      <c r="D367" s="355"/>
      <c r="E367" s="433"/>
      <c r="F367" s="433"/>
      <c r="G367" s="439"/>
      <c r="J367" s="344" t="str">
        <f t="shared" si="5"/>
        <v/>
      </c>
      <c r="P367" s="415"/>
      <c r="Q367" s="415"/>
    </row>
    <row r="368" spans="2:17" x14ac:dyDescent="0.15">
      <c r="B368" s="356"/>
      <c r="C368" s="348" t="s">
        <v>1014</v>
      </c>
      <c r="D368" s="355" t="s">
        <v>31</v>
      </c>
      <c r="E368" s="433"/>
      <c r="F368" s="433"/>
      <c r="G368" s="439"/>
      <c r="J368" s="344" t="str">
        <f t="shared" si="5"/>
        <v>×</v>
      </c>
      <c r="K368" s="350" t="str">
        <f>C368</f>
        <v>３　コンピュータネットワーク</v>
      </c>
      <c r="L368" s="351"/>
      <c r="M368" s="351"/>
      <c r="N368" s="352"/>
      <c r="P368" s="415" t="str">
        <f>IF((COUNTIF(E368, "*コンピュータネットワーク*"))=1,"〇","X")</f>
        <v>X</v>
      </c>
      <c r="Q368" s="415" t="str">
        <f>IF((COUNTIF(F368, "*コンピュータネットワーク*"))=1,"〇","X")</f>
        <v>X</v>
      </c>
    </row>
    <row r="369" spans="2:17" x14ac:dyDescent="0.15">
      <c r="B369" s="356"/>
      <c r="C369" s="348" t="s">
        <v>331</v>
      </c>
      <c r="D369" s="355"/>
      <c r="E369" s="433"/>
      <c r="F369" s="433"/>
      <c r="G369" s="439"/>
      <c r="J369" s="344" t="str">
        <f t="shared" si="5"/>
        <v/>
      </c>
      <c r="P369" s="415"/>
      <c r="Q369" s="415"/>
    </row>
    <row r="370" spans="2:17" x14ac:dyDescent="0.15">
      <c r="B370" s="356"/>
      <c r="C370" s="348" t="s">
        <v>332</v>
      </c>
      <c r="D370" s="355"/>
      <c r="E370" s="433"/>
      <c r="F370" s="433"/>
      <c r="G370" s="439"/>
      <c r="J370" s="344" t="str">
        <f t="shared" si="5"/>
        <v/>
      </c>
      <c r="P370" s="415"/>
      <c r="Q370" s="415"/>
    </row>
    <row r="371" spans="2:17" x14ac:dyDescent="0.15">
      <c r="B371" s="356"/>
      <c r="C371" s="348" t="s">
        <v>333</v>
      </c>
      <c r="D371" s="355"/>
      <c r="E371" s="433"/>
      <c r="F371" s="433"/>
      <c r="G371" s="439"/>
      <c r="J371" s="344" t="str">
        <f t="shared" si="5"/>
        <v/>
      </c>
      <c r="P371" s="415"/>
      <c r="Q371" s="415"/>
    </row>
    <row r="372" spans="2:17" x14ac:dyDescent="0.15">
      <c r="B372" s="356"/>
      <c r="C372" s="348" t="s">
        <v>1015</v>
      </c>
      <c r="D372" s="355" t="s">
        <v>31</v>
      </c>
      <c r="E372" s="433"/>
      <c r="F372" s="433"/>
      <c r="G372" s="439"/>
      <c r="J372" s="344" t="str">
        <f t="shared" si="5"/>
        <v>×</v>
      </c>
      <c r="K372" s="350" t="str">
        <f>C372</f>
        <v>４　医療情報倫理と医療情報危機管理</v>
      </c>
      <c r="L372" s="351"/>
      <c r="M372" s="351"/>
      <c r="N372" s="352"/>
      <c r="P372" s="415" t="str">
        <f>IF((COUNTIF(E372, "*医療情報倫理と医療情報危機管理*"))=1,"〇","X")</f>
        <v>X</v>
      </c>
      <c r="Q372" s="415" t="str">
        <f>IF((COUNTIF(F372, "*医療情報倫理と医療情報危機管理*"))=1,"〇","X")</f>
        <v>X</v>
      </c>
    </row>
    <row r="373" spans="2:17" x14ac:dyDescent="0.15">
      <c r="B373" s="356"/>
      <c r="C373" s="348" t="s">
        <v>334</v>
      </c>
      <c r="D373" s="357"/>
      <c r="E373" s="433"/>
      <c r="F373" s="433"/>
      <c r="G373" s="439"/>
      <c r="J373" s="344" t="str">
        <f t="shared" si="5"/>
        <v/>
      </c>
      <c r="P373" s="415"/>
      <c r="Q373" s="415"/>
    </row>
    <row r="374" spans="2:17" x14ac:dyDescent="0.15">
      <c r="B374" s="356"/>
      <c r="C374" s="348" t="s">
        <v>335</v>
      </c>
      <c r="D374" s="357"/>
      <c r="E374" s="433"/>
      <c r="F374" s="433"/>
      <c r="G374" s="439"/>
      <c r="J374" s="344" t="str">
        <f t="shared" si="5"/>
        <v/>
      </c>
      <c r="P374" s="415"/>
      <c r="Q374" s="415"/>
    </row>
    <row r="375" spans="2:17" ht="14.25" thickBot="1" x14ac:dyDescent="0.2">
      <c r="B375" s="359"/>
      <c r="C375" s="360" t="s">
        <v>336</v>
      </c>
      <c r="D375" s="361"/>
      <c r="E375" s="436"/>
      <c r="F375" s="436"/>
      <c r="G375" s="441"/>
      <c r="J375" s="344" t="str">
        <f t="shared" si="5"/>
        <v/>
      </c>
      <c r="P375" s="415"/>
      <c r="Q375" s="415"/>
    </row>
    <row r="376" spans="2:17" ht="14.25" thickBot="1" x14ac:dyDescent="0.2">
      <c r="E376" s="437"/>
      <c r="F376" s="437"/>
      <c r="G376" s="442"/>
      <c r="J376" s="344" t="str">
        <f t="shared" si="5"/>
        <v/>
      </c>
      <c r="P376" s="415"/>
      <c r="Q376" s="415"/>
    </row>
    <row r="377" spans="2:17" x14ac:dyDescent="0.15">
      <c r="B377" s="364" t="s">
        <v>337</v>
      </c>
      <c r="C377" s="365" t="s">
        <v>1016</v>
      </c>
      <c r="D377" s="366" t="s">
        <v>31</v>
      </c>
      <c r="E377" s="431"/>
      <c r="F377" s="431"/>
      <c r="G377" s="428"/>
      <c r="J377" s="344" t="str">
        <f t="shared" si="5"/>
        <v>×</v>
      </c>
      <c r="K377" s="350" t="str">
        <f>C377</f>
        <v>１　血液の成分と機能</v>
      </c>
      <c r="L377" s="351"/>
      <c r="M377" s="351"/>
      <c r="N377" s="352"/>
      <c r="P377" s="415" t="str">
        <f>IF((COUNTIF(E377, "*血液の成分と機能*"))=1,"〇","X")</f>
        <v>X</v>
      </c>
      <c r="Q377" s="415" t="str">
        <f>IF((COUNTIF(F377, "*血液の成分と機能*"))=1,"〇","X")</f>
        <v>X</v>
      </c>
    </row>
    <row r="378" spans="2:17" x14ac:dyDescent="0.15">
      <c r="B378" s="341"/>
      <c r="C378" s="348" t="s">
        <v>338</v>
      </c>
      <c r="D378" s="349"/>
      <c r="E378" s="433"/>
      <c r="F378" s="433"/>
      <c r="G378" s="439"/>
      <c r="J378" s="344" t="str">
        <f t="shared" si="5"/>
        <v/>
      </c>
      <c r="P378" s="415"/>
      <c r="Q378" s="415"/>
    </row>
    <row r="379" spans="2:17" x14ac:dyDescent="0.15">
      <c r="B379" s="341" t="s">
        <v>238</v>
      </c>
      <c r="C379" s="348" t="s">
        <v>339</v>
      </c>
      <c r="D379" s="349"/>
      <c r="E379" s="433"/>
      <c r="F379" s="433"/>
      <c r="G379" s="439"/>
      <c r="J379" s="344" t="str">
        <f t="shared" si="5"/>
        <v/>
      </c>
      <c r="P379" s="415"/>
      <c r="Q379" s="415"/>
    </row>
    <row r="380" spans="2:17" x14ac:dyDescent="0.15">
      <c r="B380" s="353"/>
      <c r="C380" s="348" t="s">
        <v>340</v>
      </c>
      <c r="D380" s="349"/>
      <c r="E380" s="433"/>
      <c r="F380" s="433"/>
      <c r="G380" s="439"/>
      <c r="J380" s="344" t="str">
        <f t="shared" si="5"/>
        <v/>
      </c>
      <c r="P380" s="415"/>
      <c r="Q380" s="415"/>
    </row>
    <row r="381" spans="2:17" x14ac:dyDescent="0.15">
      <c r="B381" s="574" t="s">
        <v>241</v>
      </c>
      <c r="C381" s="348" t="s">
        <v>341</v>
      </c>
      <c r="D381" s="349"/>
      <c r="E381" s="433"/>
      <c r="F381" s="433"/>
      <c r="G381" s="439"/>
      <c r="J381" s="344" t="str">
        <f t="shared" si="5"/>
        <v/>
      </c>
      <c r="P381" s="415"/>
      <c r="Q381" s="415"/>
    </row>
    <row r="382" spans="2:17" x14ac:dyDescent="0.15">
      <c r="B382" s="574"/>
      <c r="C382" s="348" t="s">
        <v>1017</v>
      </c>
      <c r="D382" s="349" t="s">
        <v>31</v>
      </c>
      <c r="E382" s="433"/>
      <c r="F382" s="433"/>
      <c r="G382" s="439"/>
      <c r="J382" s="344" t="str">
        <f t="shared" si="5"/>
        <v>×</v>
      </c>
      <c r="K382" s="350" t="str">
        <f>C382</f>
        <v>２　血液疾患と血液検査</v>
      </c>
      <c r="L382" s="351"/>
      <c r="M382" s="351"/>
      <c r="N382" s="352"/>
      <c r="P382" s="415" t="str">
        <f>IF((COUNTIF(E382, "*血液疾患と血液検査*"))=1,"〇","X")</f>
        <v>X</v>
      </c>
      <c r="Q382" s="415" t="str">
        <f>IF((COUNTIF(F382, "*血液疾患と血液検査*"))=1,"〇","X")</f>
        <v>X</v>
      </c>
    </row>
    <row r="383" spans="2:17" x14ac:dyDescent="0.15">
      <c r="B383" s="574"/>
      <c r="C383" s="348" t="s">
        <v>342</v>
      </c>
      <c r="D383" s="349"/>
      <c r="E383" s="433"/>
      <c r="F383" s="433"/>
      <c r="G383" s="439"/>
      <c r="J383" s="344" t="str">
        <f t="shared" si="5"/>
        <v/>
      </c>
      <c r="P383" s="415"/>
      <c r="Q383" s="415"/>
    </row>
    <row r="384" spans="2:17" ht="27" x14ac:dyDescent="0.15">
      <c r="B384" s="574"/>
      <c r="C384" s="348" t="s">
        <v>1122</v>
      </c>
      <c r="D384" s="349"/>
      <c r="E384" s="433"/>
      <c r="F384" s="433"/>
      <c r="G384" s="439"/>
      <c r="J384" s="344" t="str">
        <f t="shared" si="5"/>
        <v/>
      </c>
      <c r="P384" s="415"/>
      <c r="Q384" s="415"/>
    </row>
    <row r="385" spans="2:17" x14ac:dyDescent="0.15">
      <c r="B385" s="574"/>
      <c r="C385" s="348" t="s">
        <v>343</v>
      </c>
      <c r="D385" s="349"/>
      <c r="E385" s="433"/>
      <c r="F385" s="433"/>
      <c r="G385" s="439"/>
      <c r="J385" s="344" t="str">
        <f t="shared" si="5"/>
        <v/>
      </c>
      <c r="P385" s="415"/>
      <c r="Q385" s="415"/>
    </row>
    <row r="386" spans="2:17" x14ac:dyDescent="0.15">
      <c r="B386" s="574"/>
      <c r="C386" s="348" t="s">
        <v>344</v>
      </c>
      <c r="D386" s="349"/>
      <c r="E386" s="433"/>
      <c r="F386" s="433"/>
      <c r="G386" s="439"/>
      <c r="J386" s="344" t="str">
        <f t="shared" si="5"/>
        <v/>
      </c>
      <c r="P386" s="415"/>
      <c r="Q386" s="415"/>
    </row>
    <row r="387" spans="2:17" x14ac:dyDescent="0.15">
      <c r="B387" s="574"/>
      <c r="C387" s="348" t="s">
        <v>345</v>
      </c>
      <c r="D387" s="349"/>
      <c r="E387" s="433"/>
      <c r="F387" s="433"/>
      <c r="G387" s="439"/>
      <c r="J387" s="344" t="str">
        <f t="shared" si="5"/>
        <v/>
      </c>
      <c r="P387" s="415"/>
      <c r="Q387" s="415"/>
    </row>
    <row r="388" spans="2:17" x14ac:dyDescent="0.15">
      <c r="B388" s="574"/>
      <c r="C388" s="348" t="s">
        <v>346</v>
      </c>
      <c r="D388" s="349"/>
      <c r="E388" s="433"/>
      <c r="F388" s="433"/>
      <c r="G388" s="439"/>
      <c r="J388" s="344" t="str">
        <f t="shared" si="5"/>
        <v/>
      </c>
      <c r="P388" s="415"/>
      <c r="Q388" s="415"/>
    </row>
    <row r="389" spans="2:17" x14ac:dyDescent="0.15">
      <c r="B389" s="574"/>
      <c r="C389" s="348" t="s">
        <v>347</v>
      </c>
      <c r="D389" s="349"/>
      <c r="E389" s="433"/>
      <c r="F389" s="433"/>
      <c r="G389" s="439"/>
      <c r="J389" s="344" t="str">
        <f t="shared" si="5"/>
        <v/>
      </c>
      <c r="P389" s="415"/>
      <c r="Q389" s="415"/>
    </row>
    <row r="390" spans="2:17" x14ac:dyDescent="0.15">
      <c r="B390" s="574"/>
      <c r="C390" s="348" t="s">
        <v>348</v>
      </c>
      <c r="D390" s="349"/>
      <c r="E390" s="433"/>
      <c r="F390" s="433"/>
      <c r="G390" s="439"/>
      <c r="J390" s="344" t="str">
        <f t="shared" si="5"/>
        <v/>
      </c>
      <c r="P390" s="415"/>
      <c r="Q390" s="415"/>
    </row>
    <row r="391" spans="2:17" x14ac:dyDescent="0.15">
      <c r="B391" s="574"/>
      <c r="C391" s="348" t="s">
        <v>1018</v>
      </c>
      <c r="D391" s="349" t="s">
        <v>31</v>
      </c>
      <c r="E391" s="433"/>
      <c r="F391" s="433"/>
      <c r="G391" s="439"/>
      <c r="J391" s="344" t="str">
        <f t="shared" ref="J391:J454" si="6">IF(AND(OR(D391="◎",D391="◎※１"),OR(E391="",F391="",G391="")),"×","")</f>
        <v>×</v>
      </c>
      <c r="K391" s="350" t="str">
        <f>C391</f>
        <v>（９）血液疾患と遺伝子・染色体検査</v>
      </c>
      <c r="L391" s="351"/>
      <c r="M391" s="351"/>
      <c r="N391" s="352"/>
      <c r="P391" s="415" t="str">
        <f>IF((COUNTIF(E391, "*血液疾患と遺伝子・染色体検査*"))=1,"〇","X")</f>
        <v>X</v>
      </c>
      <c r="Q391" s="415" t="str">
        <f>IF((COUNTIF(F391, "*血液疾患と遺伝子・染色体検査*"))=1,"〇","X")</f>
        <v>X</v>
      </c>
    </row>
    <row r="392" spans="2:17" x14ac:dyDescent="0.15">
      <c r="B392" s="574"/>
      <c r="C392" s="348" t="s">
        <v>1019</v>
      </c>
      <c r="D392" s="349" t="s">
        <v>31</v>
      </c>
      <c r="E392" s="433"/>
      <c r="F392" s="433"/>
      <c r="G392" s="439"/>
      <c r="J392" s="344" t="str">
        <f t="shared" si="6"/>
        <v>×</v>
      </c>
      <c r="K392" s="350" t="str">
        <f>C392</f>
        <v>３　学内実習</v>
      </c>
      <c r="L392" s="351"/>
      <c r="M392" s="351"/>
      <c r="N392" s="352"/>
      <c r="P392" s="415" t="str">
        <f>IF((COUNTIF(E392, "*学内実習*"))=1,"〇","X")</f>
        <v>X</v>
      </c>
      <c r="Q392" s="415" t="str">
        <f>IF((COUNTIF(F392, "*学内実習*"))=1,"〇","X")</f>
        <v>X</v>
      </c>
    </row>
    <row r="393" spans="2:17" x14ac:dyDescent="0.15">
      <c r="B393" s="574"/>
      <c r="C393" s="348" t="s">
        <v>349</v>
      </c>
      <c r="D393" s="354"/>
      <c r="E393" s="433"/>
      <c r="F393" s="433"/>
      <c r="G393" s="439"/>
      <c r="J393" s="344" t="str">
        <f t="shared" si="6"/>
        <v/>
      </c>
      <c r="P393" s="415"/>
      <c r="Q393" s="415"/>
    </row>
    <row r="394" spans="2:17" x14ac:dyDescent="0.15">
      <c r="B394" s="574"/>
      <c r="C394" s="348" t="s">
        <v>350</v>
      </c>
      <c r="D394" s="354"/>
      <c r="E394" s="433"/>
      <c r="F394" s="433"/>
      <c r="G394" s="439"/>
      <c r="J394" s="344" t="str">
        <f t="shared" si="6"/>
        <v/>
      </c>
      <c r="P394" s="415"/>
      <c r="Q394" s="415"/>
    </row>
    <row r="395" spans="2:17" x14ac:dyDescent="0.15">
      <c r="B395" s="574"/>
      <c r="C395" s="348" t="s">
        <v>351</v>
      </c>
      <c r="D395" s="354"/>
      <c r="E395" s="433"/>
      <c r="F395" s="433"/>
      <c r="G395" s="439"/>
      <c r="J395" s="344" t="str">
        <f t="shared" si="6"/>
        <v/>
      </c>
      <c r="P395" s="415"/>
      <c r="Q395" s="415"/>
    </row>
    <row r="396" spans="2:17" x14ac:dyDescent="0.15">
      <c r="B396" s="574"/>
      <c r="C396" s="348" t="s">
        <v>352</v>
      </c>
      <c r="D396" s="354"/>
      <c r="E396" s="433"/>
      <c r="F396" s="433"/>
      <c r="G396" s="439"/>
      <c r="J396" s="344" t="str">
        <f t="shared" si="6"/>
        <v/>
      </c>
      <c r="P396" s="415"/>
      <c r="Q396" s="415"/>
    </row>
    <row r="397" spans="2:17" x14ac:dyDescent="0.15">
      <c r="B397" s="356"/>
      <c r="C397" s="348" t="s">
        <v>353</v>
      </c>
      <c r="D397" s="355"/>
      <c r="E397" s="433"/>
      <c r="F397" s="433"/>
      <c r="G397" s="439"/>
      <c r="J397" s="344" t="str">
        <f t="shared" si="6"/>
        <v/>
      </c>
      <c r="P397" s="415"/>
      <c r="Q397" s="415"/>
    </row>
    <row r="398" spans="2:17" x14ac:dyDescent="0.15">
      <c r="B398" s="356"/>
      <c r="C398" s="348" t="s">
        <v>354</v>
      </c>
      <c r="D398" s="355"/>
      <c r="E398" s="433"/>
      <c r="F398" s="433"/>
      <c r="G398" s="439"/>
      <c r="J398" s="344" t="str">
        <f t="shared" si="6"/>
        <v/>
      </c>
      <c r="P398" s="415"/>
      <c r="Q398" s="415"/>
    </row>
    <row r="399" spans="2:17" x14ac:dyDescent="0.15">
      <c r="B399" s="356"/>
      <c r="C399" s="348" t="s">
        <v>355</v>
      </c>
      <c r="D399" s="355"/>
      <c r="E399" s="433"/>
      <c r="F399" s="433"/>
      <c r="G399" s="439"/>
      <c r="J399" s="344" t="str">
        <f t="shared" si="6"/>
        <v/>
      </c>
      <c r="P399" s="415"/>
      <c r="Q399" s="415"/>
    </row>
    <row r="400" spans="2:17" x14ac:dyDescent="0.15">
      <c r="B400" s="356"/>
      <c r="C400" s="348" t="s">
        <v>356</v>
      </c>
      <c r="D400" s="355"/>
      <c r="E400" s="433"/>
      <c r="F400" s="433"/>
      <c r="G400" s="439"/>
      <c r="J400" s="344" t="str">
        <f t="shared" si="6"/>
        <v/>
      </c>
      <c r="P400" s="415"/>
      <c r="Q400" s="415"/>
    </row>
    <row r="401" spans="2:17" x14ac:dyDescent="0.15">
      <c r="B401" s="356"/>
      <c r="C401" s="348" t="s">
        <v>357</v>
      </c>
      <c r="D401" s="355"/>
      <c r="E401" s="433"/>
      <c r="F401" s="433"/>
      <c r="G401" s="439"/>
      <c r="J401" s="344" t="str">
        <f t="shared" si="6"/>
        <v/>
      </c>
      <c r="P401" s="415"/>
      <c r="Q401" s="415"/>
    </row>
    <row r="402" spans="2:17" x14ac:dyDescent="0.15">
      <c r="B402" s="356"/>
      <c r="C402" s="348" t="s">
        <v>358</v>
      </c>
      <c r="D402" s="355"/>
      <c r="E402" s="433"/>
      <c r="F402" s="433"/>
      <c r="G402" s="439"/>
      <c r="J402" s="344" t="str">
        <f t="shared" si="6"/>
        <v/>
      </c>
      <c r="P402" s="415"/>
      <c r="Q402" s="415"/>
    </row>
    <row r="403" spans="2:17" x14ac:dyDescent="0.15">
      <c r="B403" s="356"/>
      <c r="C403" s="348" t="s">
        <v>359</v>
      </c>
      <c r="D403" s="355"/>
      <c r="E403" s="433"/>
      <c r="F403" s="433"/>
      <c r="G403" s="439"/>
      <c r="J403" s="344" t="str">
        <f t="shared" si="6"/>
        <v/>
      </c>
      <c r="P403" s="415"/>
      <c r="Q403" s="415"/>
    </row>
    <row r="404" spans="2:17" x14ac:dyDescent="0.15">
      <c r="B404" s="356"/>
      <c r="C404" s="348" t="s">
        <v>360</v>
      </c>
      <c r="D404" s="355"/>
      <c r="E404" s="433"/>
      <c r="F404" s="433"/>
      <c r="G404" s="439"/>
      <c r="J404" s="344" t="str">
        <f t="shared" si="6"/>
        <v/>
      </c>
      <c r="P404" s="415"/>
      <c r="Q404" s="415"/>
    </row>
    <row r="405" spans="2:17" ht="27" x14ac:dyDescent="0.15">
      <c r="B405" s="356"/>
      <c r="C405" s="348" t="s">
        <v>895</v>
      </c>
      <c r="D405" s="355"/>
      <c r="E405" s="433"/>
      <c r="F405" s="433"/>
      <c r="G405" s="439"/>
      <c r="J405" s="344" t="str">
        <f t="shared" si="6"/>
        <v/>
      </c>
      <c r="P405" s="415"/>
      <c r="Q405" s="415"/>
    </row>
    <row r="406" spans="2:17" x14ac:dyDescent="0.15">
      <c r="B406" s="356"/>
      <c r="C406" s="348" t="s">
        <v>361</v>
      </c>
      <c r="D406" s="355" t="s">
        <v>31</v>
      </c>
      <c r="E406" s="433"/>
      <c r="F406" s="433"/>
      <c r="G406" s="439"/>
      <c r="J406" s="344" t="str">
        <f t="shared" si="6"/>
        <v>×</v>
      </c>
      <c r="K406" s="350" t="str">
        <f>C406</f>
        <v>（14）検査結果の解析と評価</v>
      </c>
      <c r="L406" s="351"/>
      <c r="M406" s="351"/>
      <c r="N406" s="352"/>
      <c r="P406" s="415" t="str">
        <f>IF((COUNTIF(E406, "*検査結果の解析と評価*"))=1,"〇","X")</f>
        <v>X</v>
      </c>
      <c r="Q406" s="415" t="str">
        <f>IF((COUNTIF(F406, "*検査結果の解析と評価*"))=1,"〇","X")</f>
        <v>X</v>
      </c>
    </row>
    <row r="407" spans="2:17" ht="14.25" thickBot="1" x14ac:dyDescent="0.2">
      <c r="B407" s="359"/>
      <c r="C407" s="360" t="s">
        <v>1020</v>
      </c>
      <c r="D407" s="367" t="s">
        <v>31</v>
      </c>
      <c r="E407" s="436"/>
      <c r="F407" s="436"/>
      <c r="G407" s="441"/>
      <c r="J407" s="344" t="str">
        <f t="shared" si="6"/>
        <v>×</v>
      </c>
      <c r="K407" s="350" t="str">
        <f>C407</f>
        <v>４　臨地実習＊</v>
      </c>
      <c r="L407" s="351"/>
      <c r="M407" s="351"/>
      <c r="N407" s="352"/>
      <c r="P407" s="415" t="str">
        <f>IF((COUNTIF(E407, "*臨地実習*"))=1,"〇","X")</f>
        <v>X</v>
      </c>
      <c r="Q407" s="415" t="str">
        <f>IF((COUNTIF(F407, "*臨地実習*"))=1,"〇","X")</f>
        <v>X</v>
      </c>
    </row>
    <row r="408" spans="2:17" ht="14.25" thickBot="1" x14ac:dyDescent="0.2">
      <c r="E408" s="437"/>
      <c r="F408" s="437"/>
      <c r="G408" s="427"/>
      <c r="J408" s="344" t="str">
        <f t="shared" si="6"/>
        <v/>
      </c>
      <c r="P408" s="415"/>
      <c r="Q408" s="415"/>
    </row>
    <row r="409" spans="2:17" ht="27" x14ac:dyDescent="0.15">
      <c r="B409" s="364" t="s">
        <v>362</v>
      </c>
      <c r="C409" s="365" t="s">
        <v>896</v>
      </c>
      <c r="D409" s="366" t="s">
        <v>31</v>
      </c>
      <c r="E409" s="431"/>
      <c r="F409" s="431"/>
      <c r="G409" s="443"/>
      <c r="J409" s="344" t="str">
        <f t="shared" si="6"/>
        <v>×</v>
      </c>
      <c r="K409" s="350" t="str">
        <f>C409</f>
        <v xml:space="preserve">１　組織検査・細胞診検査の意義と
　　検査法 </v>
      </c>
      <c r="L409" s="351"/>
      <c r="M409" s="351"/>
      <c r="N409" s="352"/>
      <c r="P409" s="415" t="str">
        <f>IF((COUNTIF(E409, "*組織検査・細胞診検査の意義と検査法 *"))=1,"〇","X")</f>
        <v>X</v>
      </c>
      <c r="Q409" s="415" t="str">
        <f>IF((COUNTIF(F409, "*組織検査・細胞診検査の意義と検査法 *"))=1,"〇","X")</f>
        <v>X</v>
      </c>
    </row>
    <row r="410" spans="2:17" x14ac:dyDescent="0.15">
      <c r="B410" s="341"/>
      <c r="C410" s="348" t="s">
        <v>363</v>
      </c>
      <c r="D410" s="349"/>
      <c r="E410" s="433"/>
      <c r="F410" s="433"/>
      <c r="G410" s="439"/>
      <c r="J410" s="344" t="str">
        <f t="shared" si="6"/>
        <v/>
      </c>
      <c r="P410" s="415"/>
      <c r="Q410" s="415"/>
    </row>
    <row r="411" spans="2:17" x14ac:dyDescent="0.15">
      <c r="B411" s="341" t="s">
        <v>364</v>
      </c>
      <c r="C411" s="348" t="s">
        <v>365</v>
      </c>
      <c r="D411" s="349"/>
      <c r="E411" s="433"/>
      <c r="F411" s="433"/>
      <c r="G411" s="439"/>
      <c r="J411" s="344" t="str">
        <f t="shared" si="6"/>
        <v/>
      </c>
      <c r="P411" s="415"/>
      <c r="Q411" s="415"/>
    </row>
    <row r="412" spans="2:17" x14ac:dyDescent="0.15">
      <c r="B412" s="353"/>
      <c r="C412" s="348" t="s">
        <v>366</v>
      </c>
      <c r="D412" s="349"/>
      <c r="E412" s="433"/>
      <c r="F412" s="433"/>
      <c r="G412" s="439"/>
      <c r="J412" s="344" t="str">
        <f t="shared" si="6"/>
        <v/>
      </c>
      <c r="P412" s="415"/>
      <c r="Q412" s="415"/>
    </row>
    <row r="413" spans="2:17" x14ac:dyDescent="0.15">
      <c r="B413" s="574" t="s">
        <v>241</v>
      </c>
      <c r="C413" s="348" t="s">
        <v>367</v>
      </c>
      <c r="D413" s="349" t="s">
        <v>31</v>
      </c>
      <c r="E413" s="433"/>
      <c r="F413" s="433"/>
      <c r="G413" s="439"/>
      <c r="J413" s="344" t="str">
        <f t="shared" si="6"/>
        <v>×</v>
      </c>
      <c r="K413" s="350" t="str">
        <f>C413</f>
        <v>（４）病理遺伝子解析の意義</v>
      </c>
      <c r="L413" s="351"/>
      <c r="M413" s="351"/>
      <c r="N413" s="352"/>
      <c r="P413" s="415" t="str">
        <f>IF((COUNTIF(E413, "*病理遺伝子解析の意義*"))=1,"〇","X")</f>
        <v>X</v>
      </c>
      <c r="Q413" s="415" t="str">
        <f>IF((COUNTIF(F413, "*病理遺伝子解析の意義*"))=1,"〇","X")</f>
        <v>X</v>
      </c>
    </row>
    <row r="414" spans="2:17" ht="27" x14ac:dyDescent="0.15">
      <c r="B414" s="574"/>
      <c r="C414" s="348" t="s">
        <v>897</v>
      </c>
      <c r="D414" s="349"/>
      <c r="E414" s="433"/>
      <c r="F414" s="433"/>
      <c r="G414" s="439"/>
      <c r="J414" s="344" t="str">
        <f t="shared" si="6"/>
        <v/>
      </c>
      <c r="P414" s="415"/>
      <c r="Q414" s="415"/>
    </row>
    <row r="415" spans="2:17" x14ac:dyDescent="0.15">
      <c r="B415" s="574"/>
      <c r="C415" s="348" t="s">
        <v>368</v>
      </c>
      <c r="D415" s="349"/>
      <c r="E415" s="433"/>
      <c r="F415" s="433"/>
      <c r="G415" s="439"/>
      <c r="J415" s="344" t="str">
        <f t="shared" si="6"/>
        <v/>
      </c>
      <c r="P415" s="415"/>
      <c r="Q415" s="415"/>
    </row>
    <row r="416" spans="2:17" x14ac:dyDescent="0.15">
      <c r="B416" s="574"/>
      <c r="C416" s="348" t="s">
        <v>1021</v>
      </c>
      <c r="D416" s="349" t="s">
        <v>31</v>
      </c>
      <c r="E416" s="433"/>
      <c r="F416" s="433"/>
      <c r="G416" s="439"/>
      <c r="J416" s="344" t="str">
        <f t="shared" si="6"/>
        <v>×</v>
      </c>
      <c r="K416" s="350" t="str">
        <f>C416</f>
        <v>２　組織検査法　</v>
      </c>
      <c r="L416" s="351"/>
      <c r="M416" s="351"/>
      <c r="N416" s="352"/>
      <c r="P416" s="415" t="str">
        <f>IF((COUNTIF(E416, "*組織検査法*"))=1,"〇","X")</f>
        <v>X</v>
      </c>
      <c r="Q416" s="415" t="str">
        <f>IF((COUNTIF(F416, "*組織検査法*"))=1,"〇","X")</f>
        <v>X</v>
      </c>
    </row>
    <row r="417" spans="2:17" x14ac:dyDescent="0.15">
      <c r="B417" s="574"/>
      <c r="C417" s="348" t="s">
        <v>369</v>
      </c>
      <c r="D417" s="349"/>
      <c r="E417" s="433"/>
      <c r="F417" s="433"/>
      <c r="G417" s="439"/>
      <c r="J417" s="344" t="str">
        <f t="shared" si="6"/>
        <v/>
      </c>
      <c r="P417" s="415"/>
      <c r="Q417" s="415"/>
    </row>
    <row r="418" spans="2:17" ht="27" x14ac:dyDescent="0.15">
      <c r="B418" s="574"/>
      <c r="C418" s="348" t="s">
        <v>898</v>
      </c>
      <c r="D418" s="349"/>
      <c r="E418" s="433"/>
      <c r="F418" s="433"/>
      <c r="G418" s="439"/>
      <c r="J418" s="344" t="str">
        <f t="shared" si="6"/>
        <v/>
      </c>
      <c r="P418" s="415"/>
      <c r="Q418" s="415"/>
    </row>
    <row r="419" spans="2:17" x14ac:dyDescent="0.15">
      <c r="B419" s="574"/>
      <c r="C419" s="348" t="s">
        <v>370</v>
      </c>
      <c r="D419" s="349"/>
      <c r="E419" s="433"/>
      <c r="F419" s="433"/>
      <c r="G419" s="439"/>
      <c r="J419" s="344" t="str">
        <f t="shared" si="6"/>
        <v/>
      </c>
      <c r="P419" s="415"/>
      <c r="Q419" s="415"/>
    </row>
    <row r="420" spans="2:17" ht="27" x14ac:dyDescent="0.15">
      <c r="B420" s="574"/>
      <c r="C420" s="348" t="s">
        <v>899</v>
      </c>
      <c r="D420" s="349"/>
      <c r="E420" s="433"/>
      <c r="F420" s="433"/>
      <c r="G420" s="439"/>
      <c r="J420" s="344" t="str">
        <f t="shared" si="6"/>
        <v/>
      </c>
      <c r="P420" s="415"/>
      <c r="Q420" s="415"/>
    </row>
    <row r="421" spans="2:17" x14ac:dyDescent="0.15">
      <c r="B421" s="574"/>
      <c r="C421" s="348" t="s">
        <v>371</v>
      </c>
      <c r="D421" s="349"/>
      <c r="E421" s="433"/>
      <c r="F421" s="433"/>
      <c r="G421" s="439"/>
      <c r="J421" s="344" t="str">
        <f t="shared" si="6"/>
        <v/>
      </c>
      <c r="P421" s="415"/>
      <c r="Q421" s="415"/>
    </row>
    <row r="422" spans="2:17" x14ac:dyDescent="0.15">
      <c r="B422" s="574"/>
      <c r="C422" s="348" t="s">
        <v>372</v>
      </c>
      <c r="D422" s="349"/>
      <c r="E422" s="433"/>
      <c r="F422" s="433"/>
      <c r="G422" s="439"/>
      <c r="J422" s="344" t="str">
        <f t="shared" si="6"/>
        <v/>
      </c>
      <c r="P422" s="415"/>
      <c r="Q422" s="415"/>
    </row>
    <row r="423" spans="2:17" x14ac:dyDescent="0.15">
      <c r="B423" s="574"/>
      <c r="C423" s="348" t="s">
        <v>373</v>
      </c>
      <c r="D423" s="349"/>
      <c r="E423" s="433"/>
      <c r="F423" s="433"/>
      <c r="G423" s="439"/>
      <c r="J423" s="344" t="str">
        <f t="shared" si="6"/>
        <v/>
      </c>
      <c r="P423" s="415"/>
      <c r="Q423" s="415"/>
    </row>
    <row r="424" spans="2:17" x14ac:dyDescent="0.15">
      <c r="B424" s="574"/>
      <c r="C424" s="348" t="s">
        <v>374</v>
      </c>
      <c r="D424" s="349"/>
      <c r="E424" s="433"/>
      <c r="F424" s="433"/>
      <c r="G424" s="439"/>
      <c r="J424" s="344" t="str">
        <f t="shared" si="6"/>
        <v/>
      </c>
      <c r="P424" s="415"/>
      <c r="Q424" s="415"/>
    </row>
    <row r="425" spans="2:17" x14ac:dyDescent="0.15">
      <c r="B425" s="574"/>
      <c r="C425" s="348" t="s">
        <v>1022</v>
      </c>
      <c r="D425" s="354" t="s">
        <v>31</v>
      </c>
      <c r="E425" s="433"/>
      <c r="F425" s="433"/>
      <c r="G425" s="439"/>
      <c r="J425" s="344" t="str">
        <f t="shared" si="6"/>
        <v>×</v>
      </c>
      <c r="K425" s="350" t="str">
        <f>C425</f>
        <v>３　細胞診検査法　</v>
      </c>
      <c r="L425" s="351"/>
      <c r="M425" s="351"/>
      <c r="N425" s="352"/>
      <c r="P425" s="415" t="str">
        <f>IF((COUNTIF(E425, "*細胞診検査法*"))=1,"〇","X")</f>
        <v>X</v>
      </c>
      <c r="Q425" s="415" t="str">
        <f>IF((COUNTIF(F425, "*細胞診検査法*"))=1,"〇","X")</f>
        <v>X</v>
      </c>
    </row>
    <row r="426" spans="2:17" x14ac:dyDescent="0.15">
      <c r="B426" s="574"/>
      <c r="C426" s="348" t="s">
        <v>375</v>
      </c>
      <c r="D426" s="354"/>
      <c r="E426" s="433"/>
      <c r="F426" s="433"/>
      <c r="G426" s="439"/>
      <c r="J426" s="344" t="str">
        <f t="shared" si="6"/>
        <v/>
      </c>
      <c r="P426" s="415"/>
      <c r="Q426" s="415"/>
    </row>
    <row r="427" spans="2:17" x14ac:dyDescent="0.15">
      <c r="B427" s="574"/>
      <c r="C427" s="348" t="s">
        <v>376</v>
      </c>
      <c r="D427" s="354"/>
      <c r="E427" s="433"/>
      <c r="F427" s="433"/>
      <c r="G427" s="439"/>
      <c r="J427" s="344" t="str">
        <f t="shared" si="6"/>
        <v/>
      </c>
      <c r="P427" s="415"/>
      <c r="Q427" s="415"/>
    </row>
    <row r="428" spans="2:17" x14ac:dyDescent="0.15">
      <c r="B428" s="574"/>
      <c r="C428" s="348" t="s">
        <v>377</v>
      </c>
      <c r="D428" s="354"/>
      <c r="E428" s="433"/>
      <c r="F428" s="433"/>
      <c r="G428" s="439"/>
      <c r="J428" s="344" t="str">
        <f t="shared" si="6"/>
        <v/>
      </c>
      <c r="P428" s="415"/>
      <c r="Q428" s="415"/>
    </row>
    <row r="429" spans="2:17" x14ac:dyDescent="0.15">
      <c r="B429" s="356"/>
      <c r="C429" s="348" t="s">
        <v>378</v>
      </c>
      <c r="D429" s="355"/>
      <c r="E429" s="433"/>
      <c r="F429" s="433"/>
      <c r="G429" s="439"/>
      <c r="J429" s="344" t="str">
        <f t="shared" si="6"/>
        <v/>
      </c>
      <c r="P429" s="415"/>
      <c r="Q429" s="415"/>
    </row>
    <row r="430" spans="2:17" x14ac:dyDescent="0.15">
      <c r="B430" s="356"/>
      <c r="C430" s="348" t="s">
        <v>379</v>
      </c>
      <c r="D430" s="355"/>
      <c r="E430" s="433"/>
      <c r="F430" s="433"/>
      <c r="G430" s="439"/>
      <c r="J430" s="344" t="str">
        <f t="shared" si="6"/>
        <v/>
      </c>
      <c r="P430" s="415"/>
      <c r="Q430" s="415"/>
    </row>
    <row r="431" spans="2:17" x14ac:dyDescent="0.15">
      <c r="B431" s="356"/>
      <c r="C431" s="348" t="s">
        <v>1023</v>
      </c>
      <c r="D431" s="355" t="s">
        <v>31</v>
      </c>
      <c r="E431" s="433"/>
      <c r="F431" s="433"/>
      <c r="G431" s="439"/>
      <c r="J431" s="344" t="str">
        <f t="shared" si="6"/>
        <v>×</v>
      </c>
      <c r="K431" s="350" t="str">
        <f>C431</f>
        <v>４　学内実習(組織検査)</v>
      </c>
      <c r="L431" s="351"/>
      <c r="M431" s="351"/>
      <c r="N431" s="352"/>
      <c r="P431" s="415" t="str">
        <f>IF((COUNTIF(E431, "*学内実習(組織検査)*"))=1,"〇","X")</f>
        <v>X</v>
      </c>
      <c r="Q431" s="415" t="str">
        <f>IF((COUNTIF(F431, "*学内実習(組織検査)*"))=1,"〇","X")</f>
        <v>X</v>
      </c>
    </row>
    <row r="432" spans="2:17" ht="27" x14ac:dyDescent="0.15">
      <c r="B432" s="356"/>
      <c r="C432" s="348" t="s">
        <v>900</v>
      </c>
      <c r="D432" s="355"/>
      <c r="E432" s="433"/>
      <c r="F432" s="433"/>
      <c r="G432" s="439"/>
      <c r="J432" s="344" t="str">
        <f t="shared" si="6"/>
        <v/>
      </c>
      <c r="P432" s="415"/>
      <c r="Q432" s="415"/>
    </row>
    <row r="433" spans="2:17" x14ac:dyDescent="0.15">
      <c r="B433" s="356"/>
      <c r="C433" s="348" t="s">
        <v>380</v>
      </c>
      <c r="D433" s="355"/>
      <c r="E433" s="433"/>
      <c r="F433" s="433"/>
      <c r="G433" s="439"/>
      <c r="J433" s="344" t="str">
        <f t="shared" si="6"/>
        <v/>
      </c>
      <c r="P433" s="415"/>
      <c r="Q433" s="415"/>
    </row>
    <row r="434" spans="2:17" x14ac:dyDescent="0.15">
      <c r="B434" s="356"/>
      <c r="C434" s="348" t="s">
        <v>381</v>
      </c>
      <c r="D434" s="355"/>
      <c r="E434" s="433"/>
      <c r="F434" s="433"/>
      <c r="G434" s="439"/>
      <c r="J434" s="344" t="str">
        <f t="shared" si="6"/>
        <v/>
      </c>
      <c r="P434" s="415"/>
      <c r="Q434" s="415"/>
    </row>
    <row r="435" spans="2:17" x14ac:dyDescent="0.15">
      <c r="B435" s="356"/>
      <c r="C435" s="348" t="s">
        <v>382</v>
      </c>
      <c r="D435" s="355"/>
      <c r="E435" s="433"/>
      <c r="F435" s="433"/>
      <c r="G435" s="439"/>
      <c r="J435" s="344" t="str">
        <f t="shared" si="6"/>
        <v/>
      </c>
      <c r="P435" s="415"/>
      <c r="Q435" s="415"/>
    </row>
    <row r="436" spans="2:17" ht="27" x14ac:dyDescent="0.15">
      <c r="B436" s="356"/>
      <c r="C436" s="348" t="s">
        <v>901</v>
      </c>
      <c r="D436" s="355"/>
      <c r="E436" s="433"/>
      <c r="F436" s="433"/>
      <c r="G436" s="439"/>
      <c r="J436" s="344" t="str">
        <f t="shared" si="6"/>
        <v/>
      </c>
      <c r="P436" s="415"/>
      <c r="Q436" s="415"/>
    </row>
    <row r="437" spans="2:17" ht="27" x14ac:dyDescent="0.15">
      <c r="B437" s="356"/>
      <c r="C437" s="348" t="s">
        <v>902</v>
      </c>
      <c r="D437" s="355"/>
      <c r="E437" s="433"/>
      <c r="F437" s="433"/>
      <c r="G437" s="439"/>
      <c r="J437" s="344" t="str">
        <f t="shared" si="6"/>
        <v/>
      </c>
      <c r="P437" s="415"/>
      <c r="Q437" s="415"/>
    </row>
    <row r="438" spans="2:17" x14ac:dyDescent="0.15">
      <c r="B438" s="356"/>
      <c r="C438" s="348" t="s">
        <v>383</v>
      </c>
      <c r="D438" s="355"/>
      <c r="E438" s="433"/>
      <c r="F438" s="433"/>
      <c r="G438" s="439"/>
      <c r="J438" s="344" t="str">
        <f t="shared" si="6"/>
        <v/>
      </c>
      <c r="P438" s="415"/>
      <c r="Q438" s="415"/>
    </row>
    <row r="439" spans="2:17" x14ac:dyDescent="0.15">
      <c r="B439" s="356"/>
      <c r="C439" s="348" t="s">
        <v>384</v>
      </c>
      <c r="D439" s="355" t="s">
        <v>195</v>
      </c>
      <c r="E439" s="433"/>
      <c r="F439" s="433"/>
      <c r="G439" s="439"/>
      <c r="J439" s="344" t="str">
        <f t="shared" si="6"/>
        <v>×</v>
      </c>
      <c r="K439" s="350" t="str">
        <f>C439</f>
        <v>（８）検査結果の解析と評価</v>
      </c>
      <c r="L439" s="351"/>
      <c r="M439" s="351"/>
      <c r="N439" s="352"/>
      <c r="P439" s="415" t="str">
        <f>IF((COUNTIF(E439, "*検査結果の解析と評価*"))=1,"〇","X")</f>
        <v>X</v>
      </c>
      <c r="Q439" s="415" t="str">
        <f>IF((COUNTIF(F439, "*検査結果の解析と評価*"))=1,"〇","X")</f>
        <v>X</v>
      </c>
    </row>
    <row r="440" spans="2:17" x14ac:dyDescent="0.15">
      <c r="B440" s="356"/>
      <c r="C440" s="348" t="s">
        <v>1024</v>
      </c>
      <c r="D440" s="355" t="s">
        <v>31</v>
      </c>
      <c r="E440" s="433"/>
      <c r="F440" s="433"/>
      <c r="G440" s="439"/>
      <c r="J440" s="344" t="str">
        <f t="shared" si="6"/>
        <v>×</v>
      </c>
      <c r="K440" s="350" t="str">
        <f>C440</f>
        <v>５　学内実習(細胞診検査)</v>
      </c>
      <c r="L440" s="351"/>
      <c r="M440" s="351"/>
      <c r="N440" s="352"/>
      <c r="P440" s="415" t="str">
        <f>IF((COUNTIF(E440, "*学内実習(細胞診検査)*"))=1,"〇","X")</f>
        <v>X</v>
      </c>
      <c r="Q440" s="415" t="str">
        <f>IF((COUNTIF(F440, "*学内実習(細胞診検査)*"))=1,"〇","X")</f>
        <v>X</v>
      </c>
    </row>
    <row r="441" spans="2:17" x14ac:dyDescent="0.15">
      <c r="B441" s="356"/>
      <c r="C441" s="348" t="s">
        <v>385</v>
      </c>
      <c r="D441" s="355" t="s">
        <v>31</v>
      </c>
      <c r="E441" s="433"/>
      <c r="F441" s="433"/>
      <c r="G441" s="439"/>
      <c r="J441" s="344" t="str">
        <f t="shared" si="6"/>
        <v>×</v>
      </c>
      <c r="K441" s="350" t="str">
        <f>C441</f>
        <v>（１）検体の観察と処理・保存</v>
      </c>
      <c r="L441" s="351"/>
      <c r="M441" s="351"/>
      <c r="N441" s="352"/>
      <c r="P441" s="415" t="str">
        <f>IF((COUNTIF(E441, "*検体の観察と処理・保存*"))=1,"〇","X")</f>
        <v>X</v>
      </c>
      <c r="Q441" s="415" t="str">
        <f>IF((COUNTIF(F441, "*検体の観察と処理・保存*"))=1,"〇","X")</f>
        <v>X</v>
      </c>
    </row>
    <row r="442" spans="2:17" x14ac:dyDescent="0.15">
      <c r="B442" s="356"/>
      <c r="C442" s="348" t="s">
        <v>386</v>
      </c>
      <c r="D442" s="368"/>
      <c r="E442" s="433"/>
      <c r="F442" s="433"/>
      <c r="G442" s="439"/>
      <c r="J442" s="344" t="str">
        <f t="shared" si="6"/>
        <v/>
      </c>
      <c r="P442" s="415"/>
      <c r="Q442" s="415"/>
    </row>
    <row r="443" spans="2:17" x14ac:dyDescent="0.15">
      <c r="B443" s="356"/>
      <c r="C443" s="348" t="s">
        <v>387</v>
      </c>
      <c r="D443" s="355"/>
      <c r="E443" s="433"/>
      <c r="F443" s="433"/>
      <c r="G443" s="439"/>
      <c r="J443" s="344" t="str">
        <f t="shared" si="6"/>
        <v/>
      </c>
      <c r="P443" s="415"/>
      <c r="Q443" s="415"/>
    </row>
    <row r="444" spans="2:17" x14ac:dyDescent="0.15">
      <c r="B444" s="356"/>
      <c r="C444" s="348" t="s">
        <v>388</v>
      </c>
      <c r="D444" s="355"/>
      <c r="E444" s="433"/>
      <c r="F444" s="433"/>
      <c r="G444" s="439"/>
      <c r="J444" s="344" t="str">
        <f t="shared" si="6"/>
        <v/>
      </c>
      <c r="P444" s="415"/>
      <c r="Q444" s="415"/>
    </row>
    <row r="445" spans="2:17" x14ac:dyDescent="0.15">
      <c r="B445" s="356"/>
      <c r="C445" s="348" t="s">
        <v>389</v>
      </c>
      <c r="D445" s="355" t="s">
        <v>195</v>
      </c>
      <c r="E445" s="433"/>
      <c r="F445" s="433"/>
      <c r="G445" s="439"/>
      <c r="J445" s="344" t="str">
        <f t="shared" si="6"/>
        <v>×</v>
      </c>
      <c r="K445" s="350" t="str">
        <f>C445</f>
        <v>（５）検査結果の解析と評価</v>
      </c>
      <c r="L445" s="351"/>
      <c r="M445" s="351"/>
      <c r="N445" s="352"/>
      <c r="P445" s="415" t="str">
        <f>IF((COUNTIF(E445, "*検査結果の解析と評価*"))=1,"〇","X")</f>
        <v>X</v>
      </c>
      <c r="Q445" s="415" t="str">
        <f>IF((COUNTIF(F445, "*検査結果の解析と評価*"))=1,"〇","X")</f>
        <v>X</v>
      </c>
    </row>
    <row r="446" spans="2:17" ht="14.25" thickBot="1" x14ac:dyDescent="0.2">
      <c r="B446" s="359"/>
      <c r="C446" s="360" t="s">
        <v>824</v>
      </c>
      <c r="D446" s="367" t="s">
        <v>31</v>
      </c>
      <c r="E446" s="436"/>
      <c r="F446" s="436"/>
      <c r="G446" s="441"/>
      <c r="J446" s="344" t="str">
        <f t="shared" si="6"/>
        <v>×</v>
      </c>
      <c r="K446" s="350" t="str">
        <f>C446</f>
        <v>６　臨地実習＊</v>
      </c>
      <c r="L446" s="351"/>
      <c r="M446" s="351"/>
      <c r="N446" s="352"/>
      <c r="P446" s="415" t="str">
        <f>IF((COUNTIF(E446, "*臨地実習*"))=1,"〇","X")</f>
        <v>X</v>
      </c>
      <c r="Q446" s="415" t="str">
        <f>IF((COUNTIF(F446, "*臨地実習*"))=1,"〇","X")</f>
        <v>X</v>
      </c>
    </row>
    <row r="447" spans="2:17" ht="14.25" thickBot="1" x14ac:dyDescent="0.2">
      <c r="E447" s="437"/>
      <c r="F447" s="437"/>
      <c r="G447" s="427"/>
      <c r="J447" s="344" t="str">
        <f t="shared" si="6"/>
        <v/>
      </c>
      <c r="P447" s="415"/>
      <c r="Q447" s="415"/>
    </row>
    <row r="448" spans="2:17" ht="27" x14ac:dyDescent="0.15">
      <c r="B448" s="369" t="s">
        <v>391</v>
      </c>
      <c r="C448" s="365" t="s">
        <v>392</v>
      </c>
      <c r="D448" s="366" t="s">
        <v>31</v>
      </c>
      <c r="E448" s="431"/>
      <c r="F448" s="431"/>
      <c r="G448" s="443"/>
      <c r="J448" s="344" t="str">
        <f t="shared" si="6"/>
        <v>×</v>
      </c>
      <c r="K448" s="350" t="str">
        <f>C448</f>
        <v>Ⅰ　尿・糞便など一般検査</v>
      </c>
      <c r="L448" s="351"/>
      <c r="M448" s="351"/>
      <c r="N448" s="352"/>
      <c r="P448" s="415" t="str">
        <f>IF((COUNTIF(E448, "*尿・糞便など一般検査*"))=1,"〇","X")</f>
        <v>X</v>
      </c>
      <c r="Q448" s="415" t="str">
        <f>IF((COUNTIF(F448, "*尿・糞便など一般検査*"))=1,"〇","X")</f>
        <v>X</v>
      </c>
    </row>
    <row r="449" spans="2:17" x14ac:dyDescent="0.15">
      <c r="B449" s="341"/>
      <c r="C449" s="348" t="s">
        <v>1025</v>
      </c>
      <c r="D449" s="349" t="s">
        <v>31</v>
      </c>
      <c r="E449" s="433"/>
      <c r="F449" s="433"/>
      <c r="G449" s="439"/>
      <c r="J449" s="344" t="str">
        <f t="shared" si="6"/>
        <v>×</v>
      </c>
      <c r="K449" s="350" t="str">
        <f>C449</f>
        <v>１　尿検査</v>
      </c>
      <c r="L449" s="351"/>
      <c r="M449" s="351"/>
      <c r="N449" s="352"/>
      <c r="P449" s="415" t="str">
        <f>IF((COUNTIF(E449, "*尿検査*"))=1,"〇","X")</f>
        <v>X</v>
      </c>
      <c r="Q449" s="415" t="str">
        <f>IF((COUNTIF(F449, "*尿検査*"))=1,"〇","X")</f>
        <v>X</v>
      </c>
    </row>
    <row r="450" spans="2:17" x14ac:dyDescent="0.15">
      <c r="B450" s="341" t="s">
        <v>393</v>
      </c>
      <c r="C450" s="348" t="s">
        <v>394</v>
      </c>
      <c r="D450" s="349"/>
      <c r="E450" s="433"/>
      <c r="F450" s="433"/>
      <c r="G450" s="439"/>
      <c r="J450" s="344" t="str">
        <f t="shared" si="6"/>
        <v/>
      </c>
      <c r="P450" s="415"/>
      <c r="Q450" s="415"/>
    </row>
    <row r="451" spans="2:17" x14ac:dyDescent="0.15">
      <c r="B451" s="353"/>
      <c r="C451" s="348" t="s">
        <v>395</v>
      </c>
      <c r="D451" s="349"/>
      <c r="E451" s="433"/>
      <c r="F451" s="433"/>
      <c r="G451" s="439"/>
      <c r="J451" s="344" t="str">
        <f t="shared" si="6"/>
        <v/>
      </c>
      <c r="P451" s="415"/>
      <c r="Q451" s="415"/>
    </row>
    <row r="452" spans="2:17" x14ac:dyDescent="0.15">
      <c r="B452" s="574" t="s">
        <v>241</v>
      </c>
      <c r="C452" s="348" t="s">
        <v>396</v>
      </c>
      <c r="D452" s="349"/>
      <c r="E452" s="433"/>
      <c r="F452" s="433"/>
      <c r="G452" s="439"/>
      <c r="J452" s="344" t="str">
        <f t="shared" si="6"/>
        <v/>
      </c>
      <c r="P452" s="415"/>
      <c r="Q452" s="415"/>
    </row>
    <row r="453" spans="2:17" x14ac:dyDescent="0.15">
      <c r="B453" s="574"/>
      <c r="C453" s="348" t="s">
        <v>397</v>
      </c>
      <c r="D453" s="349"/>
      <c r="E453" s="433"/>
      <c r="F453" s="433"/>
      <c r="G453" s="439"/>
      <c r="J453" s="344" t="str">
        <f t="shared" si="6"/>
        <v/>
      </c>
      <c r="P453" s="415"/>
      <c r="Q453" s="415"/>
    </row>
    <row r="454" spans="2:17" x14ac:dyDescent="0.15">
      <c r="B454" s="574"/>
      <c r="C454" s="348" t="s">
        <v>398</v>
      </c>
      <c r="D454" s="349"/>
      <c r="E454" s="433"/>
      <c r="F454" s="433"/>
      <c r="G454" s="439"/>
      <c r="J454" s="344" t="str">
        <f t="shared" si="6"/>
        <v/>
      </c>
      <c r="P454" s="415"/>
      <c r="Q454" s="415"/>
    </row>
    <row r="455" spans="2:17" x14ac:dyDescent="0.15">
      <c r="B455" s="574"/>
      <c r="C455" s="348" t="s">
        <v>399</v>
      </c>
      <c r="D455" s="349"/>
      <c r="E455" s="433"/>
      <c r="F455" s="433"/>
      <c r="G455" s="439"/>
      <c r="J455" s="344" t="str">
        <f t="shared" ref="J455:J518" si="7">IF(AND(OR(D455="◎",D455="◎※１"),OR(E455="",F455="",G455="")),"×","")</f>
        <v/>
      </c>
      <c r="P455" s="415"/>
      <c r="Q455" s="415"/>
    </row>
    <row r="456" spans="2:17" x14ac:dyDescent="0.15">
      <c r="B456" s="574"/>
      <c r="C456" s="348" t="s">
        <v>1026</v>
      </c>
      <c r="D456" s="349" t="s">
        <v>31</v>
      </c>
      <c r="E456" s="433"/>
      <c r="F456" s="433"/>
      <c r="G456" s="439"/>
      <c r="J456" s="344" t="str">
        <f t="shared" si="7"/>
        <v>×</v>
      </c>
      <c r="K456" s="350" t="str">
        <f>C456</f>
        <v>２　脳脊髄液検査</v>
      </c>
      <c r="L456" s="351"/>
      <c r="M456" s="351"/>
      <c r="N456" s="352"/>
      <c r="P456" s="415" t="str">
        <f>IF((COUNTIF(E456, "*脳脊髄液検査*"))=1,"〇","X")</f>
        <v>X</v>
      </c>
      <c r="Q456" s="415" t="str">
        <f>IF((COUNTIF(F456, "*脳脊髄液検査*"))=1,"〇","X")</f>
        <v>X</v>
      </c>
    </row>
    <row r="457" spans="2:17" x14ac:dyDescent="0.15">
      <c r="B457" s="574"/>
      <c r="C457" s="348" t="s">
        <v>400</v>
      </c>
      <c r="D457" s="349"/>
      <c r="E457" s="433"/>
      <c r="F457" s="433"/>
      <c r="G457" s="439"/>
      <c r="J457" s="344" t="str">
        <f t="shared" si="7"/>
        <v/>
      </c>
      <c r="P457" s="415"/>
      <c r="Q457" s="415"/>
    </row>
    <row r="458" spans="2:17" x14ac:dyDescent="0.15">
      <c r="B458" s="574"/>
      <c r="C458" s="348" t="s">
        <v>401</v>
      </c>
      <c r="D458" s="349"/>
      <c r="E458" s="433"/>
      <c r="F458" s="433"/>
      <c r="G458" s="439"/>
      <c r="J458" s="344" t="str">
        <f t="shared" si="7"/>
        <v/>
      </c>
      <c r="P458" s="415"/>
      <c r="Q458" s="415"/>
    </row>
    <row r="459" spans="2:17" x14ac:dyDescent="0.15">
      <c r="B459" s="574"/>
      <c r="C459" s="348" t="s">
        <v>402</v>
      </c>
      <c r="D459" s="349"/>
      <c r="E459" s="433"/>
      <c r="F459" s="433"/>
      <c r="G459" s="439"/>
      <c r="J459" s="344" t="str">
        <f t="shared" si="7"/>
        <v/>
      </c>
      <c r="P459" s="415"/>
      <c r="Q459" s="415"/>
    </row>
    <row r="460" spans="2:17" x14ac:dyDescent="0.15">
      <c r="B460" s="574"/>
      <c r="C460" s="348" t="s">
        <v>403</v>
      </c>
      <c r="D460" s="349"/>
      <c r="E460" s="433"/>
      <c r="F460" s="433"/>
      <c r="G460" s="439"/>
      <c r="J460" s="344" t="str">
        <f t="shared" si="7"/>
        <v/>
      </c>
      <c r="P460" s="415"/>
      <c r="Q460" s="415"/>
    </row>
    <row r="461" spans="2:17" x14ac:dyDescent="0.15">
      <c r="B461" s="574"/>
      <c r="C461" s="348" t="s">
        <v>1027</v>
      </c>
      <c r="D461" s="349" t="s">
        <v>31</v>
      </c>
      <c r="E461" s="433"/>
      <c r="F461" s="433"/>
      <c r="G461" s="439"/>
      <c r="J461" s="344" t="str">
        <f t="shared" si="7"/>
        <v>×</v>
      </c>
      <c r="K461" s="350" t="str">
        <f>C461</f>
        <v>３　糞便検査</v>
      </c>
      <c r="L461" s="351"/>
      <c r="M461" s="351"/>
      <c r="N461" s="352"/>
      <c r="P461" s="415" t="str">
        <f>IF((COUNTIF(E461, "*糞便検査*"))=1,"〇","X")</f>
        <v>X</v>
      </c>
      <c r="Q461" s="415" t="str">
        <f>IF((COUNTIF(F461, "*糞便検査*"))=1,"〇","X")</f>
        <v>X</v>
      </c>
    </row>
    <row r="462" spans="2:17" x14ac:dyDescent="0.15">
      <c r="B462" s="574"/>
      <c r="C462" s="348" t="s">
        <v>404</v>
      </c>
      <c r="D462" s="349"/>
      <c r="E462" s="433"/>
      <c r="F462" s="433"/>
      <c r="G462" s="439"/>
      <c r="J462" s="344" t="str">
        <f t="shared" si="7"/>
        <v/>
      </c>
      <c r="P462" s="415"/>
      <c r="Q462" s="415"/>
    </row>
    <row r="463" spans="2:17" x14ac:dyDescent="0.15">
      <c r="B463" s="574"/>
      <c r="C463" s="348" t="s">
        <v>395</v>
      </c>
      <c r="D463" s="349"/>
      <c r="E463" s="433"/>
      <c r="F463" s="433"/>
      <c r="G463" s="439"/>
      <c r="J463" s="344" t="str">
        <f t="shared" si="7"/>
        <v/>
      </c>
      <c r="P463" s="415"/>
      <c r="Q463" s="415"/>
    </row>
    <row r="464" spans="2:17" x14ac:dyDescent="0.15">
      <c r="B464" s="574"/>
      <c r="C464" s="348" t="s">
        <v>405</v>
      </c>
      <c r="D464" s="354"/>
      <c r="E464" s="433"/>
      <c r="F464" s="433"/>
      <c r="G464" s="439"/>
      <c r="J464" s="344" t="str">
        <f t="shared" si="7"/>
        <v/>
      </c>
      <c r="P464" s="415"/>
      <c r="Q464" s="415"/>
    </row>
    <row r="465" spans="2:17" x14ac:dyDescent="0.15">
      <c r="B465" s="574"/>
      <c r="C465" s="348" t="s">
        <v>1028</v>
      </c>
      <c r="D465" s="354" t="s">
        <v>31</v>
      </c>
      <c r="E465" s="433"/>
      <c r="F465" s="433"/>
      <c r="G465" s="439"/>
      <c r="J465" s="344" t="str">
        <f t="shared" si="7"/>
        <v>×</v>
      </c>
      <c r="K465" s="350" t="str">
        <f>C465</f>
        <v>４　その他の一般検査</v>
      </c>
      <c r="L465" s="351"/>
      <c r="M465" s="351"/>
      <c r="N465" s="352"/>
      <c r="P465" s="415" t="str">
        <f>IF((COUNTIF(E465, "*その他の一般検査*"))=1,"〇","X")</f>
        <v>X</v>
      </c>
      <c r="Q465" s="415" t="str">
        <f>IF((COUNTIF(F465, "*その他の一般検査*"))=1,"〇","X")</f>
        <v>X</v>
      </c>
    </row>
    <row r="466" spans="2:17" x14ac:dyDescent="0.15">
      <c r="B466" s="574"/>
      <c r="C466" s="348" t="s">
        <v>406</v>
      </c>
      <c r="D466" s="354"/>
      <c r="E466" s="433"/>
      <c r="F466" s="433"/>
      <c r="G466" s="439"/>
      <c r="J466" s="344" t="str">
        <f t="shared" si="7"/>
        <v/>
      </c>
      <c r="P466" s="415"/>
      <c r="Q466" s="415"/>
    </row>
    <row r="467" spans="2:17" x14ac:dyDescent="0.15">
      <c r="B467" s="574"/>
      <c r="C467" s="348" t="s">
        <v>407</v>
      </c>
      <c r="D467" s="354"/>
      <c r="E467" s="433"/>
      <c r="F467" s="433"/>
      <c r="G467" s="439"/>
      <c r="J467" s="344" t="str">
        <f t="shared" si="7"/>
        <v/>
      </c>
      <c r="P467" s="415"/>
      <c r="Q467" s="415"/>
    </row>
    <row r="468" spans="2:17" x14ac:dyDescent="0.15">
      <c r="B468" s="356"/>
      <c r="C468" s="348" t="s">
        <v>408</v>
      </c>
      <c r="D468" s="355"/>
      <c r="E468" s="433"/>
      <c r="F468" s="433"/>
      <c r="G468" s="439"/>
      <c r="J468" s="344" t="str">
        <f t="shared" si="7"/>
        <v/>
      </c>
      <c r="P468" s="415"/>
      <c r="Q468" s="415"/>
    </row>
    <row r="469" spans="2:17" x14ac:dyDescent="0.15">
      <c r="B469" s="356"/>
      <c r="C469" s="348" t="s">
        <v>409</v>
      </c>
      <c r="D469" s="355"/>
      <c r="E469" s="433"/>
      <c r="F469" s="433"/>
      <c r="G469" s="439"/>
      <c r="J469" s="344" t="str">
        <f t="shared" si="7"/>
        <v/>
      </c>
      <c r="P469" s="415"/>
      <c r="Q469" s="415"/>
    </row>
    <row r="470" spans="2:17" x14ac:dyDescent="0.15">
      <c r="B470" s="356"/>
      <c r="C470" s="348" t="s">
        <v>1009</v>
      </c>
      <c r="D470" s="355" t="s">
        <v>31</v>
      </c>
      <c r="E470" s="433"/>
      <c r="F470" s="433"/>
      <c r="G470" s="439"/>
      <c r="J470" s="344" t="str">
        <f t="shared" si="7"/>
        <v>×</v>
      </c>
      <c r="K470" s="350" t="str">
        <f>C470</f>
        <v>５　学内実習</v>
      </c>
      <c r="L470" s="351"/>
      <c r="M470" s="351"/>
      <c r="N470" s="352"/>
      <c r="P470" s="415" t="str">
        <f>IF((COUNTIF(E470, "*学内実習*"))=1,"〇","X")</f>
        <v>X</v>
      </c>
      <c r="Q470" s="415" t="str">
        <f>IF((COUNTIF(F470, "*学内実習*"))=1,"〇","X")</f>
        <v>X</v>
      </c>
    </row>
    <row r="471" spans="2:17" x14ac:dyDescent="0.15">
      <c r="B471" s="356"/>
      <c r="C471" s="348" t="s">
        <v>410</v>
      </c>
      <c r="D471" s="355"/>
      <c r="E471" s="433"/>
      <c r="F471" s="433"/>
      <c r="G471" s="439"/>
      <c r="J471" s="344" t="str">
        <f t="shared" si="7"/>
        <v/>
      </c>
      <c r="P471" s="415"/>
      <c r="Q471" s="415"/>
    </row>
    <row r="472" spans="2:17" x14ac:dyDescent="0.15">
      <c r="B472" s="356"/>
      <c r="C472" s="348" t="s">
        <v>411</v>
      </c>
      <c r="D472" s="355"/>
      <c r="E472" s="433"/>
      <c r="F472" s="433"/>
      <c r="G472" s="439"/>
      <c r="J472" s="344" t="str">
        <f t="shared" si="7"/>
        <v/>
      </c>
      <c r="P472" s="415"/>
      <c r="Q472" s="415"/>
    </row>
    <row r="473" spans="2:17" x14ac:dyDescent="0.15">
      <c r="B473" s="356"/>
      <c r="C473" s="348" t="s">
        <v>412</v>
      </c>
      <c r="D473" s="355"/>
      <c r="E473" s="433"/>
      <c r="F473" s="433"/>
      <c r="G473" s="439"/>
      <c r="J473" s="344" t="str">
        <f t="shared" si="7"/>
        <v/>
      </c>
      <c r="P473" s="415"/>
      <c r="Q473" s="415"/>
    </row>
    <row r="474" spans="2:17" x14ac:dyDescent="0.15">
      <c r="B474" s="356"/>
      <c r="C474" s="348" t="s">
        <v>413</v>
      </c>
      <c r="D474" s="355"/>
      <c r="E474" s="433"/>
      <c r="F474" s="433"/>
      <c r="G474" s="439"/>
      <c r="J474" s="344" t="str">
        <f t="shared" si="7"/>
        <v/>
      </c>
      <c r="P474" s="415"/>
      <c r="Q474" s="415"/>
    </row>
    <row r="475" spans="2:17" x14ac:dyDescent="0.15">
      <c r="B475" s="356"/>
      <c r="C475" s="348" t="s">
        <v>414</v>
      </c>
      <c r="D475" s="355"/>
      <c r="E475" s="433"/>
      <c r="F475" s="433"/>
      <c r="G475" s="439"/>
      <c r="J475" s="344" t="str">
        <f t="shared" si="7"/>
        <v/>
      </c>
      <c r="P475" s="415"/>
      <c r="Q475" s="415"/>
    </row>
    <row r="476" spans="2:17" x14ac:dyDescent="0.15">
      <c r="B476" s="356"/>
      <c r="C476" s="348" t="s">
        <v>1029</v>
      </c>
      <c r="D476" s="355" t="s">
        <v>31</v>
      </c>
      <c r="E476" s="433"/>
      <c r="F476" s="433"/>
      <c r="G476" s="439"/>
      <c r="J476" s="344" t="str">
        <f t="shared" si="7"/>
        <v>×</v>
      </c>
      <c r="K476" s="350" t="str">
        <f>C476</f>
        <v>（６）検査結果の解析と評価</v>
      </c>
      <c r="L476" s="351"/>
      <c r="M476" s="351"/>
      <c r="N476" s="352"/>
      <c r="P476" s="415" t="str">
        <f>IF((COUNTIF(E476, "*検査結果の解析と評価*"))=1,"〇","X")</f>
        <v>X</v>
      </c>
      <c r="Q476" s="415" t="str">
        <f>IF((COUNTIF(F476, "*検査結果の解析と評価*"))=1,"〇","X")</f>
        <v>X</v>
      </c>
    </row>
    <row r="477" spans="2:17" x14ac:dyDescent="0.15">
      <c r="B477" s="356"/>
      <c r="C477" s="348" t="s">
        <v>824</v>
      </c>
      <c r="D477" s="355" t="s">
        <v>31</v>
      </c>
      <c r="E477" s="433"/>
      <c r="F477" s="433"/>
      <c r="G477" s="439"/>
      <c r="J477" s="344" t="str">
        <f t="shared" si="7"/>
        <v>×</v>
      </c>
      <c r="K477" s="350" t="str">
        <f>C477</f>
        <v>６　臨地実習＊</v>
      </c>
      <c r="L477" s="351"/>
      <c r="M477" s="351"/>
      <c r="N477" s="352"/>
      <c r="P477" s="415" t="str">
        <f>IF((COUNTIF(E477, "*臨地実習*"))=1,"〇","X")</f>
        <v>X</v>
      </c>
      <c r="Q477" s="415" t="str">
        <f>IF((COUNTIF(F477, "*臨地実習*"))=1,"〇","X")</f>
        <v>X</v>
      </c>
    </row>
    <row r="478" spans="2:17" x14ac:dyDescent="0.15">
      <c r="B478" s="356"/>
      <c r="C478" s="348"/>
      <c r="D478" s="355"/>
      <c r="E478" s="435"/>
      <c r="F478" s="435"/>
      <c r="G478" s="355"/>
      <c r="J478" s="344" t="str">
        <f t="shared" si="7"/>
        <v/>
      </c>
      <c r="P478" s="415"/>
      <c r="Q478" s="415"/>
    </row>
    <row r="479" spans="2:17" x14ac:dyDescent="0.15">
      <c r="B479" s="356"/>
      <c r="C479" s="348" t="s">
        <v>1030</v>
      </c>
      <c r="D479" s="355" t="s">
        <v>31</v>
      </c>
      <c r="E479" s="433"/>
      <c r="F479" s="433"/>
      <c r="G479" s="439"/>
      <c r="J479" s="344" t="str">
        <f t="shared" si="7"/>
        <v>×</v>
      </c>
      <c r="K479" s="350" t="str">
        <f>C479</f>
        <v>Ⅱ　寄生虫学</v>
      </c>
      <c r="L479" s="351"/>
      <c r="M479" s="351"/>
      <c r="N479" s="352"/>
      <c r="P479" s="415" t="str">
        <f>IF((COUNTIF(E479, "*寄生虫学*"))=1,"〇","X")</f>
        <v>X</v>
      </c>
      <c r="Q479" s="415" t="str">
        <f>IF((COUNTIF(F479, "*寄生虫学*"))=1,"〇","X")</f>
        <v>X</v>
      </c>
    </row>
    <row r="480" spans="2:17" x14ac:dyDescent="0.15">
      <c r="B480" s="356"/>
      <c r="C480" s="348" t="s">
        <v>1031</v>
      </c>
      <c r="D480" s="355" t="s">
        <v>31</v>
      </c>
      <c r="E480" s="433"/>
      <c r="F480" s="433"/>
      <c r="G480" s="439"/>
      <c r="J480" s="344" t="str">
        <f t="shared" si="7"/>
        <v>×</v>
      </c>
      <c r="K480" s="350" t="str">
        <f>C480</f>
        <v>１　寄生虫の分類と疾患との関係</v>
      </c>
      <c r="L480" s="351"/>
      <c r="M480" s="351"/>
      <c r="N480" s="352"/>
      <c r="P480" s="415" t="str">
        <f>IF((COUNTIF(E480, "*寄生虫の分類と疾患との関係*"))=1,"〇","X")</f>
        <v>X</v>
      </c>
      <c r="Q480" s="415" t="str">
        <f>IF((COUNTIF(F480, "*寄生虫の分類と疾患との関係*"))=1,"〇","X")</f>
        <v>X</v>
      </c>
    </row>
    <row r="481" spans="2:17" x14ac:dyDescent="0.15">
      <c r="B481" s="356"/>
      <c r="C481" s="348" t="s">
        <v>415</v>
      </c>
      <c r="D481" s="355"/>
      <c r="E481" s="433"/>
      <c r="F481" s="433"/>
      <c r="G481" s="439"/>
      <c r="J481" s="344" t="str">
        <f t="shared" si="7"/>
        <v/>
      </c>
      <c r="P481" s="415"/>
      <c r="Q481" s="415"/>
    </row>
    <row r="482" spans="2:17" x14ac:dyDescent="0.15">
      <c r="B482" s="356"/>
      <c r="C482" s="348" t="s">
        <v>416</v>
      </c>
      <c r="D482" s="355"/>
      <c r="E482" s="433"/>
      <c r="F482" s="433"/>
      <c r="G482" s="439"/>
      <c r="J482" s="344" t="str">
        <f t="shared" si="7"/>
        <v/>
      </c>
      <c r="P482" s="415"/>
      <c r="Q482" s="415"/>
    </row>
    <row r="483" spans="2:17" x14ac:dyDescent="0.15">
      <c r="B483" s="356"/>
      <c r="C483" s="348" t="s">
        <v>417</v>
      </c>
      <c r="D483" s="355"/>
      <c r="E483" s="433"/>
      <c r="F483" s="433"/>
      <c r="G483" s="439"/>
      <c r="J483" s="344" t="str">
        <f t="shared" si="7"/>
        <v/>
      </c>
      <c r="P483" s="415"/>
      <c r="Q483" s="415"/>
    </row>
    <row r="484" spans="2:17" ht="27" x14ac:dyDescent="0.15">
      <c r="B484" s="356"/>
      <c r="C484" s="348" t="s">
        <v>903</v>
      </c>
      <c r="D484" s="355" t="s">
        <v>31</v>
      </c>
      <c r="E484" s="433"/>
      <c r="F484" s="433"/>
      <c r="G484" s="439"/>
      <c r="J484" s="344" t="str">
        <f t="shared" si="7"/>
        <v>×</v>
      </c>
      <c r="K484" s="350" t="str">
        <f>C484</f>
        <v>２　各種寄生虫の生態・鑑別と疾患
　　との関係</v>
      </c>
      <c r="L484" s="351"/>
      <c r="M484" s="351"/>
      <c r="N484" s="352"/>
      <c r="P484" s="415" t="str">
        <f>IF((COUNTIF(E484, "*各種寄生虫の生態・鑑別と疾患との関係*"))=1,"〇","X")</f>
        <v>X</v>
      </c>
      <c r="Q484" s="415" t="str">
        <f>IF((COUNTIF(F484, "*各種寄生虫の生態・鑑別と疾患との関係*"))=1,"〇","X")</f>
        <v>X</v>
      </c>
    </row>
    <row r="485" spans="2:17" x14ac:dyDescent="0.15">
      <c r="B485" s="356"/>
      <c r="C485" s="348" t="s">
        <v>418</v>
      </c>
      <c r="D485" s="355"/>
      <c r="E485" s="433"/>
      <c r="F485" s="433"/>
      <c r="G485" s="439"/>
      <c r="J485" s="344" t="str">
        <f t="shared" si="7"/>
        <v/>
      </c>
      <c r="P485" s="415"/>
      <c r="Q485" s="415"/>
    </row>
    <row r="486" spans="2:17" x14ac:dyDescent="0.15">
      <c r="B486" s="356"/>
      <c r="C486" s="348" t="s">
        <v>419</v>
      </c>
      <c r="D486" s="355"/>
      <c r="E486" s="433"/>
      <c r="F486" s="433"/>
      <c r="G486" s="439"/>
      <c r="J486" s="344" t="str">
        <f t="shared" si="7"/>
        <v/>
      </c>
      <c r="P486" s="415"/>
      <c r="Q486" s="415"/>
    </row>
    <row r="487" spans="2:17" x14ac:dyDescent="0.15">
      <c r="B487" s="356"/>
      <c r="C487" s="348" t="s">
        <v>420</v>
      </c>
      <c r="D487" s="355"/>
      <c r="E487" s="433"/>
      <c r="F487" s="433"/>
      <c r="G487" s="439"/>
      <c r="J487" s="344" t="str">
        <f t="shared" si="7"/>
        <v/>
      </c>
      <c r="P487" s="415"/>
      <c r="Q487" s="415"/>
    </row>
    <row r="488" spans="2:17" x14ac:dyDescent="0.15">
      <c r="B488" s="356"/>
      <c r="C488" s="348" t="s">
        <v>421</v>
      </c>
      <c r="D488" s="355"/>
      <c r="E488" s="433"/>
      <c r="F488" s="433"/>
      <c r="G488" s="439"/>
      <c r="J488" s="344" t="str">
        <f t="shared" si="7"/>
        <v/>
      </c>
      <c r="P488" s="415"/>
      <c r="Q488" s="415"/>
    </row>
    <row r="489" spans="2:17" x14ac:dyDescent="0.15">
      <c r="B489" s="356"/>
      <c r="C489" s="348" t="s">
        <v>422</v>
      </c>
      <c r="D489" s="355"/>
      <c r="E489" s="433"/>
      <c r="F489" s="433"/>
      <c r="G489" s="439"/>
      <c r="J489" s="344" t="str">
        <f t="shared" si="7"/>
        <v/>
      </c>
      <c r="P489" s="415"/>
      <c r="Q489" s="415"/>
    </row>
    <row r="490" spans="2:17" x14ac:dyDescent="0.15">
      <c r="B490" s="356"/>
      <c r="C490" s="348" t="s">
        <v>1032</v>
      </c>
      <c r="D490" s="355" t="s">
        <v>31</v>
      </c>
      <c r="E490" s="433"/>
      <c r="F490" s="433"/>
      <c r="G490" s="439"/>
      <c r="J490" s="344" t="str">
        <f t="shared" si="7"/>
        <v>×</v>
      </c>
      <c r="K490" s="350" t="str">
        <f>C490</f>
        <v>３　寄生虫検査法</v>
      </c>
      <c r="L490" s="351"/>
      <c r="M490" s="351"/>
      <c r="N490" s="352"/>
      <c r="P490" s="415" t="str">
        <f>IF((COUNTIF(E490, "*寄生虫検査法*"))=1,"〇","X")</f>
        <v>X</v>
      </c>
      <c r="Q490" s="415" t="str">
        <f>IF((COUNTIF(F490, "*寄生虫検査法*"))=1,"〇","X")</f>
        <v>X</v>
      </c>
    </row>
    <row r="491" spans="2:17" x14ac:dyDescent="0.15">
      <c r="B491" s="356"/>
      <c r="C491" s="348" t="s">
        <v>423</v>
      </c>
      <c r="D491" s="355"/>
      <c r="E491" s="433"/>
      <c r="F491" s="433"/>
      <c r="G491" s="439"/>
      <c r="J491" s="344" t="str">
        <f t="shared" si="7"/>
        <v/>
      </c>
      <c r="P491" s="415"/>
      <c r="Q491" s="415"/>
    </row>
    <row r="492" spans="2:17" x14ac:dyDescent="0.15">
      <c r="B492" s="356"/>
      <c r="C492" s="348" t="s">
        <v>424</v>
      </c>
      <c r="D492" s="355"/>
      <c r="E492" s="433"/>
      <c r="F492" s="433"/>
      <c r="G492" s="439"/>
      <c r="J492" s="344" t="str">
        <f t="shared" si="7"/>
        <v/>
      </c>
      <c r="P492" s="415"/>
      <c r="Q492" s="415"/>
    </row>
    <row r="493" spans="2:17" x14ac:dyDescent="0.15">
      <c r="B493" s="356"/>
      <c r="C493" s="348" t="s">
        <v>425</v>
      </c>
      <c r="D493" s="355"/>
      <c r="E493" s="433"/>
      <c r="F493" s="433"/>
      <c r="G493" s="439"/>
      <c r="J493" s="344" t="str">
        <f t="shared" si="7"/>
        <v/>
      </c>
      <c r="P493" s="415"/>
      <c r="Q493" s="415"/>
    </row>
    <row r="494" spans="2:17" x14ac:dyDescent="0.15">
      <c r="B494" s="356"/>
      <c r="C494" s="348" t="s">
        <v>426</v>
      </c>
      <c r="D494" s="355"/>
      <c r="E494" s="433"/>
      <c r="F494" s="433"/>
      <c r="G494" s="439"/>
      <c r="J494" s="344" t="str">
        <f t="shared" si="7"/>
        <v/>
      </c>
      <c r="P494" s="415"/>
      <c r="Q494" s="415"/>
    </row>
    <row r="495" spans="2:17" x14ac:dyDescent="0.15">
      <c r="B495" s="356"/>
      <c r="C495" s="348" t="s">
        <v>1033</v>
      </c>
      <c r="D495" s="355" t="s">
        <v>31</v>
      </c>
      <c r="E495" s="433"/>
      <c r="F495" s="433"/>
      <c r="G495" s="439"/>
      <c r="J495" s="344" t="str">
        <f t="shared" si="7"/>
        <v>×</v>
      </c>
      <c r="K495" s="350" t="str">
        <f>C495</f>
        <v>４　学内実習</v>
      </c>
      <c r="L495" s="351"/>
      <c r="M495" s="351"/>
      <c r="N495" s="352"/>
      <c r="P495" s="415" t="str">
        <f>IF((COUNTIF(E495, "*学内実習*"))=1,"〇","X")</f>
        <v>X</v>
      </c>
      <c r="Q495" s="415" t="str">
        <f>IF((COUNTIF(F495, "*学内実習*"))=1,"〇","X")</f>
        <v>X</v>
      </c>
    </row>
    <row r="496" spans="2:17" x14ac:dyDescent="0.15">
      <c r="B496" s="356"/>
      <c r="C496" s="348" t="s">
        <v>427</v>
      </c>
      <c r="D496" s="355"/>
      <c r="E496" s="433"/>
      <c r="F496" s="433"/>
      <c r="G496" s="439"/>
      <c r="J496" s="344" t="str">
        <f t="shared" si="7"/>
        <v/>
      </c>
      <c r="P496" s="415"/>
      <c r="Q496" s="415"/>
    </row>
    <row r="497" spans="2:17" x14ac:dyDescent="0.15">
      <c r="B497" s="356"/>
      <c r="C497" s="348" t="s">
        <v>428</v>
      </c>
      <c r="D497" s="355"/>
      <c r="E497" s="433"/>
      <c r="F497" s="433"/>
      <c r="G497" s="439"/>
      <c r="J497" s="344" t="str">
        <f t="shared" si="7"/>
        <v/>
      </c>
      <c r="P497" s="415"/>
      <c r="Q497" s="415"/>
    </row>
    <row r="498" spans="2:17" x14ac:dyDescent="0.15">
      <c r="B498" s="356"/>
      <c r="C498" s="348" t="s">
        <v>429</v>
      </c>
      <c r="D498" s="355"/>
      <c r="E498" s="433"/>
      <c r="F498" s="433"/>
      <c r="G498" s="439"/>
      <c r="J498" s="344" t="str">
        <f t="shared" si="7"/>
        <v/>
      </c>
      <c r="P498" s="415"/>
      <c r="Q498" s="415"/>
    </row>
    <row r="499" spans="2:17" x14ac:dyDescent="0.15">
      <c r="B499" s="356"/>
      <c r="C499" s="348" t="s">
        <v>430</v>
      </c>
      <c r="D499" s="355"/>
      <c r="E499" s="433"/>
      <c r="F499" s="433"/>
      <c r="G499" s="439"/>
      <c r="J499" s="344" t="str">
        <f t="shared" si="7"/>
        <v/>
      </c>
      <c r="P499" s="415"/>
      <c r="Q499" s="415"/>
    </row>
    <row r="500" spans="2:17" x14ac:dyDescent="0.15">
      <c r="B500" s="356"/>
      <c r="C500" s="348" t="s">
        <v>431</v>
      </c>
      <c r="D500" s="355"/>
      <c r="E500" s="433"/>
      <c r="F500" s="433"/>
      <c r="G500" s="439"/>
      <c r="J500" s="344" t="str">
        <f t="shared" si="7"/>
        <v/>
      </c>
      <c r="P500" s="415"/>
      <c r="Q500" s="415"/>
    </row>
    <row r="501" spans="2:17" x14ac:dyDescent="0.15">
      <c r="B501" s="356"/>
      <c r="C501" s="348" t="s">
        <v>432</v>
      </c>
      <c r="D501" s="355"/>
      <c r="E501" s="433"/>
      <c r="F501" s="433"/>
      <c r="G501" s="439"/>
      <c r="J501" s="344" t="str">
        <f t="shared" si="7"/>
        <v/>
      </c>
      <c r="P501" s="415"/>
      <c r="Q501" s="415"/>
    </row>
    <row r="502" spans="2:17" x14ac:dyDescent="0.15">
      <c r="B502" s="356"/>
      <c r="C502" s="348" t="s">
        <v>1034</v>
      </c>
      <c r="D502" s="355" t="s">
        <v>31</v>
      </c>
      <c r="E502" s="433"/>
      <c r="F502" s="433"/>
      <c r="G502" s="439"/>
      <c r="J502" s="344" t="str">
        <f t="shared" si="7"/>
        <v>×</v>
      </c>
      <c r="K502" s="350" t="str">
        <f>C502</f>
        <v>（７）検査結果の解析と評価</v>
      </c>
      <c r="L502" s="351"/>
      <c r="M502" s="351"/>
      <c r="N502" s="352"/>
      <c r="P502" s="415" t="str">
        <f>IF((COUNTIF(E502, "*検査結果の解析と評価*"))=1,"〇","X")</f>
        <v>X</v>
      </c>
      <c r="Q502" s="415" t="str">
        <f>IF((COUNTIF(F502, "*検査結果の解析と評価*"))=1,"〇","X")</f>
        <v>X</v>
      </c>
    </row>
    <row r="503" spans="2:17" ht="14.25" thickBot="1" x14ac:dyDescent="0.2">
      <c r="B503" s="359"/>
      <c r="C503" s="360" t="s">
        <v>1035</v>
      </c>
      <c r="D503" s="367" t="s">
        <v>31</v>
      </c>
      <c r="E503" s="436"/>
      <c r="F503" s="436"/>
      <c r="G503" s="444"/>
      <c r="J503" s="344" t="str">
        <f t="shared" si="7"/>
        <v>×</v>
      </c>
      <c r="K503" s="350" t="str">
        <f>C503</f>
        <v>５　臨地実習＊</v>
      </c>
      <c r="L503" s="351"/>
      <c r="M503" s="351"/>
      <c r="N503" s="352"/>
      <c r="P503" s="415" t="str">
        <f>IF((COUNTIF(E503, "*臨地実習*"))=1,"〇","X")</f>
        <v>X</v>
      </c>
      <c r="Q503" s="415" t="str">
        <f>IF((COUNTIF(F503, "*臨地実習*"))=1,"〇","X")</f>
        <v>X</v>
      </c>
    </row>
    <row r="504" spans="2:17" ht="14.25" thickBot="1" x14ac:dyDescent="0.2">
      <c r="E504" s="437"/>
      <c r="F504" s="437"/>
      <c r="G504" s="442"/>
      <c r="J504" s="344" t="str">
        <f t="shared" si="7"/>
        <v/>
      </c>
      <c r="P504" s="415"/>
      <c r="Q504" s="415"/>
    </row>
    <row r="505" spans="2:17" x14ac:dyDescent="0.15">
      <c r="B505" s="369" t="s">
        <v>433</v>
      </c>
      <c r="C505" s="365" t="s">
        <v>1036</v>
      </c>
      <c r="D505" s="366" t="s">
        <v>31</v>
      </c>
      <c r="E505" s="431"/>
      <c r="F505" s="431"/>
      <c r="G505" s="428"/>
      <c r="J505" s="344" t="str">
        <f t="shared" si="7"/>
        <v>×</v>
      </c>
      <c r="K505" s="350" t="str">
        <f>C505</f>
        <v>Ⅰ　生化学的検査</v>
      </c>
      <c r="L505" s="351"/>
      <c r="M505" s="351"/>
      <c r="N505" s="352"/>
      <c r="P505" s="415" t="str">
        <f>IF((COUNTIF(E505, "*生化学的検査*"))=1,"〇","X")</f>
        <v>X</v>
      </c>
      <c r="Q505" s="415" t="str">
        <f>IF((COUNTIF(F505, "*生化学的検査*"))=1,"〇","X")</f>
        <v>X</v>
      </c>
    </row>
    <row r="506" spans="2:17" ht="27" x14ac:dyDescent="0.15">
      <c r="B506" s="341"/>
      <c r="C506" s="348" t="s">
        <v>904</v>
      </c>
      <c r="D506" s="349" t="s">
        <v>31</v>
      </c>
      <c r="E506" s="433"/>
      <c r="F506" s="433"/>
      <c r="G506" s="439"/>
      <c r="J506" s="344" t="str">
        <f t="shared" si="7"/>
        <v>×</v>
      </c>
      <c r="K506" s="350" t="str">
        <f>C506</f>
        <v>１　生化学的検査の基礎と定量検査法
　　の原理</v>
      </c>
      <c r="L506" s="351"/>
      <c r="M506" s="351"/>
      <c r="N506" s="352"/>
      <c r="P506" s="415" t="str">
        <f>IF((COUNTIF(E506, "*生化学的検査の基礎と定量検査法の原理*"))=1,"〇","X")</f>
        <v>X</v>
      </c>
      <c r="Q506" s="415" t="str">
        <f>IF((COUNTIF(F506, "*生化学的検査の基礎と定量検査法の原理*"))=1,"〇","X")</f>
        <v>X</v>
      </c>
    </row>
    <row r="507" spans="2:17" x14ac:dyDescent="0.15">
      <c r="B507" s="341"/>
      <c r="C507" s="348" t="s">
        <v>434</v>
      </c>
      <c r="D507" s="349"/>
      <c r="E507" s="433"/>
      <c r="F507" s="433"/>
      <c r="G507" s="439"/>
      <c r="J507" s="344" t="str">
        <f t="shared" si="7"/>
        <v/>
      </c>
      <c r="P507" s="415"/>
      <c r="Q507" s="415"/>
    </row>
    <row r="508" spans="2:17" x14ac:dyDescent="0.15">
      <c r="B508" s="353"/>
      <c r="C508" s="348" t="s">
        <v>435</v>
      </c>
      <c r="D508" s="349"/>
      <c r="E508" s="433"/>
      <c r="F508" s="433"/>
      <c r="G508" s="439"/>
      <c r="J508" s="344" t="str">
        <f t="shared" si="7"/>
        <v/>
      </c>
      <c r="P508" s="415"/>
      <c r="Q508" s="415"/>
    </row>
    <row r="509" spans="2:17" x14ac:dyDescent="0.15">
      <c r="B509" s="574" t="s">
        <v>436</v>
      </c>
      <c r="C509" s="348" t="s">
        <v>437</v>
      </c>
      <c r="D509" s="349"/>
      <c r="E509" s="433"/>
      <c r="F509" s="433"/>
      <c r="G509" s="439"/>
      <c r="J509" s="344" t="str">
        <f t="shared" si="7"/>
        <v/>
      </c>
      <c r="P509" s="415"/>
      <c r="Q509" s="415"/>
    </row>
    <row r="510" spans="2:17" ht="27" x14ac:dyDescent="0.15">
      <c r="B510" s="574"/>
      <c r="C510" s="348" t="s">
        <v>905</v>
      </c>
      <c r="D510" s="349" t="s">
        <v>31</v>
      </c>
      <c r="E510" s="433"/>
      <c r="F510" s="433"/>
      <c r="G510" s="439"/>
      <c r="J510" s="344" t="str">
        <f t="shared" si="7"/>
        <v>×</v>
      </c>
      <c r="K510" s="350" t="str">
        <f>C510</f>
        <v>２　各種生体物質の測定法と臨床的
　　意義</v>
      </c>
      <c r="L510" s="351"/>
      <c r="M510" s="351"/>
      <c r="N510" s="352"/>
      <c r="P510" s="415" t="str">
        <f>IF((COUNTIF(E510, "*各種生体物質の測定法と臨床的意義*"))=1,"〇","X")</f>
        <v>X</v>
      </c>
      <c r="Q510" s="415" t="str">
        <f>IF((COUNTIF(F510, "*各種生体物質の測定法と臨床的意義*"))=1,"〇","X")</f>
        <v>X</v>
      </c>
    </row>
    <row r="511" spans="2:17" ht="27" x14ac:dyDescent="0.15">
      <c r="B511" s="574"/>
      <c r="C511" s="348" t="s">
        <v>1143</v>
      </c>
      <c r="D511" s="349" t="s">
        <v>815</v>
      </c>
      <c r="E511" s="433"/>
      <c r="F511" s="433"/>
      <c r="G511" s="439"/>
      <c r="J511" s="344" t="str">
        <f>IF(AND(OR(D511="◎",D511="◎※１"),OR(E511="",F511="",G511="")),"×","")</f>
        <v>×</v>
      </c>
      <c r="P511" s="415"/>
      <c r="Q511" s="415"/>
    </row>
    <row r="512" spans="2:17" x14ac:dyDescent="0.15">
      <c r="B512" s="574"/>
      <c r="C512" s="348" t="s">
        <v>438</v>
      </c>
      <c r="D512" s="349"/>
      <c r="E512" s="433"/>
      <c r="F512" s="433"/>
      <c r="G512" s="439"/>
      <c r="J512" s="344" t="str">
        <f t="shared" si="7"/>
        <v/>
      </c>
      <c r="P512" s="415"/>
      <c r="Q512" s="415"/>
    </row>
    <row r="513" spans="2:17" x14ac:dyDescent="0.15">
      <c r="B513" s="574"/>
      <c r="C513" s="348" t="s">
        <v>439</v>
      </c>
      <c r="D513" s="349"/>
      <c r="E513" s="433"/>
      <c r="F513" s="433"/>
      <c r="G513" s="439"/>
      <c r="J513" s="344" t="str">
        <f t="shared" si="7"/>
        <v/>
      </c>
      <c r="P513" s="415"/>
      <c r="Q513" s="415"/>
    </row>
    <row r="514" spans="2:17" x14ac:dyDescent="0.15">
      <c r="B514" s="574"/>
      <c r="C514" s="348" t="s">
        <v>440</v>
      </c>
      <c r="D514" s="349"/>
      <c r="E514" s="433"/>
      <c r="F514" s="433"/>
      <c r="G514" s="439"/>
      <c r="J514" s="344" t="str">
        <f t="shared" si="7"/>
        <v/>
      </c>
      <c r="P514" s="415"/>
      <c r="Q514" s="415"/>
    </row>
    <row r="515" spans="2:17" x14ac:dyDescent="0.15">
      <c r="B515" s="574"/>
      <c r="C515" s="348" t="s">
        <v>441</v>
      </c>
      <c r="D515" s="349"/>
      <c r="E515" s="433"/>
      <c r="F515" s="433"/>
      <c r="G515" s="439"/>
      <c r="J515" s="344" t="str">
        <f t="shared" si="7"/>
        <v/>
      </c>
      <c r="P515" s="415"/>
      <c r="Q515" s="415"/>
    </row>
    <row r="516" spans="2:17" x14ac:dyDescent="0.15">
      <c r="B516" s="574"/>
      <c r="C516" s="348" t="s">
        <v>442</v>
      </c>
      <c r="D516" s="349"/>
      <c r="E516" s="433"/>
      <c r="F516" s="433"/>
      <c r="G516" s="439"/>
      <c r="J516" s="344" t="str">
        <f t="shared" si="7"/>
        <v/>
      </c>
      <c r="P516" s="415"/>
      <c r="Q516" s="415"/>
    </row>
    <row r="517" spans="2:17" x14ac:dyDescent="0.15">
      <c r="B517" s="574"/>
      <c r="C517" s="348" t="s">
        <v>443</v>
      </c>
      <c r="D517" s="349"/>
      <c r="E517" s="433"/>
      <c r="F517" s="433"/>
      <c r="G517" s="439"/>
      <c r="J517" s="344" t="str">
        <f t="shared" si="7"/>
        <v/>
      </c>
      <c r="P517" s="415"/>
      <c r="Q517" s="415"/>
    </row>
    <row r="518" spans="2:17" x14ac:dyDescent="0.15">
      <c r="B518" s="574"/>
      <c r="C518" s="348" t="s">
        <v>444</v>
      </c>
      <c r="D518" s="349"/>
      <c r="E518" s="433"/>
      <c r="F518" s="433"/>
      <c r="G518" s="439"/>
      <c r="J518" s="344" t="str">
        <f t="shared" si="7"/>
        <v/>
      </c>
      <c r="P518" s="415"/>
      <c r="Q518" s="415"/>
    </row>
    <row r="519" spans="2:17" x14ac:dyDescent="0.15">
      <c r="B519" s="574"/>
      <c r="C519" s="348" t="s">
        <v>445</v>
      </c>
      <c r="D519" s="349"/>
      <c r="E519" s="433"/>
      <c r="F519" s="433"/>
      <c r="G519" s="439"/>
      <c r="J519" s="344" t="str">
        <f t="shared" ref="J519:J582" si="8">IF(AND(OR(D519="◎",D519="◎※１"),OR(E519="",F519="",G519="")),"×","")</f>
        <v/>
      </c>
      <c r="P519" s="415"/>
      <c r="Q519" s="415"/>
    </row>
    <row r="520" spans="2:17" x14ac:dyDescent="0.15">
      <c r="B520" s="574"/>
      <c r="C520" s="348" t="s">
        <v>446</v>
      </c>
      <c r="D520" s="349"/>
      <c r="E520" s="433"/>
      <c r="F520" s="433"/>
      <c r="G520" s="439"/>
      <c r="J520" s="344" t="str">
        <f t="shared" si="8"/>
        <v/>
      </c>
      <c r="P520" s="415"/>
      <c r="Q520" s="415"/>
    </row>
    <row r="521" spans="2:17" x14ac:dyDescent="0.15">
      <c r="B521" s="574"/>
      <c r="C521" s="348" t="s">
        <v>447</v>
      </c>
      <c r="D521" s="354"/>
      <c r="E521" s="433"/>
      <c r="F521" s="433"/>
      <c r="G521" s="439"/>
      <c r="J521" s="344" t="str">
        <f t="shared" si="8"/>
        <v/>
      </c>
      <c r="P521" s="415"/>
      <c r="Q521" s="415"/>
    </row>
    <row r="522" spans="2:17" x14ac:dyDescent="0.15">
      <c r="B522" s="574"/>
      <c r="C522" s="348" t="s">
        <v>1037</v>
      </c>
      <c r="D522" s="354" t="s">
        <v>31</v>
      </c>
      <c r="E522" s="433"/>
      <c r="F522" s="433"/>
      <c r="G522" s="439"/>
      <c r="J522" s="344" t="str">
        <f t="shared" si="8"/>
        <v>×</v>
      </c>
      <c r="K522" s="350" t="str">
        <f>C522</f>
        <v>３　各種臓器機能検査法と臨床的意義</v>
      </c>
      <c r="L522" s="351"/>
      <c r="M522" s="351"/>
      <c r="N522" s="352"/>
      <c r="P522" s="415" t="str">
        <f>IF((COUNTIF(E522, "*各種臓器機能検査法と臨床的意義*"))=1,"〇","X")</f>
        <v>X</v>
      </c>
      <c r="Q522" s="415" t="str">
        <f>IF((COUNTIF(F522, "*各種臓器機能検査法と臨床的意義*"))=1,"〇","X")</f>
        <v>X</v>
      </c>
    </row>
    <row r="523" spans="2:17" x14ac:dyDescent="0.15">
      <c r="B523" s="574"/>
      <c r="C523" s="348" t="s">
        <v>448</v>
      </c>
      <c r="D523" s="354"/>
      <c r="E523" s="433"/>
      <c r="F523" s="433"/>
      <c r="G523" s="439"/>
      <c r="J523" s="344" t="str">
        <f t="shared" si="8"/>
        <v/>
      </c>
      <c r="P523" s="415"/>
      <c r="Q523" s="415"/>
    </row>
    <row r="524" spans="2:17" x14ac:dyDescent="0.15">
      <c r="B524" s="574"/>
      <c r="C524" s="348" t="s">
        <v>449</v>
      </c>
      <c r="D524" s="354"/>
      <c r="E524" s="433"/>
      <c r="F524" s="433"/>
      <c r="G524" s="439"/>
      <c r="J524" s="344" t="str">
        <f t="shared" si="8"/>
        <v/>
      </c>
      <c r="P524" s="415"/>
      <c r="Q524" s="415"/>
    </row>
    <row r="525" spans="2:17" x14ac:dyDescent="0.15">
      <c r="B525" s="356"/>
      <c r="C525" s="348" t="s">
        <v>450</v>
      </c>
      <c r="D525" s="355"/>
      <c r="E525" s="433"/>
      <c r="F525" s="433"/>
      <c r="G525" s="439"/>
      <c r="J525" s="344" t="str">
        <f t="shared" si="8"/>
        <v/>
      </c>
      <c r="P525" s="415"/>
      <c r="Q525" s="415"/>
    </row>
    <row r="526" spans="2:17" x14ac:dyDescent="0.15">
      <c r="B526" s="356"/>
      <c r="C526" s="348" t="s">
        <v>451</v>
      </c>
      <c r="D526" s="355"/>
      <c r="E526" s="433"/>
      <c r="F526" s="433"/>
      <c r="G526" s="439"/>
      <c r="J526" s="344" t="str">
        <f t="shared" si="8"/>
        <v/>
      </c>
      <c r="P526" s="415"/>
      <c r="Q526" s="415"/>
    </row>
    <row r="527" spans="2:17" x14ac:dyDescent="0.15">
      <c r="B527" s="356"/>
      <c r="C527" s="348" t="s">
        <v>452</v>
      </c>
      <c r="D527" s="355"/>
      <c r="E527" s="433"/>
      <c r="F527" s="433"/>
      <c r="G527" s="439"/>
      <c r="J527" s="344" t="str">
        <f t="shared" si="8"/>
        <v/>
      </c>
      <c r="P527" s="415"/>
      <c r="Q527" s="415"/>
    </row>
    <row r="528" spans="2:17" x14ac:dyDescent="0.15">
      <c r="B528" s="356"/>
      <c r="C528" s="348" t="s">
        <v>1033</v>
      </c>
      <c r="D528" s="355" t="s">
        <v>31</v>
      </c>
      <c r="E528" s="433"/>
      <c r="F528" s="433"/>
      <c r="G528" s="439"/>
      <c r="J528" s="344" t="str">
        <f t="shared" si="8"/>
        <v>×</v>
      </c>
      <c r="K528" s="350" t="str">
        <f>C528</f>
        <v>４　学内実習</v>
      </c>
      <c r="L528" s="351"/>
      <c r="M528" s="351"/>
      <c r="N528" s="352"/>
      <c r="P528" s="415" t="str">
        <f>IF((COUNTIF(E528, "*学内実習*"))=1,"〇","X")</f>
        <v>X</v>
      </c>
      <c r="Q528" s="415" t="str">
        <f>IF((COUNTIF(F528, "*学内実習*"))=1,"〇","X")</f>
        <v>X</v>
      </c>
    </row>
    <row r="529" spans="2:17" ht="27" x14ac:dyDescent="0.15">
      <c r="B529" s="356"/>
      <c r="C529" s="348" t="s">
        <v>1142</v>
      </c>
      <c r="D529" s="355" t="s">
        <v>815</v>
      </c>
      <c r="E529" s="433"/>
      <c r="F529" s="433"/>
      <c r="G529" s="439"/>
      <c r="J529" s="344" t="str">
        <f t="shared" si="8"/>
        <v>×</v>
      </c>
      <c r="P529" s="415"/>
      <c r="Q529" s="415"/>
    </row>
    <row r="530" spans="2:17" x14ac:dyDescent="0.15">
      <c r="B530" s="356"/>
      <c r="C530" s="348" t="s">
        <v>453</v>
      </c>
      <c r="D530" s="355"/>
      <c r="E530" s="433"/>
      <c r="F530" s="433"/>
      <c r="G530" s="439"/>
      <c r="J530" s="344" t="str">
        <f t="shared" si="8"/>
        <v/>
      </c>
      <c r="P530" s="415"/>
      <c r="Q530" s="415"/>
    </row>
    <row r="531" spans="2:17" x14ac:dyDescent="0.15">
      <c r="B531" s="356"/>
      <c r="C531" s="348" t="s">
        <v>454</v>
      </c>
      <c r="D531" s="355"/>
      <c r="E531" s="433"/>
      <c r="F531" s="433"/>
      <c r="G531" s="439"/>
      <c r="J531" s="344" t="str">
        <f t="shared" si="8"/>
        <v/>
      </c>
      <c r="P531" s="415"/>
      <c r="Q531" s="415"/>
    </row>
    <row r="532" spans="2:17" x14ac:dyDescent="0.15">
      <c r="B532" s="356"/>
      <c r="C532" s="348" t="s">
        <v>455</v>
      </c>
      <c r="D532" s="355"/>
      <c r="E532" s="433"/>
      <c r="F532" s="433"/>
      <c r="G532" s="439"/>
      <c r="J532" s="344" t="str">
        <f t="shared" si="8"/>
        <v/>
      </c>
      <c r="P532" s="415"/>
      <c r="Q532" s="415"/>
    </row>
    <row r="533" spans="2:17" x14ac:dyDescent="0.15">
      <c r="B533" s="356"/>
      <c r="C533" s="348" t="s">
        <v>456</v>
      </c>
      <c r="D533" s="355"/>
      <c r="E533" s="433"/>
      <c r="F533" s="433"/>
      <c r="G533" s="439"/>
      <c r="J533" s="344" t="str">
        <f t="shared" si="8"/>
        <v/>
      </c>
      <c r="P533" s="415"/>
      <c r="Q533" s="415"/>
    </row>
    <row r="534" spans="2:17" x14ac:dyDescent="0.15">
      <c r="B534" s="356"/>
      <c r="C534" s="348" t="s">
        <v>457</v>
      </c>
      <c r="D534" s="355"/>
      <c r="E534" s="433"/>
      <c r="F534" s="433"/>
      <c r="G534" s="439"/>
      <c r="J534" s="344" t="str">
        <f t="shared" si="8"/>
        <v/>
      </c>
      <c r="P534" s="415"/>
      <c r="Q534" s="415"/>
    </row>
    <row r="535" spans="2:17" x14ac:dyDescent="0.15">
      <c r="B535" s="356"/>
      <c r="C535" s="348" t="s">
        <v>458</v>
      </c>
      <c r="D535" s="355"/>
      <c r="E535" s="433"/>
      <c r="F535" s="433"/>
      <c r="G535" s="439"/>
      <c r="J535" s="344" t="str">
        <f t="shared" si="8"/>
        <v/>
      </c>
      <c r="P535" s="415"/>
      <c r="Q535" s="415"/>
    </row>
    <row r="536" spans="2:17" x14ac:dyDescent="0.15">
      <c r="B536" s="356"/>
      <c r="C536" s="348" t="s">
        <v>459</v>
      </c>
      <c r="D536" s="355"/>
      <c r="E536" s="433"/>
      <c r="F536" s="433"/>
      <c r="G536" s="439"/>
      <c r="J536" s="344" t="str">
        <f t="shared" si="8"/>
        <v/>
      </c>
      <c r="P536" s="415"/>
      <c r="Q536" s="415"/>
    </row>
    <row r="537" spans="2:17" x14ac:dyDescent="0.15">
      <c r="B537" s="356"/>
      <c r="C537" s="348" t="s">
        <v>1038</v>
      </c>
      <c r="D537" s="355" t="s">
        <v>31</v>
      </c>
      <c r="E537" s="433"/>
      <c r="F537" s="433"/>
      <c r="G537" s="439"/>
      <c r="J537" s="344" t="str">
        <f t="shared" si="8"/>
        <v>×</v>
      </c>
      <c r="K537" s="350" t="str">
        <f>C537</f>
        <v>（９）検査結果の解析と評価</v>
      </c>
      <c r="L537" s="351"/>
      <c r="M537" s="351"/>
      <c r="N537" s="352"/>
      <c r="P537" s="415" t="str">
        <f>IF((COUNTIF(E537, "*検査結果の解析と評価*"))=1,"〇","X")</f>
        <v>X</v>
      </c>
      <c r="Q537" s="415" t="str">
        <f>IF((COUNTIF(F537, "*検査結果の解析と評価*"))=1,"〇","X")</f>
        <v>X</v>
      </c>
    </row>
    <row r="538" spans="2:17" x14ac:dyDescent="0.15">
      <c r="B538" s="356"/>
      <c r="C538" s="348" t="s">
        <v>824</v>
      </c>
      <c r="D538" s="355" t="s">
        <v>31</v>
      </c>
      <c r="E538" s="433"/>
      <c r="F538" s="433"/>
      <c r="G538" s="439"/>
      <c r="J538" s="344" t="str">
        <f t="shared" si="8"/>
        <v>×</v>
      </c>
      <c r="K538" s="350" t="str">
        <f>C538</f>
        <v>６　臨地実習＊</v>
      </c>
      <c r="L538" s="351"/>
      <c r="M538" s="351"/>
      <c r="N538" s="352"/>
      <c r="P538" s="415" t="str">
        <f>IF((COUNTIF(E538, "*臨地実習*"))=1,"〇","X")</f>
        <v>X</v>
      </c>
      <c r="Q538" s="415" t="str">
        <f>IF((COUNTIF(F538, "*臨地実習*"))=1,"〇","X")</f>
        <v>X</v>
      </c>
    </row>
    <row r="539" spans="2:17" x14ac:dyDescent="0.15">
      <c r="B539" s="356"/>
      <c r="C539" s="348"/>
      <c r="D539" s="425"/>
      <c r="E539" s="438"/>
      <c r="F539" s="438"/>
      <c r="G539" s="445"/>
      <c r="J539" s="344" t="str">
        <f t="shared" si="8"/>
        <v/>
      </c>
      <c r="P539" s="415"/>
      <c r="Q539" s="415"/>
    </row>
    <row r="540" spans="2:17" x14ac:dyDescent="0.15">
      <c r="B540" s="356"/>
      <c r="C540" s="348" t="s">
        <v>1039</v>
      </c>
      <c r="D540" s="355" t="s">
        <v>31</v>
      </c>
      <c r="E540" s="431"/>
      <c r="F540" s="431"/>
      <c r="G540" s="439"/>
      <c r="J540" s="344" t="str">
        <f t="shared" si="8"/>
        <v>×</v>
      </c>
      <c r="K540" s="350" t="str">
        <f>C540</f>
        <v>Ⅱ　放射性同位元素検査技術学</v>
      </c>
      <c r="L540" s="351"/>
      <c r="M540" s="351"/>
      <c r="N540" s="352"/>
      <c r="P540" s="415" t="str">
        <f>IF((COUNTIF(E540, "*放射性同位元素検査技術学*"))=1,"〇","X")</f>
        <v>X</v>
      </c>
      <c r="Q540" s="415" t="str">
        <f>IF((COUNTIF(F540, "*放射性同位元素検査技術学*"))=1,"〇","X")</f>
        <v>X</v>
      </c>
    </row>
    <row r="541" spans="2:17" x14ac:dyDescent="0.15">
      <c r="B541" s="356"/>
      <c r="C541" s="348" t="s">
        <v>1040</v>
      </c>
      <c r="D541" s="355" t="s">
        <v>31</v>
      </c>
      <c r="E541" s="433"/>
      <c r="F541" s="433"/>
      <c r="G541" s="439"/>
      <c r="J541" s="344" t="str">
        <f t="shared" si="8"/>
        <v>×</v>
      </c>
      <c r="K541" s="350" t="str">
        <f>C541</f>
        <v>１　放射性同位元素を用いた臨床検査</v>
      </c>
      <c r="L541" s="351"/>
      <c r="M541" s="351"/>
      <c r="N541" s="352"/>
      <c r="P541" s="415" t="str">
        <f>IF((COUNTIF(E541, "*放射性同位元素を用いた臨床検査*"))=1,"〇","X")</f>
        <v>X</v>
      </c>
      <c r="Q541" s="415" t="str">
        <f>IF((COUNTIF(F541, "*放射性同位元素を用いた臨床検査*"))=1,"〇","X")</f>
        <v>X</v>
      </c>
    </row>
    <row r="542" spans="2:17" x14ac:dyDescent="0.15">
      <c r="B542" s="356"/>
      <c r="C542" s="348" t="s">
        <v>460</v>
      </c>
      <c r="D542" s="355"/>
      <c r="E542" s="433"/>
      <c r="F542" s="433"/>
      <c r="G542" s="439"/>
      <c r="J542" s="344" t="str">
        <f t="shared" si="8"/>
        <v/>
      </c>
      <c r="P542" s="415"/>
      <c r="Q542" s="415"/>
    </row>
    <row r="543" spans="2:17" x14ac:dyDescent="0.15">
      <c r="B543" s="356"/>
      <c r="C543" s="348" t="s">
        <v>461</v>
      </c>
      <c r="D543" s="355"/>
      <c r="E543" s="433"/>
      <c r="F543" s="433"/>
      <c r="G543" s="439"/>
      <c r="J543" s="344" t="str">
        <f t="shared" si="8"/>
        <v/>
      </c>
      <c r="P543" s="415"/>
      <c r="Q543" s="415"/>
    </row>
    <row r="544" spans="2:17" x14ac:dyDescent="0.15">
      <c r="B544" s="356"/>
      <c r="C544" s="348" t="s">
        <v>462</v>
      </c>
      <c r="D544" s="355"/>
      <c r="E544" s="433"/>
      <c r="F544" s="433"/>
      <c r="G544" s="439"/>
      <c r="J544" s="344" t="str">
        <f t="shared" si="8"/>
        <v/>
      </c>
      <c r="P544" s="415"/>
      <c r="Q544" s="415"/>
    </row>
    <row r="545" spans="2:17" x14ac:dyDescent="0.15">
      <c r="B545" s="356"/>
      <c r="C545" s="348" t="s">
        <v>463</v>
      </c>
      <c r="D545" s="355"/>
      <c r="E545" s="433"/>
      <c r="F545" s="433"/>
      <c r="G545" s="439"/>
      <c r="J545" s="344" t="str">
        <f t="shared" si="8"/>
        <v/>
      </c>
      <c r="P545" s="415"/>
      <c r="Q545" s="415"/>
    </row>
    <row r="546" spans="2:17" x14ac:dyDescent="0.15">
      <c r="B546" s="356"/>
      <c r="C546" s="348" t="s">
        <v>464</v>
      </c>
      <c r="D546" s="355"/>
      <c r="E546" s="433"/>
      <c r="F546" s="433"/>
      <c r="G546" s="439"/>
      <c r="J546" s="344" t="str">
        <f t="shared" si="8"/>
        <v/>
      </c>
      <c r="P546" s="415"/>
      <c r="Q546" s="415"/>
    </row>
    <row r="547" spans="2:17" ht="14.25" thickBot="1" x14ac:dyDescent="0.2">
      <c r="B547" s="359"/>
      <c r="C547" s="360" t="s">
        <v>465</v>
      </c>
      <c r="D547" s="367"/>
      <c r="E547" s="436"/>
      <c r="F547" s="436"/>
      <c r="G547" s="441"/>
      <c r="J547" s="344" t="str">
        <f>IF(AND(OR(D547="◎",D547="◎※１"),OR(E547="",F547="",G547="")),"×","")</f>
        <v/>
      </c>
      <c r="P547" s="415"/>
      <c r="Q547" s="415"/>
    </row>
    <row r="548" spans="2:17" ht="14.25" thickBot="1" x14ac:dyDescent="0.2">
      <c r="E548" s="437"/>
      <c r="F548" s="437"/>
      <c r="G548" s="442"/>
      <c r="J548" s="344" t="str">
        <f>IF(AND(OR(D548="◎",D548="◎※１"),OR(E548="",F548="",G548="")),"×","")</f>
        <v/>
      </c>
      <c r="P548" s="415"/>
      <c r="Q548" s="415"/>
    </row>
    <row r="549" spans="2:17" x14ac:dyDescent="0.15">
      <c r="B549" s="369" t="s">
        <v>466</v>
      </c>
      <c r="C549" s="365" t="s">
        <v>1041</v>
      </c>
      <c r="D549" s="366" t="s">
        <v>31</v>
      </c>
      <c r="E549" s="431"/>
      <c r="F549" s="431"/>
      <c r="G549" s="428"/>
      <c r="J549" s="344" t="str">
        <f t="shared" si="8"/>
        <v>×</v>
      </c>
      <c r="K549" s="350" t="str">
        <f>C549</f>
        <v>１　免疫の仕組みと生体防御</v>
      </c>
      <c r="L549" s="351"/>
      <c r="M549" s="351"/>
      <c r="N549" s="352"/>
      <c r="P549" s="415" t="str">
        <f>IF((COUNTIF(E549, "*免疫の仕組みと生体防御*"))=1,"〇","X")</f>
        <v>X</v>
      </c>
      <c r="Q549" s="415" t="str">
        <f>IF((COUNTIF(F549, "*免疫の仕組みと生体防御*"))=1,"〇","X")</f>
        <v>X</v>
      </c>
    </row>
    <row r="550" spans="2:17" x14ac:dyDescent="0.15">
      <c r="B550" s="341"/>
      <c r="C550" s="348" t="s">
        <v>467</v>
      </c>
      <c r="D550" s="349"/>
      <c r="E550" s="433"/>
      <c r="F550" s="433"/>
      <c r="G550" s="439"/>
      <c r="J550" s="344" t="str">
        <f t="shared" si="8"/>
        <v/>
      </c>
      <c r="P550" s="415"/>
      <c r="Q550" s="415"/>
    </row>
    <row r="551" spans="2:17" x14ac:dyDescent="0.15">
      <c r="B551" s="341"/>
      <c r="C551" s="348" t="s">
        <v>468</v>
      </c>
      <c r="D551" s="349"/>
      <c r="E551" s="433"/>
      <c r="F551" s="433"/>
      <c r="G551" s="439"/>
      <c r="J551" s="344" t="str">
        <f t="shared" si="8"/>
        <v/>
      </c>
      <c r="P551" s="415"/>
      <c r="Q551" s="415"/>
    </row>
    <row r="552" spans="2:17" x14ac:dyDescent="0.15">
      <c r="B552" s="353"/>
      <c r="C552" s="348" t="s">
        <v>469</v>
      </c>
      <c r="D552" s="349"/>
      <c r="E552" s="433"/>
      <c r="F552" s="433"/>
      <c r="G552" s="439"/>
      <c r="J552" s="344" t="str">
        <f t="shared" si="8"/>
        <v/>
      </c>
      <c r="P552" s="415"/>
      <c r="Q552" s="415"/>
    </row>
    <row r="553" spans="2:17" ht="27" x14ac:dyDescent="0.15">
      <c r="B553" s="574" t="s">
        <v>470</v>
      </c>
      <c r="C553" s="348" t="s">
        <v>906</v>
      </c>
      <c r="D553" s="349"/>
      <c r="E553" s="433"/>
      <c r="F553" s="433"/>
      <c r="G553" s="439"/>
      <c r="J553" s="344" t="str">
        <f t="shared" si="8"/>
        <v/>
      </c>
      <c r="P553" s="415"/>
      <c r="Q553" s="415"/>
    </row>
    <row r="554" spans="2:17" x14ac:dyDescent="0.15">
      <c r="B554" s="574"/>
      <c r="C554" s="348" t="s">
        <v>1042</v>
      </c>
      <c r="D554" s="349" t="s">
        <v>31</v>
      </c>
      <c r="E554" s="433"/>
      <c r="F554" s="433"/>
      <c r="G554" s="439"/>
      <c r="J554" s="344" t="str">
        <f t="shared" si="8"/>
        <v>×</v>
      </c>
      <c r="K554" s="350" t="str">
        <f>C554</f>
        <v>2　免疫と疾患の関わり</v>
      </c>
      <c r="L554" s="351"/>
      <c r="M554" s="351"/>
      <c r="N554" s="352"/>
      <c r="P554" s="415" t="str">
        <f>IF((COUNTIF(E554, "*免疫と疾患の関わり*"))=1,"〇","X")</f>
        <v>X</v>
      </c>
      <c r="Q554" s="415" t="str">
        <f>IF((COUNTIF(F554, "*免疫と疾患の関わり*"))=1,"〇","X")</f>
        <v>X</v>
      </c>
    </row>
    <row r="555" spans="2:17" x14ac:dyDescent="0.15">
      <c r="B555" s="574"/>
      <c r="C555" s="348" t="s">
        <v>471</v>
      </c>
      <c r="D555" s="349"/>
      <c r="E555" s="433"/>
      <c r="F555" s="433"/>
      <c r="G555" s="439"/>
      <c r="J555" s="344" t="str">
        <f t="shared" si="8"/>
        <v/>
      </c>
      <c r="P555" s="415"/>
      <c r="Q555" s="415"/>
    </row>
    <row r="556" spans="2:17" x14ac:dyDescent="0.15">
      <c r="B556" s="574"/>
      <c r="C556" s="348" t="s">
        <v>472</v>
      </c>
      <c r="D556" s="349"/>
      <c r="E556" s="433"/>
      <c r="F556" s="433"/>
      <c r="G556" s="439"/>
      <c r="J556" s="344" t="str">
        <f t="shared" si="8"/>
        <v/>
      </c>
      <c r="P556" s="415"/>
      <c r="Q556" s="415"/>
    </row>
    <row r="557" spans="2:17" x14ac:dyDescent="0.15">
      <c r="B557" s="574"/>
      <c r="C557" s="348" t="s">
        <v>473</v>
      </c>
      <c r="D557" s="349"/>
      <c r="E557" s="433"/>
      <c r="F557" s="433"/>
      <c r="G557" s="439"/>
      <c r="J557" s="344" t="str">
        <f t="shared" si="8"/>
        <v/>
      </c>
      <c r="P557" s="415"/>
      <c r="Q557" s="415"/>
    </row>
    <row r="558" spans="2:17" x14ac:dyDescent="0.15">
      <c r="B558" s="574"/>
      <c r="C558" s="348" t="s">
        <v>474</v>
      </c>
      <c r="D558" s="349"/>
      <c r="E558" s="433"/>
      <c r="F558" s="433"/>
      <c r="G558" s="439"/>
      <c r="J558" s="344" t="str">
        <f t="shared" si="8"/>
        <v/>
      </c>
      <c r="P558" s="415"/>
      <c r="Q558" s="415"/>
    </row>
    <row r="559" spans="2:17" x14ac:dyDescent="0.15">
      <c r="B559" s="574"/>
      <c r="C559" s="348" t="s">
        <v>475</v>
      </c>
      <c r="D559" s="349"/>
      <c r="E559" s="433"/>
      <c r="F559" s="433"/>
      <c r="G559" s="439"/>
      <c r="J559" s="344" t="str">
        <f t="shared" si="8"/>
        <v/>
      </c>
      <c r="P559" s="415"/>
      <c r="Q559" s="415"/>
    </row>
    <row r="560" spans="2:17" x14ac:dyDescent="0.15">
      <c r="B560" s="574"/>
      <c r="C560" s="348" t="s">
        <v>476</v>
      </c>
      <c r="D560" s="349"/>
      <c r="E560" s="433"/>
      <c r="F560" s="433"/>
      <c r="G560" s="439"/>
      <c r="J560" s="344" t="str">
        <f t="shared" si="8"/>
        <v/>
      </c>
      <c r="P560" s="415"/>
      <c r="Q560" s="415"/>
    </row>
    <row r="561" spans="2:17" x14ac:dyDescent="0.15">
      <c r="B561" s="574"/>
      <c r="C561" s="348" t="s">
        <v>1043</v>
      </c>
      <c r="D561" s="349" t="s">
        <v>31</v>
      </c>
      <c r="E561" s="433"/>
      <c r="F561" s="433"/>
      <c r="G561" s="439"/>
      <c r="J561" s="344" t="str">
        <f t="shared" si="8"/>
        <v>×</v>
      </c>
      <c r="K561" s="350" t="str">
        <f>C561</f>
        <v>３　免疫学的検査法</v>
      </c>
      <c r="L561" s="351"/>
      <c r="M561" s="351"/>
      <c r="N561" s="352"/>
      <c r="P561" s="415" t="str">
        <f>IF((COUNTIF(E561, "*免疫学的検査法*"))=1,"〇","X")</f>
        <v>X</v>
      </c>
      <c r="Q561" s="415" t="str">
        <f>IF((COUNTIF(F561, "*免疫学的検査法*"))=1,"〇","X")</f>
        <v>X</v>
      </c>
    </row>
    <row r="562" spans="2:17" x14ac:dyDescent="0.15">
      <c r="B562" s="574"/>
      <c r="C562" s="348" t="s">
        <v>477</v>
      </c>
      <c r="D562" s="349"/>
      <c r="E562" s="433"/>
      <c r="F562" s="433"/>
      <c r="G562" s="439"/>
      <c r="J562" s="344" t="str">
        <f t="shared" si="8"/>
        <v/>
      </c>
      <c r="P562" s="415"/>
      <c r="Q562" s="415"/>
    </row>
    <row r="563" spans="2:17" x14ac:dyDescent="0.15">
      <c r="B563" s="574"/>
      <c r="C563" s="348" t="s">
        <v>478</v>
      </c>
      <c r="D563" s="349"/>
      <c r="E563" s="433"/>
      <c r="F563" s="433"/>
      <c r="G563" s="439"/>
      <c r="J563" s="344" t="str">
        <f t="shared" si="8"/>
        <v/>
      </c>
      <c r="P563" s="415"/>
      <c r="Q563" s="415"/>
    </row>
    <row r="564" spans="2:17" x14ac:dyDescent="0.15">
      <c r="B564" s="574"/>
      <c r="C564" s="348" t="s">
        <v>479</v>
      </c>
      <c r="D564" s="349"/>
      <c r="E564" s="433"/>
      <c r="F564" s="433"/>
      <c r="G564" s="439"/>
      <c r="J564" s="344" t="str">
        <f t="shared" si="8"/>
        <v/>
      </c>
      <c r="P564" s="415"/>
      <c r="Q564" s="415"/>
    </row>
    <row r="565" spans="2:17" x14ac:dyDescent="0.15">
      <c r="B565" s="574"/>
      <c r="C565" s="348" t="s">
        <v>480</v>
      </c>
      <c r="D565" s="354"/>
      <c r="E565" s="433"/>
      <c r="F565" s="433"/>
      <c r="G565" s="439"/>
      <c r="J565" s="344" t="str">
        <f t="shared" si="8"/>
        <v/>
      </c>
      <c r="P565" s="415"/>
      <c r="Q565" s="415"/>
    </row>
    <row r="566" spans="2:17" x14ac:dyDescent="0.15">
      <c r="B566" s="574"/>
      <c r="C566" s="348" t="s">
        <v>481</v>
      </c>
      <c r="D566" s="354"/>
      <c r="E566" s="433"/>
      <c r="F566" s="433"/>
      <c r="G566" s="439"/>
      <c r="J566" s="344" t="str">
        <f t="shared" si="8"/>
        <v/>
      </c>
      <c r="P566" s="415"/>
      <c r="Q566" s="415"/>
    </row>
    <row r="567" spans="2:17" x14ac:dyDescent="0.15">
      <c r="B567" s="574"/>
      <c r="C567" s="348" t="s">
        <v>1033</v>
      </c>
      <c r="D567" s="354" t="s">
        <v>31</v>
      </c>
      <c r="E567" s="433"/>
      <c r="F567" s="433"/>
      <c r="G567" s="439"/>
      <c r="J567" s="344" t="str">
        <f t="shared" si="8"/>
        <v>×</v>
      </c>
      <c r="K567" s="350" t="str">
        <f>C567</f>
        <v>４　学内実習</v>
      </c>
      <c r="L567" s="351"/>
      <c r="M567" s="351"/>
      <c r="N567" s="352"/>
      <c r="P567" s="415" t="str">
        <f>IF((COUNTIF(E567, "*学内実習*"))=1,"〇","X")</f>
        <v>X</v>
      </c>
      <c r="Q567" s="415" t="str">
        <f>IF((COUNTIF(F567, "学内実習*"))=1,"〇","X")</f>
        <v>X</v>
      </c>
    </row>
    <row r="568" spans="2:17" ht="27" x14ac:dyDescent="0.15">
      <c r="B568" s="574"/>
      <c r="C568" s="348" t="s">
        <v>907</v>
      </c>
      <c r="D568" s="354"/>
      <c r="E568" s="433"/>
      <c r="F568" s="433"/>
      <c r="G568" s="439"/>
      <c r="J568" s="344" t="str">
        <f t="shared" si="8"/>
        <v/>
      </c>
      <c r="P568" s="415"/>
      <c r="Q568" s="415"/>
    </row>
    <row r="569" spans="2:17" x14ac:dyDescent="0.15">
      <c r="B569" s="356"/>
      <c r="C569" s="348" t="s">
        <v>482</v>
      </c>
      <c r="D569" s="355"/>
      <c r="E569" s="433"/>
      <c r="F569" s="433"/>
      <c r="G569" s="439"/>
      <c r="J569" s="344" t="str">
        <f t="shared" si="8"/>
        <v/>
      </c>
      <c r="P569" s="415"/>
      <c r="Q569" s="415"/>
    </row>
    <row r="570" spans="2:17" x14ac:dyDescent="0.15">
      <c r="B570" s="356"/>
      <c r="C570" s="348" t="s">
        <v>483</v>
      </c>
      <c r="D570" s="355"/>
      <c r="E570" s="433"/>
      <c r="F570" s="433"/>
      <c r="G570" s="439"/>
      <c r="J570" s="344" t="str">
        <f t="shared" si="8"/>
        <v/>
      </c>
      <c r="P570" s="415"/>
      <c r="Q570" s="415"/>
    </row>
    <row r="571" spans="2:17" x14ac:dyDescent="0.15">
      <c r="B571" s="356"/>
      <c r="C571" s="348" t="s">
        <v>484</v>
      </c>
      <c r="D571" s="355"/>
      <c r="E571" s="433"/>
      <c r="F571" s="433"/>
      <c r="G571" s="439"/>
      <c r="J571" s="344" t="str">
        <f t="shared" si="8"/>
        <v/>
      </c>
      <c r="P571" s="415"/>
      <c r="Q571" s="415"/>
    </row>
    <row r="572" spans="2:17" x14ac:dyDescent="0.15">
      <c r="B572" s="356"/>
      <c r="C572" s="348" t="s">
        <v>485</v>
      </c>
      <c r="D572" s="355"/>
      <c r="E572" s="433"/>
      <c r="F572" s="433"/>
      <c r="G572" s="439"/>
      <c r="J572" s="344" t="str">
        <f t="shared" si="8"/>
        <v/>
      </c>
      <c r="P572" s="415"/>
      <c r="Q572" s="415"/>
    </row>
    <row r="573" spans="2:17" x14ac:dyDescent="0.15">
      <c r="B573" s="356"/>
      <c r="C573" s="348" t="s">
        <v>486</v>
      </c>
      <c r="D573" s="355"/>
      <c r="E573" s="433"/>
      <c r="F573" s="433"/>
      <c r="G573" s="439"/>
      <c r="J573" s="344" t="str">
        <f t="shared" si="8"/>
        <v/>
      </c>
      <c r="P573" s="415"/>
      <c r="Q573" s="415"/>
    </row>
    <row r="574" spans="2:17" x14ac:dyDescent="0.15">
      <c r="B574" s="356"/>
      <c r="C574" s="348" t="s">
        <v>487</v>
      </c>
      <c r="D574" s="355"/>
      <c r="E574" s="433"/>
      <c r="F574" s="433"/>
      <c r="G574" s="439"/>
      <c r="J574" s="344" t="str">
        <f t="shared" si="8"/>
        <v/>
      </c>
      <c r="P574" s="415"/>
      <c r="Q574" s="415"/>
    </row>
    <row r="575" spans="2:17" x14ac:dyDescent="0.15">
      <c r="B575" s="356"/>
      <c r="C575" s="348" t="s">
        <v>488</v>
      </c>
      <c r="D575" s="355"/>
      <c r="E575" s="433"/>
      <c r="F575" s="433"/>
      <c r="G575" s="439"/>
      <c r="J575" s="344" t="str">
        <f t="shared" si="8"/>
        <v/>
      </c>
      <c r="P575" s="415"/>
      <c r="Q575" s="415"/>
    </row>
    <row r="576" spans="2:17" x14ac:dyDescent="0.15">
      <c r="B576" s="356"/>
      <c r="C576" s="348" t="s">
        <v>489</v>
      </c>
      <c r="D576" s="355"/>
      <c r="E576" s="433"/>
      <c r="F576" s="433"/>
      <c r="G576" s="439"/>
      <c r="J576" s="344" t="str">
        <f t="shared" si="8"/>
        <v/>
      </c>
      <c r="P576" s="415"/>
      <c r="Q576" s="415"/>
    </row>
    <row r="577" spans="2:17" x14ac:dyDescent="0.15">
      <c r="B577" s="356"/>
      <c r="C577" s="348" t="s">
        <v>490</v>
      </c>
      <c r="D577" s="355"/>
      <c r="E577" s="433"/>
      <c r="F577" s="433"/>
      <c r="G577" s="439"/>
      <c r="J577" s="344" t="str">
        <f t="shared" si="8"/>
        <v/>
      </c>
      <c r="P577" s="415"/>
      <c r="Q577" s="415"/>
    </row>
    <row r="578" spans="2:17" x14ac:dyDescent="0.15">
      <c r="B578" s="356"/>
      <c r="C578" s="348" t="s">
        <v>491</v>
      </c>
      <c r="D578" s="355"/>
      <c r="E578" s="433"/>
      <c r="F578" s="433"/>
      <c r="G578" s="439"/>
      <c r="J578" s="344" t="str">
        <f t="shared" si="8"/>
        <v/>
      </c>
      <c r="P578" s="415"/>
      <c r="Q578" s="415"/>
    </row>
    <row r="579" spans="2:17" x14ac:dyDescent="0.15">
      <c r="B579" s="356"/>
      <c r="C579" s="348" t="s">
        <v>492</v>
      </c>
      <c r="D579" s="355"/>
      <c r="E579" s="433"/>
      <c r="F579" s="433"/>
      <c r="G579" s="439"/>
      <c r="J579" s="344" t="str">
        <f t="shared" si="8"/>
        <v/>
      </c>
      <c r="P579" s="415"/>
      <c r="Q579" s="415"/>
    </row>
    <row r="580" spans="2:17" x14ac:dyDescent="0.15">
      <c r="B580" s="356"/>
      <c r="C580" s="348" t="s">
        <v>493</v>
      </c>
      <c r="D580" s="355"/>
      <c r="E580" s="433"/>
      <c r="F580" s="433"/>
      <c r="G580" s="439"/>
      <c r="J580" s="344" t="str">
        <f t="shared" si="8"/>
        <v/>
      </c>
      <c r="P580" s="415"/>
      <c r="Q580" s="415"/>
    </row>
    <row r="581" spans="2:17" x14ac:dyDescent="0.15">
      <c r="B581" s="356"/>
      <c r="C581" s="348" t="s">
        <v>361</v>
      </c>
      <c r="D581" s="355" t="s">
        <v>31</v>
      </c>
      <c r="E581" s="433"/>
      <c r="F581" s="433"/>
      <c r="G581" s="439"/>
      <c r="J581" s="344" t="str">
        <f t="shared" si="8"/>
        <v>×</v>
      </c>
      <c r="K581" s="350" t="str">
        <f>C581</f>
        <v>（14）検査結果の解析と評価</v>
      </c>
      <c r="L581" s="351"/>
      <c r="M581" s="351"/>
      <c r="N581" s="352"/>
      <c r="P581" s="415" t="str">
        <f>IF((COUNTIF(E581, "*検査結果の解析と評価*"))=1,"〇","X")</f>
        <v>X</v>
      </c>
      <c r="Q581" s="415" t="str">
        <f>IF((COUNTIF(F581, "*検査結果の解析と評価*"))=1,"〇","X")</f>
        <v>X</v>
      </c>
    </row>
    <row r="582" spans="2:17" ht="14.25" thickBot="1" x14ac:dyDescent="0.2">
      <c r="B582" s="359"/>
      <c r="C582" s="360" t="s">
        <v>1035</v>
      </c>
      <c r="D582" s="367" t="s">
        <v>31</v>
      </c>
      <c r="E582" s="436"/>
      <c r="F582" s="436"/>
      <c r="G582" s="441"/>
      <c r="J582" s="344" t="str">
        <f t="shared" si="8"/>
        <v>×</v>
      </c>
      <c r="K582" s="350" t="str">
        <f>C582</f>
        <v>５　臨地実習＊</v>
      </c>
      <c r="L582" s="351"/>
      <c r="M582" s="351"/>
      <c r="N582" s="352"/>
      <c r="P582" s="415" t="str">
        <f>IF((COUNTIF(E582, "*臨地実習*"))=1,"〇","X")</f>
        <v>X</v>
      </c>
      <c r="Q582" s="415" t="str">
        <f>IF((COUNTIF(F582, "*臨地実習*"))=1,"〇","X")</f>
        <v>X</v>
      </c>
    </row>
    <row r="583" spans="2:17" ht="14.25" thickBot="1" x14ac:dyDescent="0.2">
      <c r="E583" s="437"/>
      <c r="F583" s="437"/>
      <c r="G583" s="427"/>
      <c r="J583" s="344" t="str">
        <f t="shared" ref="J583:J647" si="9">IF(AND(OR(D583="◎",D583="◎※１"),OR(E583="",F583="",G583="")),"×","")</f>
        <v/>
      </c>
      <c r="P583" s="415"/>
      <c r="Q583" s="415"/>
    </row>
    <row r="584" spans="2:17" ht="27" x14ac:dyDescent="0.15">
      <c r="B584" s="369" t="s">
        <v>494</v>
      </c>
      <c r="C584" s="365" t="s">
        <v>1044</v>
      </c>
      <c r="D584" s="366" t="s">
        <v>31</v>
      </c>
      <c r="E584" s="431"/>
      <c r="F584" s="431"/>
      <c r="G584" s="443"/>
      <c r="J584" s="344" t="str">
        <f t="shared" si="9"/>
        <v>×</v>
      </c>
      <c r="K584" s="350" t="str">
        <f>C584</f>
        <v>１　ゲノムの基礎</v>
      </c>
      <c r="L584" s="351"/>
      <c r="M584" s="351"/>
      <c r="N584" s="352"/>
      <c r="P584" s="415" t="str">
        <f>IF((COUNTIF(E584, "*ゲノムの基礎*"))=1,"〇","X")</f>
        <v>X</v>
      </c>
      <c r="Q584" s="415" t="str">
        <f>IF((COUNTIF(F584, "*ゲノムの基礎*"))=1,"〇","X")</f>
        <v>X</v>
      </c>
    </row>
    <row r="585" spans="2:17" x14ac:dyDescent="0.15">
      <c r="B585" s="341"/>
      <c r="C585" s="348" t="s">
        <v>495</v>
      </c>
      <c r="D585" s="349"/>
      <c r="E585" s="433"/>
      <c r="F585" s="433"/>
      <c r="G585" s="439"/>
      <c r="J585" s="344" t="str">
        <f t="shared" si="9"/>
        <v/>
      </c>
      <c r="P585" s="415"/>
      <c r="Q585" s="415"/>
    </row>
    <row r="586" spans="2:17" x14ac:dyDescent="0.15">
      <c r="B586" s="341" t="s">
        <v>496</v>
      </c>
      <c r="C586" s="348" t="s">
        <v>497</v>
      </c>
      <c r="D586" s="349"/>
      <c r="E586" s="433"/>
      <c r="F586" s="433"/>
      <c r="G586" s="439"/>
      <c r="J586" s="344" t="str">
        <f t="shared" si="9"/>
        <v/>
      </c>
      <c r="P586" s="415"/>
      <c r="Q586" s="415"/>
    </row>
    <row r="587" spans="2:17" x14ac:dyDescent="0.15">
      <c r="B587" s="353"/>
      <c r="C587" s="348" t="s">
        <v>498</v>
      </c>
      <c r="D587" s="349"/>
      <c r="E587" s="433"/>
      <c r="F587" s="433"/>
      <c r="G587" s="439"/>
      <c r="I587" s="333" t="b">
        <v>0</v>
      </c>
      <c r="J587" s="344" t="str">
        <f t="shared" si="9"/>
        <v/>
      </c>
      <c r="P587" s="415"/>
      <c r="Q587" s="415"/>
    </row>
    <row r="588" spans="2:17" x14ac:dyDescent="0.15">
      <c r="B588" s="574" t="s">
        <v>241</v>
      </c>
      <c r="C588" s="348" t="s">
        <v>499</v>
      </c>
      <c r="D588" s="349"/>
      <c r="E588" s="433"/>
      <c r="F588" s="433"/>
      <c r="G588" s="439"/>
      <c r="J588" s="344" t="str">
        <f t="shared" si="9"/>
        <v/>
      </c>
      <c r="P588" s="415"/>
      <c r="Q588" s="415"/>
    </row>
    <row r="589" spans="2:17" x14ac:dyDescent="0.15">
      <c r="B589" s="574"/>
      <c r="C589" s="348" t="s">
        <v>500</v>
      </c>
      <c r="D589" s="349"/>
      <c r="E589" s="433"/>
      <c r="F589" s="433"/>
      <c r="G589" s="439"/>
      <c r="J589" s="344" t="str">
        <f t="shared" si="9"/>
        <v/>
      </c>
      <c r="P589" s="415"/>
      <c r="Q589" s="415"/>
    </row>
    <row r="590" spans="2:17" x14ac:dyDescent="0.15">
      <c r="B590" s="574"/>
      <c r="C590" s="348" t="s">
        <v>1045</v>
      </c>
      <c r="D590" s="349" t="s">
        <v>31</v>
      </c>
      <c r="E590" s="433"/>
      <c r="F590" s="433"/>
      <c r="G590" s="439"/>
      <c r="J590" s="344" t="str">
        <f t="shared" si="9"/>
        <v>×</v>
      </c>
      <c r="K590" s="350" t="str">
        <f>C590</f>
        <v>２　染色体の基礎</v>
      </c>
      <c r="L590" s="351"/>
      <c r="M590" s="351"/>
      <c r="N590" s="352"/>
      <c r="P590" s="415" t="str">
        <f>IF((COUNTIF(E590, "*染色体の基礎*"))=1,"〇","X")</f>
        <v>X</v>
      </c>
      <c r="Q590" s="415" t="str">
        <f>IF((COUNTIF(F590, "*染色体の基礎*"))=1,"〇","X")</f>
        <v>X</v>
      </c>
    </row>
    <row r="591" spans="2:17" x14ac:dyDescent="0.15">
      <c r="B591" s="574"/>
      <c r="C591" s="348" t="s">
        <v>501</v>
      </c>
      <c r="D591" s="349"/>
      <c r="E591" s="433"/>
      <c r="F591" s="433"/>
      <c r="G591" s="439"/>
      <c r="J591" s="344" t="str">
        <f t="shared" si="9"/>
        <v/>
      </c>
      <c r="P591" s="415"/>
      <c r="Q591" s="415"/>
    </row>
    <row r="592" spans="2:17" x14ac:dyDescent="0.15">
      <c r="B592" s="574"/>
      <c r="C592" s="348" t="s">
        <v>502</v>
      </c>
      <c r="D592" s="349"/>
      <c r="E592" s="433"/>
      <c r="F592" s="433"/>
      <c r="G592" s="439"/>
      <c r="J592" s="344" t="str">
        <f t="shared" si="9"/>
        <v/>
      </c>
      <c r="P592" s="415"/>
      <c r="Q592" s="415"/>
    </row>
    <row r="593" spans="2:17" x14ac:dyDescent="0.15">
      <c r="B593" s="574"/>
      <c r="C593" s="348" t="s">
        <v>503</v>
      </c>
      <c r="D593" s="349"/>
      <c r="E593" s="433"/>
      <c r="F593" s="433"/>
      <c r="G593" s="439"/>
      <c r="J593" s="344" t="str">
        <f t="shared" si="9"/>
        <v/>
      </c>
      <c r="P593" s="415"/>
      <c r="Q593" s="415"/>
    </row>
    <row r="594" spans="2:17" x14ac:dyDescent="0.15">
      <c r="B594" s="574"/>
      <c r="C594" s="348" t="s">
        <v>504</v>
      </c>
      <c r="D594" s="349"/>
      <c r="E594" s="433"/>
      <c r="F594" s="433"/>
      <c r="G594" s="439"/>
      <c r="J594" s="344" t="str">
        <f t="shared" si="9"/>
        <v/>
      </c>
      <c r="P594" s="415"/>
      <c r="Q594" s="415"/>
    </row>
    <row r="595" spans="2:17" x14ac:dyDescent="0.15">
      <c r="B595" s="574"/>
      <c r="C595" s="348" t="s">
        <v>1046</v>
      </c>
      <c r="D595" s="349" t="s">
        <v>31</v>
      </c>
      <c r="E595" s="433"/>
      <c r="F595" s="433"/>
      <c r="G595" s="439"/>
      <c r="J595" s="344" t="str">
        <f t="shared" si="9"/>
        <v>×</v>
      </c>
      <c r="K595" s="350" t="str">
        <f>C595</f>
        <v>３　遺伝子検査法</v>
      </c>
      <c r="L595" s="351"/>
      <c r="M595" s="351"/>
      <c r="N595" s="352"/>
      <c r="P595" s="415" t="str">
        <f>IF((COUNTIF(E595, "*遺伝子検査法*"))=1,"〇","X")</f>
        <v>X</v>
      </c>
      <c r="Q595" s="415" t="str">
        <f>IF((COUNTIF(F595, "*遺伝子検査法*"))=1,"〇","X")</f>
        <v>X</v>
      </c>
    </row>
    <row r="596" spans="2:17" x14ac:dyDescent="0.15">
      <c r="B596" s="574"/>
      <c r="C596" s="348" t="s">
        <v>505</v>
      </c>
      <c r="D596" s="349"/>
      <c r="E596" s="433"/>
      <c r="F596" s="433"/>
      <c r="G596" s="439"/>
      <c r="J596" s="344" t="str">
        <f t="shared" si="9"/>
        <v/>
      </c>
      <c r="P596" s="415"/>
      <c r="Q596" s="415"/>
    </row>
    <row r="597" spans="2:17" x14ac:dyDescent="0.15">
      <c r="B597" s="574"/>
      <c r="C597" s="348" t="s">
        <v>506</v>
      </c>
      <c r="D597" s="349"/>
      <c r="E597" s="433"/>
      <c r="F597" s="433"/>
      <c r="G597" s="439"/>
      <c r="J597" s="344" t="str">
        <f t="shared" si="9"/>
        <v/>
      </c>
      <c r="P597" s="415"/>
      <c r="Q597" s="415"/>
    </row>
    <row r="598" spans="2:17" x14ac:dyDescent="0.15">
      <c r="B598" s="574"/>
      <c r="C598" s="348" t="s">
        <v>507</v>
      </c>
      <c r="D598" s="349"/>
      <c r="E598" s="433"/>
      <c r="F598" s="433"/>
      <c r="G598" s="439"/>
      <c r="J598" s="344" t="str">
        <f t="shared" si="9"/>
        <v/>
      </c>
      <c r="P598" s="415"/>
      <c r="Q598" s="415"/>
    </row>
    <row r="599" spans="2:17" x14ac:dyDescent="0.15">
      <c r="B599" s="574"/>
      <c r="C599" s="348" t="s">
        <v>508</v>
      </c>
      <c r="D599" s="349"/>
      <c r="E599" s="433"/>
      <c r="F599" s="433"/>
      <c r="G599" s="439"/>
      <c r="J599" s="344" t="str">
        <f t="shared" si="9"/>
        <v/>
      </c>
      <c r="P599" s="415"/>
      <c r="Q599" s="415"/>
    </row>
    <row r="600" spans="2:17" x14ac:dyDescent="0.15">
      <c r="B600" s="574"/>
      <c r="C600" s="348" t="s">
        <v>509</v>
      </c>
      <c r="D600" s="354"/>
      <c r="E600" s="433"/>
      <c r="F600" s="433"/>
      <c r="G600" s="439"/>
      <c r="J600" s="344" t="str">
        <f t="shared" si="9"/>
        <v/>
      </c>
      <c r="P600" s="415"/>
      <c r="Q600" s="415"/>
    </row>
    <row r="601" spans="2:17" x14ac:dyDescent="0.15">
      <c r="B601" s="574"/>
      <c r="C601" s="348" t="s">
        <v>510</v>
      </c>
      <c r="D601" s="354"/>
      <c r="E601" s="433"/>
      <c r="F601" s="433"/>
      <c r="G601" s="439"/>
      <c r="J601" s="344" t="str">
        <f t="shared" si="9"/>
        <v/>
      </c>
      <c r="P601" s="415"/>
      <c r="Q601" s="415"/>
    </row>
    <row r="602" spans="2:17" x14ac:dyDescent="0.15">
      <c r="B602" s="574"/>
      <c r="C602" s="348" t="s">
        <v>1047</v>
      </c>
      <c r="D602" s="354" t="s">
        <v>31</v>
      </c>
      <c r="E602" s="433"/>
      <c r="F602" s="433"/>
      <c r="G602" s="439"/>
      <c r="J602" s="344" t="str">
        <f t="shared" si="9"/>
        <v>×</v>
      </c>
      <c r="K602" s="350" t="str">
        <f>C602</f>
        <v>４　染色体検査法</v>
      </c>
      <c r="L602" s="351"/>
      <c r="M602" s="351"/>
      <c r="N602" s="352"/>
      <c r="P602" s="415" t="str">
        <f>IF((COUNTIF(E602, "*染色体検査法*"))=1,"〇","X")</f>
        <v>X</v>
      </c>
      <c r="Q602" s="415" t="str">
        <f>IF((COUNTIF(F602, "*染色体検査法*"))=1,"〇","X")</f>
        <v>X</v>
      </c>
    </row>
    <row r="603" spans="2:17" x14ac:dyDescent="0.15">
      <c r="B603" s="574"/>
      <c r="C603" s="348" t="s">
        <v>511</v>
      </c>
      <c r="D603" s="354"/>
      <c r="E603" s="433"/>
      <c r="F603" s="433"/>
      <c r="G603" s="439"/>
      <c r="J603" s="344" t="str">
        <f t="shared" si="9"/>
        <v/>
      </c>
      <c r="P603" s="415"/>
      <c r="Q603" s="415"/>
    </row>
    <row r="604" spans="2:17" x14ac:dyDescent="0.15">
      <c r="B604" s="356"/>
      <c r="C604" s="348" t="s">
        <v>512</v>
      </c>
      <c r="D604" s="355"/>
      <c r="E604" s="433"/>
      <c r="F604" s="433"/>
      <c r="G604" s="439"/>
      <c r="J604" s="344" t="str">
        <f t="shared" si="9"/>
        <v/>
      </c>
      <c r="P604" s="415"/>
      <c r="Q604" s="415"/>
    </row>
    <row r="605" spans="2:17" x14ac:dyDescent="0.15">
      <c r="B605" s="356"/>
      <c r="C605" s="348" t="s">
        <v>513</v>
      </c>
      <c r="D605" s="355"/>
      <c r="E605" s="433"/>
      <c r="F605" s="433"/>
      <c r="G605" s="439"/>
      <c r="J605" s="344" t="str">
        <f t="shared" si="9"/>
        <v/>
      </c>
      <c r="P605" s="415"/>
      <c r="Q605" s="415"/>
    </row>
    <row r="606" spans="2:17" x14ac:dyDescent="0.15">
      <c r="B606" s="356"/>
      <c r="C606" s="348" t="s">
        <v>514</v>
      </c>
      <c r="D606" s="355"/>
      <c r="E606" s="433"/>
      <c r="F606" s="433"/>
      <c r="G606" s="439"/>
      <c r="J606" s="344" t="str">
        <f t="shared" si="9"/>
        <v/>
      </c>
      <c r="P606" s="415"/>
      <c r="Q606" s="415"/>
    </row>
    <row r="607" spans="2:17" x14ac:dyDescent="0.15">
      <c r="B607" s="356"/>
      <c r="C607" s="348" t="s">
        <v>515</v>
      </c>
      <c r="D607" s="355"/>
      <c r="E607" s="433"/>
      <c r="F607" s="433"/>
      <c r="G607" s="439"/>
      <c r="J607" s="344" t="str">
        <f t="shared" si="9"/>
        <v/>
      </c>
      <c r="P607" s="415"/>
      <c r="Q607" s="415"/>
    </row>
    <row r="608" spans="2:17" x14ac:dyDescent="0.15">
      <c r="B608" s="356"/>
      <c r="C608" s="348" t="s">
        <v>516</v>
      </c>
      <c r="D608" s="355"/>
      <c r="E608" s="433"/>
      <c r="F608" s="433"/>
      <c r="G608" s="439"/>
      <c r="J608" s="344" t="str">
        <f t="shared" si="9"/>
        <v/>
      </c>
      <c r="P608" s="415"/>
      <c r="Q608" s="415"/>
    </row>
    <row r="609" spans="2:17" x14ac:dyDescent="0.15">
      <c r="B609" s="356"/>
      <c r="C609" s="348" t="s">
        <v>1009</v>
      </c>
      <c r="D609" s="355" t="s">
        <v>31</v>
      </c>
      <c r="E609" s="433"/>
      <c r="F609" s="433"/>
      <c r="G609" s="439"/>
      <c r="J609" s="344" t="str">
        <f t="shared" si="9"/>
        <v>×</v>
      </c>
      <c r="K609" s="350" t="str">
        <f>C609</f>
        <v>５　学内実習</v>
      </c>
      <c r="L609" s="351"/>
      <c r="M609" s="351"/>
      <c r="N609" s="352"/>
      <c r="P609" s="415" t="str">
        <f>IF((COUNTIF(E609, "*学内実習*"))=1,"〇","X")</f>
        <v>X</v>
      </c>
      <c r="Q609" s="415" t="str">
        <f>IF((COUNTIF(F609, "*学内実習*"))=1,"〇","X")</f>
        <v>X</v>
      </c>
    </row>
    <row r="610" spans="2:17" x14ac:dyDescent="0.15">
      <c r="B610" s="356"/>
      <c r="C610" s="348" t="s">
        <v>517</v>
      </c>
      <c r="D610" s="355"/>
      <c r="E610" s="433"/>
      <c r="F610" s="433"/>
      <c r="G610" s="439"/>
      <c r="J610" s="344" t="str">
        <f t="shared" si="9"/>
        <v/>
      </c>
      <c r="P610" s="415"/>
      <c r="Q610" s="415"/>
    </row>
    <row r="611" spans="2:17" x14ac:dyDescent="0.15">
      <c r="B611" s="356"/>
      <c r="C611" s="348" t="s">
        <v>518</v>
      </c>
      <c r="D611" s="355"/>
      <c r="E611" s="433"/>
      <c r="F611" s="433"/>
      <c r="G611" s="439"/>
      <c r="J611" s="344" t="str">
        <f t="shared" si="9"/>
        <v/>
      </c>
      <c r="P611" s="415"/>
      <c r="Q611" s="415"/>
    </row>
    <row r="612" spans="2:17" x14ac:dyDescent="0.15">
      <c r="B612" s="356"/>
      <c r="C612" s="348" t="s">
        <v>519</v>
      </c>
      <c r="D612" s="355"/>
      <c r="E612" s="433"/>
      <c r="F612" s="433"/>
      <c r="G612" s="439"/>
      <c r="J612" s="344" t="str">
        <f t="shared" si="9"/>
        <v/>
      </c>
      <c r="P612" s="415"/>
      <c r="Q612" s="415"/>
    </row>
    <row r="613" spans="2:17" x14ac:dyDescent="0.15">
      <c r="B613" s="356"/>
      <c r="C613" s="348" t="s">
        <v>520</v>
      </c>
      <c r="D613" s="355"/>
      <c r="E613" s="433"/>
      <c r="F613" s="433"/>
      <c r="G613" s="439"/>
      <c r="J613" s="344" t="str">
        <f t="shared" si="9"/>
        <v/>
      </c>
      <c r="P613" s="415"/>
      <c r="Q613" s="415"/>
    </row>
    <row r="614" spans="2:17" x14ac:dyDescent="0.15">
      <c r="B614" s="356"/>
      <c r="C614" s="348" t="s">
        <v>521</v>
      </c>
      <c r="D614" s="355"/>
      <c r="E614" s="433"/>
      <c r="F614" s="433"/>
      <c r="G614" s="439"/>
      <c r="J614" s="344" t="str">
        <f t="shared" si="9"/>
        <v/>
      </c>
      <c r="P614" s="415"/>
      <c r="Q614" s="415"/>
    </row>
    <row r="615" spans="2:17" x14ac:dyDescent="0.15">
      <c r="B615" s="356"/>
      <c r="C615" s="348" t="s">
        <v>522</v>
      </c>
      <c r="D615" s="355"/>
      <c r="E615" s="433"/>
      <c r="F615" s="433"/>
      <c r="G615" s="439"/>
      <c r="J615" s="344" t="str">
        <f t="shared" si="9"/>
        <v/>
      </c>
      <c r="P615" s="415"/>
      <c r="Q615" s="415"/>
    </row>
    <row r="616" spans="2:17" x14ac:dyDescent="0.15">
      <c r="B616" s="356"/>
      <c r="C616" s="348" t="s">
        <v>1034</v>
      </c>
      <c r="D616" s="355" t="s">
        <v>31</v>
      </c>
      <c r="E616" s="433"/>
      <c r="F616" s="433"/>
      <c r="G616" s="439"/>
      <c r="J616" s="344" t="str">
        <f t="shared" si="9"/>
        <v>×</v>
      </c>
      <c r="K616" s="350" t="str">
        <f>C616</f>
        <v>（７）検査結果の解析と評価</v>
      </c>
      <c r="L616" s="351"/>
      <c r="M616" s="351"/>
      <c r="N616" s="352"/>
      <c r="P616" s="415" t="str">
        <f>IF((COUNTIF(E616, "*検査結果の解析と評価*"))=1,"〇","X")</f>
        <v>X</v>
      </c>
      <c r="Q616" s="415" t="str">
        <f>IF((COUNTIF(F616, "*検査結果の解析と評価*"))=1,"〇","X")</f>
        <v>X</v>
      </c>
    </row>
    <row r="617" spans="2:17" ht="14.25" thickBot="1" x14ac:dyDescent="0.2">
      <c r="B617" s="359"/>
      <c r="C617" s="360" t="s">
        <v>390</v>
      </c>
      <c r="D617" s="367"/>
      <c r="E617" s="436"/>
      <c r="F617" s="436"/>
      <c r="G617" s="441"/>
      <c r="J617" s="344" t="str">
        <f t="shared" si="9"/>
        <v/>
      </c>
      <c r="P617" s="415"/>
      <c r="Q617" s="415"/>
    </row>
    <row r="618" spans="2:17" ht="14.25" thickBot="1" x14ac:dyDescent="0.2">
      <c r="E618" s="437"/>
      <c r="F618" s="437"/>
      <c r="G618" s="427"/>
      <c r="J618" s="344" t="str">
        <f t="shared" si="9"/>
        <v/>
      </c>
      <c r="P618" s="415"/>
      <c r="Q618" s="415"/>
    </row>
    <row r="619" spans="2:17" ht="27" x14ac:dyDescent="0.15">
      <c r="B619" s="369" t="s">
        <v>523</v>
      </c>
      <c r="C619" s="365" t="s">
        <v>908</v>
      </c>
      <c r="D619" s="366" t="s">
        <v>31</v>
      </c>
      <c r="E619" s="431"/>
      <c r="F619" s="431"/>
      <c r="G619" s="443"/>
      <c r="J619" s="344" t="str">
        <f t="shared" si="9"/>
        <v>×</v>
      </c>
      <c r="K619" s="350" t="str">
        <f>C619</f>
        <v>１　輸血療法・輸血検査と輸血用
　　血液製剤</v>
      </c>
      <c r="L619" s="351"/>
      <c r="M619" s="351"/>
      <c r="N619" s="352"/>
      <c r="P619" s="415" t="str">
        <f>IF((COUNTIF(E619, "*輸血療法・輸血検査と輸血用血液製剤*"))=1,"〇","X")</f>
        <v>X</v>
      </c>
      <c r="Q619" s="415" t="str">
        <f>IF((COUNTIF(F619, "*輸血療法・輸血検査と輸血用血液製剤*"))=1,"〇","X")</f>
        <v>X</v>
      </c>
    </row>
    <row r="620" spans="2:17" x14ac:dyDescent="0.15">
      <c r="B620" s="341"/>
      <c r="C620" s="348" t="s">
        <v>524</v>
      </c>
      <c r="D620" s="349"/>
      <c r="E620" s="433"/>
      <c r="F620" s="433"/>
      <c r="G620" s="439"/>
      <c r="J620" s="344" t="str">
        <f t="shared" si="9"/>
        <v/>
      </c>
      <c r="P620" s="415"/>
      <c r="Q620" s="415"/>
    </row>
    <row r="621" spans="2:17" x14ac:dyDescent="0.15">
      <c r="B621" s="341" t="s">
        <v>525</v>
      </c>
      <c r="C621" s="348" t="s">
        <v>526</v>
      </c>
      <c r="D621" s="349"/>
      <c r="E621" s="433"/>
      <c r="F621" s="433"/>
      <c r="G621" s="439"/>
      <c r="J621" s="344" t="str">
        <f t="shared" si="9"/>
        <v/>
      </c>
      <c r="P621" s="415"/>
      <c r="Q621" s="415"/>
    </row>
    <row r="622" spans="2:17" x14ac:dyDescent="0.15">
      <c r="B622" s="353"/>
      <c r="C622" s="348" t="s">
        <v>527</v>
      </c>
      <c r="D622" s="349"/>
      <c r="E622" s="433"/>
      <c r="F622" s="433"/>
      <c r="G622" s="439"/>
      <c r="J622" s="344" t="str">
        <f t="shared" si="9"/>
        <v/>
      </c>
      <c r="P622" s="415"/>
      <c r="Q622" s="415"/>
    </row>
    <row r="623" spans="2:17" x14ac:dyDescent="0.15">
      <c r="B623" s="574" t="s">
        <v>241</v>
      </c>
      <c r="C623" s="348" t="s">
        <v>528</v>
      </c>
      <c r="D623" s="349"/>
      <c r="E623" s="433"/>
      <c r="F623" s="433"/>
      <c r="G623" s="439"/>
      <c r="J623" s="344" t="str">
        <f t="shared" si="9"/>
        <v/>
      </c>
      <c r="P623" s="415"/>
      <c r="Q623" s="415"/>
    </row>
    <row r="624" spans="2:17" x14ac:dyDescent="0.15">
      <c r="B624" s="574"/>
      <c r="C624" s="348" t="s">
        <v>529</v>
      </c>
      <c r="D624" s="349"/>
      <c r="E624" s="433"/>
      <c r="F624" s="433"/>
      <c r="G624" s="439"/>
      <c r="J624" s="344" t="str">
        <f t="shared" si="9"/>
        <v/>
      </c>
      <c r="P624" s="415"/>
      <c r="Q624" s="415"/>
    </row>
    <row r="625" spans="2:17" x14ac:dyDescent="0.15">
      <c r="B625" s="574"/>
      <c r="C625" s="348" t="s">
        <v>1048</v>
      </c>
      <c r="D625" s="349" t="s">
        <v>31</v>
      </c>
      <c r="E625" s="433"/>
      <c r="F625" s="433"/>
      <c r="G625" s="439"/>
      <c r="J625" s="344" t="str">
        <f t="shared" si="9"/>
        <v>×</v>
      </c>
      <c r="K625" s="350" t="str">
        <f>C625</f>
        <v>２　輸血検査法</v>
      </c>
      <c r="L625" s="351"/>
      <c r="M625" s="351"/>
      <c r="N625" s="352"/>
      <c r="P625" s="415" t="str">
        <f>IF((COUNTIF(E625, "*輸血検査法*"))=1,"〇","X")</f>
        <v>X</v>
      </c>
      <c r="Q625" s="415" t="str">
        <f>IF((COUNTIF(F625, "*輸血検査法*"))=1,"〇","X")</f>
        <v>X</v>
      </c>
    </row>
    <row r="626" spans="2:17" x14ac:dyDescent="0.15">
      <c r="B626" s="574"/>
      <c r="C626" s="348" t="s">
        <v>530</v>
      </c>
      <c r="D626" s="349"/>
      <c r="E626" s="433"/>
      <c r="F626" s="433"/>
      <c r="G626" s="439"/>
      <c r="J626" s="344" t="str">
        <f t="shared" si="9"/>
        <v/>
      </c>
      <c r="P626" s="415"/>
      <c r="Q626" s="415"/>
    </row>
    <row r="627" spans="2:17" x14ac:dyDescent="0.15">
      <c r="B627" s="574"/>
      <c r="C627" s="348" t="s">
        <v>531</v>
      </c>
      <c r="D627" s="349"/>
      <c r="E627" s="433"/>
      <c r="F627" s="433"/>
      <c r="G627" s="439"/>
      <c r="J627" s="344" t="str">
        <f t="shared" si="9"/>
        <v/>
      </c>
      <c r="P627" s="415"/>
      <c r="Q627" s="415"/>
    </row>
    <row r="628" spans="2:17" ht="27" x14ac:dyDescent="0.15">
      <c r="B628" s="574"/>
      <c r="C628" s="348" t="s">
        <v>909</v>
      </c>
      <c r="D628" s="349"/>
      <c r="E628" s="433"/>
      <c r="F628" s="433"/>
      <c r="G628" s="439"/>
      <c r="J628" s="344" t="str">
        <f t="shared" si="9"/>
        <v/>
      </c>
      <c r="P628" s="415"/>
      <c r="Q628" s="415"/>
    </row>
    <row r="629" spans="2:17" x14ac:dyDescent="0.15">
      <c r="B629" s="574"/>
      <c r="C629" s="348" t="s">
        <v>532</v>
      </c>
      <c r="D629" s="349"/>
      <c r="E629" s="433"/>
      <c r="F629" s="433"/>
      <c r="G629" s="439"/>
      <c r="J629" s="344" t="str">
        <f t="shared" si="9"/>
        <v/>
      </c>
      <c r="P629" s="415"/>
      <c r="Q629" s="415"/>
    </row>
    <row r="630" spans="2:17" x14ac:dyDescent="0.15">
      <c r="B630" s="574"/>
      <c r="C630" s="348" t="s">
        <v>533</v>
      </c>
      <c r="D630" s="349"/>
      <c r="E630" s="433"/>
      <c r="F630" s="433"/>
      <c r="G630" s="439"/>
      <c r="J630" s="344" t="str">
        <f t="shared" si="9"/>
        <v/>
      </c>
      <c r="P630" s="415"/>
      <c r="Q630" s="415"/>
    </row>
    <row r="631" spans="2:17" x14ac:dyDescent="0.15">
      <c r="B631" s="574"/>
      <c r="C631" s="348" t="s">
        <v>534</v>
      </c>
      <c r="D631" s="349"/>
      <c r="E631" s="433"/>
      <c r="F631" s="433"/>
      <c r="G631" s="439"/>
      <c r="J631" s="344" t="str">
        <f t="shared" si="9"/>
        <v/>
      </c>
      <c r="P631" s="415"/>
      <c r="Q631" s="415"/>
    </row>
    <row r="632" spans="2:17" x14ac:dyDescent="0.15">
      <c r="B632" s="574"/>
      <c r="C632" s="348" t="s">
        <v>535</v>
      </c>
      <c r="D632" s="349"/>
      <c r="E632" s="433"/>
      <c r="F632" s="433"/>
      <c r="G632" s="439"/>
      <c r="J632" s="344" t="str">
        <f t="shared" si="9"/>
        <v/>
      </c>
      <c r="P632" s="415"/>
      <c r="Q632" s="415"/>
    </row>
    <row r="633" spans="2:17" ht="27" x14ac:dyDescent="0.15">
      <c r="B633" s="574"/>
      <c r="C633" s="348" t="s">
        <v>1141</v>
      </c>
      <c r="D633" s="349" t="s">
        <v>815</v>
      </c>
      <c r="E633" s="433"/>
      <c r="F633" s="433"/>
      <c r="G633" s="439"/>
      <c r="J633" s="344" t="str">
        <f t="shared" si="9"/>
        <v>×</v>
      </c>
      <c r="K633" s="350" t="str">
        <f>C633</f>
        <v>（８）静脈路への成分採血装置の
　　接続、操作</v>
      </c>
      <c r="P633" s="415" t="str">
        <f>IF((COUNTIF(E633, "*静脈路への成分採血装置の接続、操作*"))=1,"〇","X")</f>
        <v>X</v>
      </c>
      <c r="Q633" s="415" t="str">
        <f>IF((COUNTIF(F633, "*静脈路への成分採血装置の接続、操作*"))=1,"〇","X")</f>
        <v>X</v>
      </c>
    </row>
    <row r="634" spans="2:17" x14ac:dyDescent="0.15">
      <c r="B634" s="574"/>
      <c r="C634" s="348" t="s">
        <v>816</v>
      </c>
      <c r="D634" s="349"/>
      <c r="E634" s="433"/>
      <c r="F634" s="433"/>
      <c r="G634" s="439"/>
      <c r="J634" s="344" t="str">
        <f t="shared" si="9"/>
        <v/>
      </c>
      <c r="P634" s="415"/>
      <c r="Q634" s="415"/>
    </row>
    <row r="635" spans="2:17" x14ac:dyDescent="0.15">
      <c r="B635" s="574"/>
      <c r="C635" s="348" t="s">
        <v>817</v>
      </c>
      <c r="D635" s="349"/>
      <c r="E635" s="433"/>
      <c r="F635" s="433"/>
      <c r="G635" s="439"/>
      <c r="J635" s="344" t="str">
        <f t="shared" si="9"/>
        <v/>
      </c>
      <c r="P635" s="415"/>
      <c r="Q635" s="415"/>
    </row>
    <row r="636" spans="2:17" x14ac:dyDescent="0.15">
      <c r="B636" s="574"/>
      <c r="C636" s="348" t="s">
        <v>1049</v>
      </c>
      <c r="D636" s="354" t="s">
        <v>31</v>
      </c>
      <c r="E636" s="433"/>
      <c r="F636" s="433"/>
      <c r="G636" s="439"/>
      <c r="J636" s="344" t="str">
        <f t="shared" si="9"/>
        <v>×</v>
      </c>
      <c r="K636" s="350" t="str">
        <f>C636</f>
        <v>３　母児免疫と検査</v>
      </c>
      <c r="L636" s="351"/>
      <c r="M636" s="351"/>
      <c r="N636" s="352"/>
      <c r="P636" s="415" t="str">
        <f>IF((COUNTIF(E636, "*母児免疫と検査*"))=1,"〇","X")</f>
        <v>X</v>
      </c>
      <c r="Q636" s="415" t="str">
        <f>IF((COUNTIF(F636, "*母児免疫と検査*"))=1,"〇","X")</f>
        <v>X</v>
      </c>
    </row>
    <row r="637" spans="2:17" x14ac:dyDescent="0.15">
      <c r="B637" s="574"/>
      <c r="C637" s="348" t="s">
        <v>536</v>
      </c>
      <c r="D637" s="354"/>
      <c r="E637" s="433"/>
      <c r="F637" s="433"/>
      <c r="G637" s="439"/>
      <c r="J637" s="344" t="str">
        <f t="shared" si="9"/>
        <v/>
      </c>
      <c r="P637" s="415"/>
      <c r="Q637" s="415"/>
    </row>
    <row r="638" spans="2:17" x14ac:dyDescent="0.15">
      <c r="B638" s="574"/>
      <c r="C638" s="348" t="s">
        <v>1050</v>
      </c>
      <c r="D638" s="354" t="s">
        <v>31</v>
      </c>
      <c r="E638" s="433"/>
      <c r="F638" s="433"/>
      <c r="G638" s="439"/>
      <c r="J638" s="344" t="str">
        <f t="shared" si="9"/>
        <v>×</v>
      </c>
      <c r="K638" s="350" t="str">
        <f>C638</f>
        <v>４　臓器・細胞移植医療と免疫反応</v>
      </c>
      <c r="L638" s="351"/>
      <c r="M638" s="351"/>
      <c r="N638" s="352"/>
      <c r="P638" s="415" t="str">
        <f>IF((COUNTIF(E638, "*臓器・細胞移植医療と免疫反応*"))=1,"〇","X")</f>
        <v>X</v>
      </c>
      <c r="Q638" s="415" t="str">
        <f>IF((COUNTIF(F638, "*臓器・細胞移植医療と免疫反応*"))=1,"〇","X")</f>
        <v>X</v>
      </c>
    </row>
    <row r="639" spans="2:17" x14ac:dyDescent="0.15">
      <c r="B639" s="574"/>
      <c r="C639" s="348" t="s">
        <v>537</v>
      </c>
      <c r="D639" s="354"/>
      <c r="E639" s="433"/>
      <c r="F639" s="433"/>
      <c r="G639" s="439"/>
      <c r="J639" s="344" t="str">
        <f t="shared" si="9"/>
        <v/>
      </c>
      <c r="P639" s="415"/>
      <c r="Q639" s="415"/>
    </row>
    <row r="640" spans="2:17" x14ac:dyDescent="0.15">
      <c r="B640" s="356"/>
      <c r="C640" s="348" t="s">
        <v>538</v>
      </c>
      <c r="D640" s="355"/>
      <c r="E640" s="433"/>
      <c r="F640" s="433"/>
      <c r="G640" s="439"/>
      <c r="J640" s="344" t="str">
        <f t="shared" si="9"/>
        <v/>
      </c>
      <c r="P640" s="415"/>
      <c r="Q640" s="415"/>
    </row>
    <row r="641" spans="2:17" x14ac:dyDescent="0.15">
      <c r="B641" s="356"/>
      <c r="C641" s="348" t="s">
        <v>539</v>
      </c>
      <c r="D641" s="355"/>
      <c r="E641" s="433"/>
      <c r="F641" s="433"/>
      <c r="G641" s="439"/>
      <c r="J641" s="344" t="str">
        <f t="shared" si="9"/>
        <v/>
      </c>
      <c r="P641" s="415"/>
      <c r="Q641" s="415"/>
    </row>
    <row r="642" spans="2:17" x14ac:dyDescent="0.15">
      <c r="B642" s="356"/>
      <c r="C642" s="348" t="s">
        <v>540</v>
      </c>
      <c r="D642" s="355"/>
      <c r="E642" s="433"/>
      <c r="F642" s="433"/>
      <c r="G642" s="439"/>
      <c r="J642" s="344" t="str">
        <f t="shared" si="9"/>
        <v/>
      </c>
      <c r="P642" s="415"/>
      <c r="Q642" s="415"/>
    </row>
    <row r="643" spans="2:17" x14ac:dyDescent="0.15">
      <c r="B643" s="356"/>
      <c r="C643" s="348" t="s">
        <v>541</v>
      </c>
      <c r="D643" s="355"/>
      <c r="E643" s="433"/>
      <c r="F643" s="433"/>
      <c r="G643" s="439"/>
      <c r="J643" s="344" t="str">
        <f t="shared" si="9"/>
        <v/>
      </c>
      <c r="P643" s="415"/>
      <c r="Q643" s="415"/>
    </row>
    <row r="644" spans="2:17" x14ac:dyDescent="0.15">
      <c r="B644" s="356"/>
      <c r="C644" s="348" t="s">
        <v>542</v>
      </c>
      <c r="D644" s="355"/>
      <c r="E644" s="433"/>
      <c r="F644" s="433"/>
      <c r="G644" s="439"/>
      <c r="J644" s="344" t="str">
        <f t="shared" si="9"/>
        <v/>
      </c>
      <c r="P644" s="415"/>
      <c r="Q644" s="415"/>
    </row>
    <row r="645" spans="2:17" x14ac:dyDescent="0.15">
      <c r="B645" s="356"/>
      <c r="C645" s="348" t="s">
        <v>543</v>
      </c>
      <c r="D645" s="355"/>
      <c r="E645" s="433"/>
      <c r="F645" s="433"/>
      <c r="G645" s="439"/>
      <c r="J645" s="344" t="str">
        <f t="shared" si="9"/>
        <v/>
      </c>
      <c r="P645" s="415"/>
      <c r="Q645" s="415"/>
    </row>
    <row r="646" spans="2:17" x14ac:dyDescent="0.15">
      <c r="B646" s="356"/>
      <c r="C646" s="348" t="s">
        <v>544</v>
      </c>
      <c r="D646" s="355"/>
      <c r="E646" s="433"/>
      <c r="F646" s="433"/>
      <c r="G646" s="439"/>
      <c r="J646" s="344" t="str">
        <f t="shared" si="9"/>
        <v/>
      </c>
      <c r="P646" s="415"/>
      <c r="Q646" s="415"/>
    </row>
    <row r="647" spans="2:17" x14ac:dyDescent="0.15">
      <c r="B647" s="356"/>
      <c r="C647" s="348" t="s">
        <v>1051</v>
      </c>
      <c r="D647" s="355" t="s">
        <v>31</v>
      </c>
      <c r="E647" s="433"/>
      <c r="F647" s="433"/>
      <c r="G647" s="439"/>
      <c r="J647" s="344" t="str">
        <f t="shared" si="9"/>
        <v>×</v>
      </c>
      <c r="K647" s="350" t="str">
        <f>C647</f>
        <v>５　臓器・細胞移植関連検査</v>
      </c>
      <c r="L647" s="351"/>
      <c r="M647" s="351"/>
      <c r="N647" s="352"/>
      <c r="P647" s="415" t="str">
        <f>IF((COUNTIF(E647, "*臓器・細胞移植関連検査*"))=1,"〇","X")</f>
        <v>X</v>
      </c>
      <c r="Q647" s="415" t="str">
        <f>IF((COUNTIF(F647, "*臓器・細胞移植関連検査*"))=1,"〇","X")</f>
        <v>X</v>
      </c>
    </row>
    <row r="648" spans="2:17" x14ac:dyDescent="0.15">
      <c r="B648" s="356"/>
      <c r="C648" s="348" t="s">
        <v>545</v>
      </c>
      <c r="D648" s="355"/>
      <c r="E648" s="433"/>
      <c r="F648" s="433"/>
      <c r="G648" s="439"/>
      <c r="J648" s="344" t="str">
        <f t="shared" ref="J648:J711" si="10">IF(AND(OR(D648="◎",D648="◎※１"),OR(E648="",F648="",G648="")),"×","")</f>
        <v/>
      </c>
      <c r="P648" s="415"/>
      <c r="Q648" s="415"/>
    </row>
    <row r="649" spans="2:17" ht="27" x14ac:dyDescent="0.15">
      <c r="B649" s="356"/>
      <c r="C649" s="348" t="s">
        <v>1123</v>
      </c>
      <c r="D649" s="355"/>
      <c r="E649" s="433"/>
      <c r="F649" s="433"/>
      <c r="G649" s="439"/>
      <c r="J649" s="344" t="str">
        <f t="shared" si="10"/>
        <v/>
      </c>
      <c r="P649" s="415"/>
      <c r="Q649" s="415"/>
    </row>
    <row r="650" spans="2:17" ht="27" x14ac:dyDescent="0.15">
      <c r="B650" s="356"/>
      <c r="C650" s="348" t="s">
        <v>910</v>
      </c>
      <c r="D650" s="355"/>
      <c r="E650" s="433"/>
      <c r="F650" s="433"/>
      <c r="G650" s="439"/>
      <c r="J650" s="344" t="str">
        <f t="shared" si="10"/>
        <v/>
      </c>
      <c r="P650" s="415"/>
      <c r="Q650" s="415"/>
    </row>
    <row r="651" spans="2:17" x14ac:dyDescent="0.15">
      <c r="B651" s="356"/>
      <c r="C651" s="348" t="s">
        <v>546</v>
      </c>
      <c r="D651" s="355"/>
      <c r="E651" s="433"/>
      <c r="F651" s="433"/>
      <c r="G651" s="439"/>
      <c r="J651" s="344" t="str">
        <f t="shared" si="10"/>
        <v/>
      </c>
      <c r="P651" s="415"/>
      <c r="Q651" s="415"/>
    </row>
    <row r="652" spans="2:17" x14ac:dyDescent="0.15">
      <c r="B652" s="356"/>
      <c r="C652" s="348" t="s">
        <v>1052</v>
      </c>
      <c r="D652" s="355" t="s">
        <v>31</v>
      </c>
      <c r="E652" s="433"/>
      <c r="F652" s="433"/>
      <c r="G652" s="439"/>
      <c r="J652" s="344" t="str">
        <f t="shared" si="10"/>
        <v>×</v>
      </c>
      <c r="K652" s="350" t="str">
        <f>C652</f>
        <v>６　学内実習</v>
      </c>
      <c r="L652" s="351"/>
      <c r="M652" s="351"/>
      <c r="N652" s="352"/>
      <c r="P652" s="415" t="str">
        <f>IF((COUNTIF(E652, "*学内実習*"))=1,"〇","X")</f>
        <v>X</v>
      </c>
      <c r="Q652" s="415" t="str">
        <f>IF((COUNTIF(F652, "*学内実習*"))=1,"〇","X")</f>
        <v>X</v>
      </c>
    </row>
    <row r="653" spans="2:17" x14ac:dyDescent="0.15">
      <c r="B653" s="356"/>
      <c r="C653" s="348" t="s">
        <v>547</v>
      </c>
      <c r="D653" s="355"/>
      <c r="E653" s="433"/>
      <c r="F653" s="433"/>
      <c r="G653" s="439"/>
      <c r="J653" s="344" t="str">
        <f t="shared" si="10"/>
        <v/>
      </c>
      <c r="P653" s="415"/>
      <c r="Q653" s="415"/>
    </row>
    <row r="654" spans="2:17" ht="27" x14ac:dyDescent="0.15">
      <c r="B654" s="356"/>
      <c r="C654" s="348" t="s">
        <v>911</v>
      </c>
      <c r="D654" s="355"/>
      <c r="E654" s="433"/>
      <c r="F654" s="433"/>
      <c r="G654" s="439"/>
      <c r="J654" s="344" t="str">
        <f t="shared" si="10"/>
        <v/>
      </c>
      <c r="P654" s="415"/>
      <c r="Q654" s="415"/>
    </row>
    <row r="655" spans="2:17" x14ac:dyDescent="0.15">
      <c r="B655" s="356"/>
      <c r="C655" s="348" t="s">
        <v>548</v>
      </c>
      <c r="D655" s="355"/>
      <c r="E655" s="433"/>
      <c r="F655" s="433"/>
      <c r="G655" s="439"/>
      <c r="J655" s="344" t="str">
        <f t="shared" si="10"/>
        <v/>
      </c>
      <c r="P655" s="415"/>
      <c r="Q655" s="415"/>
    </row>
    <row r="656" spans="2:17" x14ac:dyDescent="0.15">
      <c r="B656" s="356"/>
      <c r="C656" s="348" t="s">
        <v>549</v>
      </c>
      <c r="D656" s="355"/>
      <c r="E656" s="433"/>
      <c r="F656" s="433"/>
      <c r="G656" s="439"/>
      <c r="J656" s="344" t="str">
        <f t="shared" si="10"/>
        <v/>
      </c>
      <c r="P656" s="415"/>
      <c r="Q656" s="415"/>
    </row>
    <row r="657" spans="2:17" x14ac:dyDescent="0.15">
      <c r="B657" s="356"/>
      <c r="C657" s="348" t="s">
        <v>550</v>
      </c>
      <c r="D657" s="355"/>
      <c r="E657" s="433"/>
      <c r="F657" s="433"/>
      <c r="G657" s="439"/>
      <c r="J657" s="344" t="str">
        <f t="shared" si="10"/>
        <v/>
      </c>
      <c r="P657" s="415"/>
      <c r="Q657" s="415"/>
    </row>
    <row r="658" spans="2:17" x14ac:dyDescent="0.15">
      <c r="B658" s="356"/>
      <c r="C658" s="348" t="s">
        <v>551</v>
      </c>
      <c r="D658" s="355"/>
      <c r="E658" s="433"/>
      <c r="F658" s="433"/>
      <c r="G658" s="439"/>
      <c r="J658" s="344" t="str">
        <f t="shared" si="10"/>
        <v/>
      </c>
      <c r="P658" s="415"/>
      <c r="Q658" s="415"/>
    </row>
    <row r="659" spans="2:17" x14ac:dyDescent="0.15">
      <c r="B659" s="356"/>
      <c r="C659" s="348" t="s">
        <v>552</v>
      </c>
      <c r="D659" s="355"/>
      <c r="E659" s="433"/>
      <c r="F659" s="433"/>
      <c r="G659" s="439"/>
      <c r="J659" s="344" t="str">
        <f t="shared" si="10"/>
        <v/>
      </c>
      <c r="P659" s="415"/>
      <c r="Q659" s="415"/>
    </row>
    <row r="660" spans="2:17" ht="27" x14ac:dyDescent="0.15">
      <c r="B660" s="356"/>
      <c r="C660" s="348" t="s">
        <v>912</v>
      </c>
      <c r="D660" s="355"/>
      <c r="E660" s="433"/>
      <c r="F660" s="433"/>
      <c r="G660" s="439"/>
      <c r="J660" s="344" t="str">
        <f t="shared" si="10"/>
        <v/>
      </c>
      <c r="P660" s="415"/>
      <c r="Q660" s="415"/>
    </row>
    <row r="661" spans="2:17" ht="27" x14ac:dyDescent="0.15">
      <c r="B661" s="356"/>
      <c r="C661" s="348" t="s">
        <v>913</v>
      </c>
      <c r="D661" s="355"/>
      <c r="E661" s="433"/>
      <c r="F661" s="433"/>
      <c r="G661" s="439"/>
      <c r="J661" s="344" t="str">
        <f t="shared" si="10"/>
        <v/>
      </c>
      <c r="P661" s="415"/>
      <c r="Q661" s="415"/>
    </row>
    <row r="662" spans="2:17" x14ac:dyDescent="0.15">
      <c r="B662" s="356"/>
      <c r="C662" s="348" t="s">
        <v>553</v>
      </c>
      <c r="D662" s="355"/>
      <c r="E662" s="433"/>
      <c r="F662" s="433"/>
      <c r="G662" s="439"/>
      <c r="J662" s="344" t="str">
        <f t="shared" si="10"/>
        <v/>
      </c>
      <c r="P662" s="415"/>
      <c r="Q662" s="415"/>
    </row>
    <row r="663" spans="2:17" x14ac:dyDescent="0.15">
      <c r="B663" s="356"/>
      <c r="C663" s="348" t="s">
        <v>554</v>
      </c>
      <c r="D663" s="355"/>
      <c r="E663" s="433"/>
      <c r="F663" s="433"/>
      <c r="G663" s="439"/>
      <c r="J663" s="344" t="str">
        <f t="shared" si="10"/>
        <v/>
      </c>
      <c r="P663" s="415"/>
      <c r="Q663" s="415"/>
    </row>
    <row r="664" spans="2:17" x14ac:dyDescent="0.15">
      <c r="B664" s="356"/>
      <c r="C664" s="348" t="s">
        <v>1053</v>
      </c>
      <c r="D664" s="355" t="s">
        <v>31</v>
      </c>
      <c r="E664" s="433"/>
      <c r="F664" s="433"/>
      <c r="G664" s="439"/>
      <c r="J664" s="344" t="str">
        <f t="shared" si="10"/>
        <v>×</v>
      </c>
      <c r="K664" s="350" t="str">
        <f>C664</f>
        <v>（12）検査結果の解析と評価</v>
      </c>
      <c r="L664" s="351"/>
      <c r="M664" s="351"/>
      <c r="N664" s="352"/>
      <c r="P664" s="415" t="str">
        <f>IF((COUNTIF(E664, "*検査結果の解析と評価*"))=1,"〇","X")</f>
        <v>X</v>
      </c>
      <c r="Q664" s="415" t="str">
        <f>IF((COUNTIF(F664, "*検査結果の解析と評価*"))=1,"〇","X")</f>
        <v>X</v>
      </c>
    </row>
    <row r="665" spans="2:17" ht="14.25" thickBot="1" x14ac:dyDescent="0.2">
      <c r="B665" s="359"/>
      <c r="C665" s="360" t="s">
        <v>1054</v>
      </c>
      <c r="D665" s="367" t="s">
        <v>31</v>
      </c>
      <c r="E665" s="436"/>
      <c r="F665" s="436"/>
      <c r="G665" s="444"/>
      <c r="J665" s="344" t="str">
        <f t="shared" si="10"/>
        <v>×</v>
      </c>
      <c r="K665" s="350" t="str">
        <f>C665</f>
        <v>７　臨地実習＊</v>
      </c>
      <c r="L665" s="351"/>
      <c r="M665" s="351"/>
      <c r="N665" s="352"/>
      <c r="P665" s="415" t="str">
        <f>IF((COUNTIF(E665, "*臨地実習*"))=1,"〇","X")</f>
        <v>X</v>
      </c>
      <c r="Q665" s="415" t="str">
        <f>IF((COUNTIF(F665, "*臨地実習*"))=1,"〇","X")</f>
        <v>X</v>
      </c>
    </row>
    <row r="666" spans="2:17" ht="14.25" thickBot="1" x14ac:dyDescent="0.2">
      <c r="E666" s="437"/>
      <c r="F666" s="437"/>
      <c r="G666" s="446"/>
      <c r="J666" s="344" t="str">
        <f t="shared" si="10"/>
        <v/>
      </c>
      <c r="P666" s="415"/>
      <c r="Q666" s="415"/>
    </row>
    <row r="667" spans="2:17" ht="27" x14ac:dyDescent="0.15">
      <c r="B667" s="369" t="s">
        <v>555</v>
      </c>
      <c r="C667" s="365" t="s">
        <v>914</v>
      </c>
      <c r="D667" s="366" t="s">
        <v>31</v>
      </c>
      <c r="E667" s="431"/>
      <c r="F667" s="431"/>
      <c r="G667" s="443"/>
      <c r="J667" s="344" t="str">
        <f t="shared" si="10"/>
        <v>×</v>
      </c>
      <c r="K667" s="350" t="str">
        <f>C667</f>
        <v>１　細菌の分類・病原性と同定検査・
　　薬剤感受性検査</v>
      </c>
      <c r="L667" s="351"/>
      <c r="M667" s="351"/>
      <c r="N667" s="352"/>
      <c r="P667" s="415" t="str">
        <f>IF((COUNTIF(E667, "*細菌の分類・病原性と同定検査・薬剤感受性検査*"))=1,"〇","X")</f>
        <v>X</v>
      </c>
      <c r="Q667" s="415" t="str">
        <f>IF((COUNTIF(F667, "*細菌の分類・病原性と同定検査・薬剤感受性検査*"))=1,"〇","X")</f>
        <v>X</v>
      </c>
    </row>
    <row r="668" spans="2:17" ht="27" x14ac:dyDescent="0.15">
      <c r="B668" s="341"/>
      <c r="C668" s="348" t="s">
        <v>915</v>
      </c>
      <c r="D668" s="349"/>
      <c r="E668" s="433"/>
      <c r="F668" s="433"/>
      <c r="G668" s="439"/>
      <c r="J668" s="344" t="str">
        <f t="shared" si="10"/>
        <v/>
      </c>
      <c r="P668" s="415"/>
      <c r="Q668" s="415"/>
    </row>
    <row r="669" spans="2:17" x14ac:dyDescent="0.15">
      <c r="B669" s="341" t="s">
        <v>556</v>
      </c>
      <c r="C669" s="348" t="s">
        <v>557</v>
      </c>
      <c r="D669" s="349"/>
      <c r="E669" s="433"/>
      <c r="F669" s="433"/>
      <c r="G669" s="439"/>
      <c r="J669" s="344" t="str">
        <f t="shared" si="10"/>
        <v/>
      </c>
      <c r="P669" s="415"/>
      <c r="Q669" s="415"/>
    </row>
    <row r="670" spans="2:17" x14ac:dyDescent="0.15">
      <c r="B670" s="353"/>
      <c r="C670" s="348" t="s">
        <v>558</v>
      </c>
      <c r="D670" s="349"/>
      <c r="E670" s="433"/>
      <c r="F670" s="433"/>
      <c r="G670" s="439"/>
      <c r="J670" s="344" t="str">
        <f t="shared" si="10"/>
        <v/>
      </c>
      <c r="P670" s="415"/>
      <c r="Q670" s="415"/>
    </row>
    <row r="671" spans="2:17" x14ac:dyDescent="0.15">
      <c r="B671" s="574" t="s">
        <v>241</v>
      </c>
      <c r="C671" s="348" t="s">
        <v>559</v>
      </c>
      <c r="D671" s="349"/>
      <c r="E671" s="433"/>
      <c r="F671" s="433"/>
      <c r="G671" s="439"/>
      <c r="J671" s="344" t="str">
        <f t="shared" si="10"/>
        <v/>
      </c>
      <c r="P671" s="415"/>
      <c r="Q671" s="415"/>
    </row>
    <row r="672" spans="2:17" x14ac:dyDescent="0.15">
      <c r="B672" s="574"/>
      <c r="C672" s="348" t="s">
        <v>560</v>
      </c>
      <c r="D672" s="349"/>
      <c r="E672" s="433"/>
      <c r="F672" s="433"/>
      <c r="G672" s="439"/>
      <c r="J672" s="344" t="str">
        <f t="shared" si="10"/>
        <v/>
      </c>
      <c r="P672" s="415"/>
      <c r="Q672" s="415"/>
    </row>
    <row r="673" spans="2:17" ht="27" x14ac:dyDescent="0.15">
      <c r="B673" s="574"/>
      <c r="C673" s="348" t="s">
        <v>916</v>
      </c>
      <c r="D673" s="349"/>
      <c r="E673" s="433"/>
      <c r="F673" s="433"/>
      <c r="G673" s="439"/>
      <c r="J673" s="344" t="str">
        <f t="shared" si="10"/>
        <v/>
      </c>
      <c r="P673" s="415"/>
      <c r="Q673" s="415"/>
    </row>
    <row r="674" spans="2:17" x14ac:dyDescent="0.15">
      <c r="B674" s="574"/>
      <c r="C674" s="348" t="s">
        <v>561</v>
      </c>
      <c r="D674" s="349"/>
      <c r="E674" s="433"/>
      <c r="F674" s="433"/>
      <c r="G674" s="439"/>
      <c r="J674" s="344" t="str">
        <f t="shared" si="10"/>
        <v/>
      </c>
      <c r="P674" s="415"/>
      <c r="Q674" s="415"/>
    </row>
    <row r="675" spans="2:17" x14ac:dyDescent="0.15">
      <c r="B675" s="574"/>
      <c r="C675" s="348" t="s">
        <v>562</v>
      </c>
      <c r="D675" s="349"/>
      <c r="E675" s="433"/>
      <c r="F675" s="433"/>
      <c r="G675" s="439"/>
      <c r="J675" s="344" t="str">
        <f t="shared" si="10"/>
        <v/>
      </c>
      <c r="P675" s="415"/>
      <c r="Q675" s="415"/>
    </row>
    <row r="676" spans="2:17" x14ac:dyDescent="0.15">
      <c r="B676" s="574"/>
      <c r="C676" s="348" t="s">
        <v>563</v>
      </c>
      <c r="D676" s="349"/>
      <c r="E676" s="433"/>
      <c r="F676" s="433"/>
      <c r="G676" s="439"/>
      <c r="J676" s="344" t="str">
        <f t="shared" si="10"/>
        <v/>
      </c>
      <c r="P676" s="415"/>
      <c r="Q676" s="415"/>
    </row>
    <row r="677" spans="2:17" x14ac:dyDescent="0.15">
      <c r="B677" s="574"/>
      <c r="C677" s="348" t="s">
        <v>564</v>
      </c>
      <c r="D677" s="349"/>
      <c r="E677" s="433"/>
      <c r="F677" s="433"/>
      <c r="G677" s="439"/>
      <c r="J677" s="344" t="str">
        <f t="shared" si="10"/>
        <v/>
      </c>
      <c r="P677" s="415"/>
      <c r="Q677" s="415"/>
    </row>
    <row r="678" spans="2:17" x14ac:dyDescent="0.15">
      <c r="B678" s="574"/>
      <c r="C678" s="348" t="s">
        <v>565</v>
      </c>
      <c r="D678" s="349"/>
      <c r="E678" s="433"/>
      <c r="F678" s="433"/>
      <c r="G678" s="439"/>
      <c r="J678" s="344" t="str">
        <f t="shared" si="10"/>
        <v/>
      </c>
      <c r="P678" s="415"/>
      <c r="Q678" s="415"/>
    </row>
    <row r="679" spans="2:17" x14ac:dyDescent="0.15">
      <c r="B679" s="574"/>
      <c r="C679" s="348" t="s">
        <v>566</v>
      </c>
      <c r="D679" s="349"/>
      <c r="E679" s="433"/>
      <c r="F679" s="433"/>
      <c r="G679" s="439"/>
      <c r="J679" s="344" t="str">
        <f t="shared" si="10"/>
        <v/>
      </c>
      <c r="P679" s="415"/>
      <c r="Q679" s="415"/>
    </row>
    <row r="680" spans="2:17" x14ac:dyDescent="0.15">
      <c r="B680" s="574"/>
      <c r="C680" s="348" t="s">
        <v>567</v>
      </c>
      <c r="D680" s="349"/>
      <c r="E680" s="433"/>
      <c r="F680" s="433"/>
      <c r="G680" s="439"/>
      <c r="J680" s="344" t="str">
        <f t="shared" si="10"/>
        <v/>
      </c>
      <c r="P680" s="415"/>
      <c r="Q680" s="415"/>
    </row>
    <row r="681" spans="2:17" x14ac:dyDescent="0.15">
      <c r="B681" s="574"/>
      <c r="C681" s="348" t="s">
        <v>568</v>
      </c>
      <c r="D681" s="349"/>
      <c r="E681" s="433"/>
      <c r="F681" s="433"/>
      <c r="G681" s="439"/>
      <c r="J681" s="344" t="str">
        <f t="shared" si="10"/>
        <v/>
      </c>
      <c r="P681" s="415"/>
      <c r="Q681" s="415"/>
    </row>
    <row r="682" spans="2:17" ht="27" x14ac:dyDescent="0.15">
      <c r="B682" s="574"/>
      <c r="C682" s="348" t="s">
        <v>917</v>
      </c>
      <c r="D682" s="349" t="s">
        <v>31</v>
      </c>
      <c r="E682" s="433"/>
      <c r="F682" s="433"/>
      <c r="G682" s="439"/>
      <c r="J682" s="344" t="str">
        <f t="shared" si="10"/>
        <v>×</v>
      </c>
      <c r="K682" s="350" t="str">
        <f>C682</f>
        <v>２　真菌の分類・病原性と同定検査・
　　薬剤感受性検査</v>
      </c>
      <c r="L682" s="351"/>
      <c r="M682" s="351"/>
      <c r="N682" s="352"/>
      <c r="P682" s="415" t="str">
        <f>IF((COUNTIF(E682, "*真菌の分類・病原性と同定検査・薬剤感受性検査*"))=1,"〇","X")</f>
        <v>X</v>
      </c>
      <c r="Q682" s="415" t="str">
        <f>IF((COUNTIF(F682, "*真菌の分類・病原性と同定検査・薬剤感受性検査*"))=1,"〇","X")</f>
        <v>X</v>
      </c>
    </row>
    <row r="683" spans="2:17" x14ac:dyDescent="0.15">
      <c r="B683" s="574"/>
      <c r="C683" s="348" t="s">
        <v>569</v>
      </c>
      <c r="D683" s="354"/>
      <c r="E683" s="433"/>
      <c r="F683" s="433"/>
      <c r="G683" s="439"/>
      <c r="J683" s="344" t="str">
        <f t="shared" si="10"/>
        <v/>
      </c>
      <c r="P683" s="415"/>
      <c r="Q683" s="415"/>
    </row>
    <row r="684" spans="2:17" x14ac:dyDescent="0.15">
      <c r="B684" s="574"/>
      <c r="C684" s="348" t="s">
        <v>570</v>
      </c>
      <c r="D684" s="354"/>
      <c r="E684" s="433"/>
      <c r="F684" s="433"/>
      <c r="G684" s="439"/>
      <c r="J684" s="344" t="str">
        <f t="shared" si="10"/>
        <v/>
      </c>
      <c r="P684" s="415"/>
      <c r="Q684" s="415"/>
    </row>
    <row r="685" spans="2:17" x14ac:dyDescent="0.15">
      <c r="B685" s="574"/>
      <c r="C685" s="348" t="s">
        <v>571</v>
      </c>
      <c r="D685" s="354"/>
      <c r="E685" s="433"/>
      <c r="F685" s="433"/>
      <c r="G685" s="439"/>
      <c r="J685" s="344" t="str">
        <f t="shared" si="10"/>
        <v/>
      </c>
      <c r="P685" s="415"/>
      <c r="Q685" s="415"/>
    </row>
    <row r="686" spans="2:17" x14ac:dyDescent="0.15">
      <c r="B686" s="574"/>
      <c r="C686" s="348" t="s">
        <v>572</v>
      </c>
      <c r="D686" s="354"/>
      <c r="E686" s="433"/>
      <c r="F686" s="433"/>
      <c r="G686" s="439"/>
      <c r="J686" s="344" t="str">
        <f t="shared" si="10"/>
        <v/>
      </c>
      <c r="P686" s="415"/>
      <c r="Q686" s="415"/>
    </row>
    <row r="687" spans="2:17" x14ac:dyDescent="0.15">
      <c r="B687" s="356"/>
      <c r="C687" s="348" t="s">
        <v>1055</v>
      </c>
      <c r="D687" s="355" t="s">
        <v>31</v>
      </c>
      <c r="E687" s="433"/>
      <c r="F687" s="433"/>
      <c r="G687" s="439"/>
      <c r="J687" s="344" t="str">
        <f t="shared" si="10"/>
        <v>×</v>
      </c>
      <c r="K687" s="350" t="str">
        <f>C687</f>
        <v>３　ウイルスの分類・病原性と検査法</v>
      </c>
      <c r="L687" s="351"/>
      <c r="M687" s="351"/>
      <c r="N687" s="352"/>
      <c r="P687" s="415" t="str">
        <f>IF((COUNTIF(E687, "*ウイルスの分類・病原性と検査法*"))=1,"〇","X")</f>
        <v>X</v>
      </c>
      <c r="Q687" s="415" t="str">
        <f>IF((COUNTIF(F687, "*ウイルスの分類・病原性と検査法*"))=1,"〇","X")</f>
        <v>X</v>
      </c>
    </row>
    <row r="688" spans="2:17" x14ac:dyDescent="0.15">
      <c r="B688" s="356"/>
      <c r="C688" s="348" t="s">
        <v>573</v>
      </c>
      <c r="D688" s="355"/>
      <c r="E688" s="433"/>
      <c r="F688" s="433"/>
      <c r="G688" s="439"/>
      <c r="J688" s="344" t="str">
        <f t="shared" si="10"/>
        <v/>
      </c>
      <c r="P688" s="415"/>
      <c r="Q688" s="415"/>
    </row>
    <row r="689" spans="2:17" x14ac:dyDescent="0.15">
      <c r="B689" s="356"/>
      <c r="C689" s="348" t="s">
        <v>574</v>
      </c>
      <c r="D689" s="355"/>
      <c r="E689" s="433"/>
      <c r="F689" s="433"/>
      <c r="G689" s="439"/>
      <c r="J689" s="344" t="str">
        <f t="shared" si="10"/>
        <v/>
      </c>
      <c r="P689" s="415"/>
      <c r="Q689" s="415"/>
    </row>
    <row r="690" spans="2:17" x14ac:dyDescent="0.15">
      <c r="B690" s="356"/>
      <c r="C690" s="348" t="s">
        <v>575</v>
      </c>
      <c r="D690" s="355"/>
      <c r="E690" s="433"/>
      <c r="F690" s="433"/>
      <c r="G690" s="439"/>
      <c r="J690" s="344" t="str">
        <f t="shared" si="10"/>
        <v/>
      </c>
      <c r="P690" s="415"/>
      <c r="Q690" s="415"/>
    </row>
    <row r="691" spans="2:17" x14ac:dyDescent="0.15">
      <c r="B691" s="356"/>
      <c r="C691" s="348" t="s">
        <v>576</v>
      </c>
      <c r="D691" s="355"/>
      <c r="E691" s="433"/>
      <c r="F691" s="433"/>
      <c r="G691" s="439"/>
      <c r="J691" s="344" t="str">
        <f t="shared" si="10"/>
        <v/>
      </c>
      <c r="P691" s="415"/>
      <c r="Q691" s="415"/>
    </row>
    <row r="692" spans="2:17" x14ac:dyDescent="0.15">
      <c r="B692" s="356"/>
      <c r="C692" s="348" t="s">
        <v>577</v>
      </c>
      <c r="D692" s="355"/>
      <c r="E692" s="433"/>
      <c r="F692" s="433"/>
      <c r="G692" s="439"/>
      <c r="J692" s="344" t="str">
        <f t="shared" si="10"/>
        <v/>
      </c>
      <c r="P692" s="415"/>
      <c r="Q692" s="415"/>
    </row>
    <row r="693" spans="2:17" x14ac:dyDescent="0.15">
      <c r="B693" s="356"/>
      <c r="C693" s="348" t="s">
        <v>1033</v>
      </c>
      <c r="D693" s="355" t="s">
        <v>31</v>
      </c>
      <c r="E693" s="433"/>
      <c r="F693" s="433"/>
      <c r="G693" s="439"/>
      <c r="J693" s="344" t="str">
        <f t="shared" si="10"/>
        <v>×</v>
      </c>
      <c r="K693" s="350" t="str">
        <f>C693</f>
        <v>４　学内実習</v>
      </c>
      <c r="L693" s="351"/>
      <c r="M693" s="351"/>
      <c r="N693" s="352"/>
      <c r="P693" s="415" t="str">
        <f>IF((COUNTIF(E693, "*学内実習*"))=1,"〇","X")</f>
        <v>X</v>
      </c>
      <c r="Q693" s="415" t="str">
        <f>IF((COUNTIF(F693, "*学内実習*"))=1,"〇","X")</f>
        <v>X</v>
      </c>
    </row>
    <row r="694" spans="2:17" x14ac:dyDescent="0.15">
      <c r="B694" s="356"/>
      <c r="C694" s="348" t="s">
        <v>578</v>
      </c>
      <c r="D694" s="355"/>
      <c r="E694" s="433"/>
      <c r="F694" s="433"/>
      <c r="G694" s="439"/>
      <c r="J694" s="344" t="str">
        <f t="shared" si="10"/>
        <v/>
      </c>
      <c r="P694" s="415"/>
      <c r="Q694" s="415"/>
    </row>
    <row r="695" spans="2:17" x14ac:dyDescent="0.15">
      <c r="B695" s="356"/>
      <c r="C695" s="348" t="s">
        <v>579</v>
      </c>
      <c r="D695" s="355"/>
      <c r="E695" s="433"/>
      <c r="F695" s="433"/>
      <c r="G695" s="439"/>
      <c r="J695" s="344" t="str">
        <f t="shared" si="10"/>
        <v/>
      </c>
      <c r="P695" s="415"/>
      <c r="Q695" s="415"/>
    </row>
    <row r="696" spans="2:17" x14ac:dyDescent="0.15">
      <c r="B696" s="356"/>
      <c r="C696" s="348" t="s">
        <v>580</v>
      </c>
      <c r="D696" s="355"/>
      <c r="E696" s="433"/>
      <c r="F696" s="433"/>
      <c r="G696" s="439"/>
      <c r="J696" s="344" t="str">
        <f t="shared" si="10"/>
        <v/>
      </c>
      <c r="P696" s="415"/>
      <c r="Q696" s="415"/>
    </row>
    <row r="697" spans="2:17" x14ac:dyDescent="0.15">
      <c r="B697" s="356"/>
      <c r="C697" s="348" t="s">
        <v>581</v>
      </c>
      <c r="D697" s="355"/>
      <c r="E697" s="433"/>
      <c r="F697" s="433"/>
      <c r="G697" s="439"/>
      <c r="J697" s="344" t="str">
        <f t="shared" si="10"/>
        <v/>
      </c>
      <c r="P697" s="415"/>
      <c r="Q697" s="415"/>
    </row>
    <row r="698" spans="2:17" x14ac:dyDescent="0.15">
      <c r="B698" s="356"/>
      <c r="C698" s="348" t="s">
        <v>582</v>
      </c>
      <c r="D698" s="355"/>
      <c r="E698" s="433"/>
      <c r="F698" s="433"/>
      <c r="G698" s="439"/>
      <c r="J698" s="344" t="str">
        <f t="shared" si="10"/>
        <v/>
      </c>
      <c r="P698" s="415"/>
      <c r="Q698" s="415"/>
    </row>
    <row r="699" spans="2:17" x14ac:dyDescent="0.15">
      <c r="B699" s="356"/>
      <c r="C699" s="348" t="s">
        <v>583</v>
      </c>
      <c r="D699" s="355"/>
      <c r="E699" s="433"/>
      <c r="F699" s="433"/>
      <c r="G699" s="439"/>
      <c r="J699" s="344" t="str">
        <f t="shared" si="10"/>
        <v/>
      </c>
      <c r="P699" s="415"/>
      <c r="Q699" s="415"/>
    </row>
    <row r="700" spans="2:17" x14ac:dyDescent="0.15">
      <c r="B700" s="356"/>
      <c r="C700" s="348" t="s">
        <v>584</v>
      </c>
      <c r="D700" s="355"/>
      <c r="E700" s="433"/>
      <c r="F700" s="433"/>
      <c r="G700" s="439"/>
      <c r="J700" s="344" t="str">
        <f t="shared" si="10"/>
        <v/>
      </c>
      <c r="P700" s="415"/>
      <c r="Q700" s="415"/>
    </row>
    <row r="701" spans="2:17" x14ac:dyDescent="0.15">
      <c r="B701" s="356"/>
      <c r="C701" s="348" t="s">
        <v>585</v>
      </c>
      <c r="D701" s="355"/>
      <c r="E701" s="433"/>
      <c r="F701" s="433"/>
      <c r="G701" s="439"/>
      <c r="J701" s="344" t="str">
        <f t="shared" si="10"/>
        <v/>
      </c>
      <c r="P701" s="415"/>
      <c r="Q701" s="415"/>
    </row>
    <row r="702" spans="2:17" x14ac:dyDescent="0.15">
      <c r="B702" s="356"/>
      <c r="C702" s="348" t="s">
        <v>586</v>
      </c>
      <c r="D702" s="355"/>
      <c r="E702" s="433"/>
      <c r="F702" s="433"/>
      <c r="G702" s="439"/>
      <c r="J702" s="344" t="str">
        <f t="shared" si="10"/>
        <v/>
      </c>
      <c r="P702" s="415"/>
      <c r="Q702" s="415"/>
    </row>
    <row r="703" spans="2:17" x14ac:dyDescent="0.15">
      <c r="B703" s="356"/>
      <c r="C703" s="348" t="s">
        <v>587</v>
      </c>
      <c r="D703" s="355"/>
      <c r="E703" s="433"/>
      <c r="F703" s="433"/>
      <c r="G703" s="439"/>
      <c r="J703" s="344" t="str">
        <f t="shared" si="10"/>
        <v/>
      </c>
      <c r="P703" s="415"/>
      <c r="Q703" s="415"/>
    </row>
    <row r="704" spans="2:17" x14ac:dyDescent="0.15">
      <c r="B704" s="356"/>
      <c r="C704" s="348" t="s">
        <v>588</v>
      </c>
      <c r="D704" s="355"/>
      <c r="E704" s="433"/>
      <c r="F704" s="433"/>
      <c r="G704" s="439"/>
      <c r="J704" s="344" t="str">
        <f t="shared" si="10"/>
        <v/>
      </c>
      <c r="P704" s="415"/>
      <c r="Q704" s="415"/>
    </row>
    <row r="705" spans="2:17" x14ac:dyDescent="0.15">
      <c r="B705" s="356"/>
      <c r="C705" s="348" t="s">
        <v>589</v>
      </c>
      <c r="D705" s="355"/>
      <c r="E705" s="433"/>
      <c r="F705" s="433"/>
      <c r="G705" s="439"/>
      <c r="J705" s="344" t="str">
        <f t="shared" si="10"/>
        <v/>
      </c>
      <c r="P705" s="415"/>
      <c r="Q705" s="415"/>
    </row>
    <row r="706" spans="2:17" x14ac:dyDescent="0.15">
      <c r="B706" s="356"/>
      <c r="C706" s="348" t="s">
        <v>590</v>
      </c>
      <c r="D706" s="355" t="s">
        <v>31</v>
      </c>
      <c r="E706" s="433"/>
      <c r="F706" s="433"/>
      <c r="G706" s="439"/>
      <c r="J706" s="344" t="str">
        <f t="shared" si="10"/>
        <v>×</v>
      </c>
      <c r="K706" s="350" t="str">
        <f>C706</f>
        <v>（13）検査結果の解析と評価</v>
      </c>
      <c r="L706" s="351"/>
      <c r="M706" s="351"/>
      <c r="N706" s="352"/>
      <c r="P706" s="415" t="str">
        <f>IF((COUNTIF(E706, "*検査結果の解析と評価*"))=1,"〇","X")</f>
        <v>X</v>
      </c>
      <c r="Q706" s="415" t="str">
        <f>IF((COUNTIF(F706, "*検査結果の解析と評価*"))=1,"〇","X")</f>
        <v>X</v>
      </c>
    </row>
    <row r="707" spans="2:17" ht="14.25" thickBot="1" x14ac:dyDescent="0.2">
      <c r="B707" s="359"/>
      <c r="C707" s="360" t="s">
        <v>1035</v>
      </c>
      <c r="D707" s="367" t="s">
        <v>31</v>
      </c>
      <c r="E707" s="436"/>
      <c r="F707" s="436"/>
      <c r="G707" s="441"/>
      <c r="J707" s="344" t="str">
        <f t="shared" si="10"/>
        <v>×</v>
      </c>
      <c r="K707" s="350" t="str">
        <f>C707</f>
        <v>５　臨地実習＊</v>
      </c>
      <c r="L707" s="351"/>
      <c r="M707" s="351"/>
      <c r="N707" s="352"/>
      <c r="P707" s="415" t="str">
        <f>IF((COUNTIF(E707, "*臨地実習*"))=1,"〇","X")</f>
        <v>X</v>
      </c>
      <c r="Q707" s="415" t="str">
        <f>IF((COUNTIF(F707, "*臨地実習*"))=1,"〇","X")</f>
        <v>X</v>
      </c>
    </row>
    <row r="708" spans="2:17" ht="14.25" thickBot="1" x14ac:dyDescent="0.2">
      <c r="E708" s="437"/>
      <c r="F708" s="437"/>
      <c r="G708" s="427"/>
      <c r="J708" s="344" t="str">
        <f t="shared" si="10"/>
        <v/>
      </c>
      <c r="P708" s="415"/>
      <c r="Q708" s="415"/>
    </row>
    <row r="709" spans="2:17" ht="27" x14ac:dyDescent="0.15">
      <c r="B709" s="369" t="s">
        <v>591</v>
      </c>
      <c r="C709" s="365" t="s">
        <v>918</v>
      </c>
      <c r="D709" s="366" t="s">
        <v>31</v>
      </c>
      <c r="E709" s="431"/>
      <c r="F709" s="431"/>
      <c r="G709" s="443"/>
      <c r="J709" s="344" t="str">
        <f t="shared" si="10"/>
        <v>×</v>
      </c>
      <c r="K709" s="350" t="str">
        <f>C709</f>
        <v>１　生理学的検査の役割と測定意義・
　　安全対策・感染対策</v>
      </c>
      <c r="L709" s="351"/>
      <c r="M709" s="351"/>
      <c r="N709" s="352"/>
      <c r="P709" s="415" t="str">
        <f>IF((COUNTIF(E709, "*生理学的検査の役割と測定意義・安全対策・感染対策*"))=1,"〇","X")</f>
        <v>X</v>
      </c>
      <c r="Q709" s="415" t="str">
        <f>IF((COUNTIF(F709, "*生理学的検査の役割と測定意義・安全対策・感染対策*"))=1,"〇","X")</f>
        <v>X</v>
      </c>
    </row>
    <row r="710" spans="2:17" x14ac:dyDescent="0.15">
      <c r="B710" s="341"/>
      <c r="C710" s="348" t="s">
        <v>592</v>
      </c>
      <c r="D710" s="349"/>
      <c r="E710" s="433"/>
      <c r="F710" s="433"/>
      <c r="G710" s="439"/>
      <c r="J710" s="344" t="str">
        <f t="shared" si="10"/>
        <v/>
      </c>
      <c r="P710" s="415"/>
      <c r="Q710" s="415"/>
    </row>
    <row r="711" spans="2:17" x14ac:dyDescent="0.15">
      <c r="B711" s="341" t="s">
        <v>593</v>
      </c>
      <c r="C711" s="348" t="s">
        <v>594</v>
      </c>
      <c r="D711" s="349"/>
      <c r="E711" s="433"/>
      <c r="F711" s="433"/>
      <c r="G711" s="439"/>
      <c r="J711" s="344" t="str">
        <f t="shared" si="10"/>
        <v/>
      </c>
      <c r="P711" s="415"/>
      <c r="Q711" s="415"/>
    </row>
    <row r="712" spans="2:17" x14ac:dyDescent="0.15">
      <c r="B712" s="353"/>
      <c r="C712" s="348" t="s">
        <v>1056</v>
      </c>
      <c r="D712" s="349" t="s">
        <v>31</v>
      </c>
      <c r="E712" s="433"/>
      <c r="F712" s="433"/>
      <c r="G712" s="439"/>
      <c r="J712" s="344" t="str">
        <f t="shared" ref="J712:J779" si="11">IF(AND(OR(D712="◎",D712="◎※１"),OR(E712="",F712="",G712="")),"×","")</f>
        <v>×</v>
      </c>
      <c r="K712" s="350" t="str">
        <f>C712</f>
        <v>（３）患者の心理と対応</v>
      </c>
      <c r="L712" s="351"/>
      <c r="M712" s="351"/>
      <c r="N712" s="352"/>
      <c r="P712" s="415" t="str">
        <f>IF((COUNTIF(E712, "*患者の心理と対応*"))=1,"〇","X")</f>
        <v>X</v>
      </c>
      <c r="Q712" s="415" t="str">
        <f>IF((COUNTIF(F712, "*患者の心理と対応*"))=1,"〇","X")</f>
        <v>X</v>
      </c>
    </row>
    <row r="713" spans="2:17" ht="27" x14ac:dyDescent="0.15">
      <c r="B713" s="574" t="s">
        <v>241</v>
      </c>
      <c r="C713" s="348" t="s">
        <v>919</v>
      </c>
      <c r="D713" s="349" t="s">
        <v>31</v>
      </c>
      <c r="E713" s="433"/>
      <c r="F713" s="433"/>
      <c r="G713" s="439"/>
      <c r="J713" s="344" t="str">
        <f t="shared" si="11"/>
        <v>×</v>
      </c>
      <c r="K713" s="350" t="str">
        <f>C713</f>
        <v>（４）外来、病棟、手術室など医療
　　現場における多様なニーズ</v>
      </c>
      <c r="L713" s="351"/>
      <c r="M713" s="351"/>
      <c r="N713" s="352"/>
      <c r="P713" s="415" t="str">
        <f>IF((COUNTIF(E713, "*外来、病棟、手術室など医療現場における多様なニーズ*"))=1,"〇","X")</f>
        <v>X</v>
      </c>
      <c r="Q713" s="415" t="str">
        <f>IF((COUNTIF(F713, "*外来、病棟、手術室など医療現場における多様なニーズ*"))=1,"〇","X")</f>
        <v>X</v>
      </c>
    </row>
    <row r="714" spans="2:17" x14ac:dyDescent="0.15">
      <c r="B714" s="574"/>
      <c r="C714" s="348" t="s">
        <v>595</v>
      </c>
      <c r="D714" s="349"/>
      <c r="E714" s="433"/>
      <c r="F714" s="433"/>
      <c r="G714" s="439"/>
      <c r="J714" s="344" t="str">
        <f t="shared" si="11"/>
        <v/>
      </c>
      <c r="P714" s="415"/>
      <c r="Q714" s="415"/>
    </row>
    <row r="715" spans="2:17" ht="27" x14ac:dyDescent="0.15">
      <c r="B715" s="574"/>
      <c r="C715" s="348" t="s">
        <v>920</v>
      </c>
      <c r="D715" s="349" t="s">
        <v>31</v>
      </c>
      <c r="E715" s="433"/>
      <c r="F715" s="433"/>
      <c r="G715" s="439"/>
      <c r="J715" s="344" t="str">
        <f t="shared" si="11"/>
        <v>×</v>
      </c>
      <c r="K715" s="350" t="str">
        <f>C715</f>
        <v>（６）安全対策・感染対策・患者急変
　　時の対応</v>
      </c>
      <c r="L715" s="351"/>
      <c r="M715" s="351"/>
      <c r="N715" s="352"/>
      <c r="P715" s="415" t="str">
        <f>IF((COUNTIF(E715, "*安全対策・感染対策・患者急変*"))=1,"〇","X")</f>
        <v>X</v>
      </c>
      <c r="Q715" s="415" t="str">
        <f>IF((COUNTIF(F715, "*安全対策・感染対策・患者急変*"))=1,"〇","X")</f>
        <v>X</v>
      </c>
    </row>
    <row r="716" spans="2:17" ht="27" x14ac:dyDescent="0.15">
      <c r="B716" s="574"/>
      <c r="C716" s="348" t="s">
        <v>921</v>
      </c>
      <c r="D716" s="349"/>
      <c r="E716" s="433"/>
      <c r="F716" s="433"/>
      <c r="G716" s="439"/>
      <c r="J716" s="344" t="str">
        <f t="shared" si="11"/>
        <v/>
      </c>
      <c r="P716" s="415"/>
      <c r="Q716" s="415"/>
    </row>
    <row r="717" spans="2:17" x14ac:dyDescent="0.15">
      <c r="B717" s="574"/>
      <c r="C717" s="348" t="s">
        <v>1057</v>
      </c>
      <c r="D717" s="349" t="s">
        <v>31</v>
      </c>
      <c r="E717" s="433"/>
      <c r="F717" s="433"/>
      <c r="G717" s="439"/>
      <c r="J717" s="344" t="str">
        <f t="shared" si="11"/>
        <v>×</v>
      </c>
      <c r="K717" s="350" t="str">
        <f>C717</f>
        <v>２　循環器系の検査</v>
      </c>
      <c r="L717" s="351"/>
      <c r="M717" s="351"/>
      <c r="N717" s="352"/>
      <c r="P717" s="415" t="str">
        <f>IF((COUNTIF(E717, "*循環器系の検査*"))=1,"〇","X")</f>
        <v>X</v>
      </c>
      <c r="Q717" s="415" t="str">
        <f>IF((COUNTIF(F717, "*循環器系の検査*"))=1,"〇","X")</f>
        <v>X</v>
      </c>
    </row>
    <row r="718" spans="2:17" x14ac:dyDescent="0.15">
      <c r="B718" s="574"/>
      <c r="C718" s="348" t="s">
        <v>596</v>
      </c>
      <c r="D718" s="349"/>
      <c r="E718" s="433"/>
      <c r="F718" s="433"/>
      <c r="G718" s="439"/>
      <c r="J718" s="344" t="str">
        <f t="shared" si="11"/>
        <v/>
      </c>
      <c r="P718" s="415"/>
      <c r="Q718" s="415"/>
    </row>
    <row r="719" spans="2:17" x14ac:dyDescent="0.15">
      <c r="B719" s="574"/>
      <c r="C719" s="348" t="s">
        <v>597</v>
      </c>
      <c r="D719" s="349"/>
      <c r="E719" s="433"/>
      <c r="F719" s="433"/>
      <c r="G719" s="439"/>
      <c r="J719" s="344" t="str">
        <f t="shared" si="11"/>
        <v/>
      </c>
      <c r="P719" s="415"/>
      <c r="Q719" s="415"/>
    </row>
    <row r="720" spans="2:17" x14ac:dyDescent="0.15">
      <c r="B720" s="574"/>
      <c r="C720" s="348" t="s">
        <v>598</v>
      </c>
      <c r="D720" s="349"/>
      <c r="E720" s="433"/>
      <c r="F720" s="433"/>
      <c r="G720" s="439"/>
      <c r="J720" s="344" t="str">
        <f t="shared" si="11"/>
        <v/>
      </c>
      <c r="P720" s="415"/>
      <c r="Q720" s="415"/>
    </row>
    <row r="721" spans="2:17" x14ac:dyDescent="0.15">
      <c r="B721" s="574"/>
      <c r="C721" s="348" t="s">
        <v>1058</v>
      </c>
      <c r="D721" s="349" t="s">
        <v>31</v>
      </c>
      <c r="E721" s="433"/>
      <c r="F721" s="433"/>
      <c r="G721" s="439"/>
      <c r="J721" s="344" t="str">
        <f t="shared" si="11"/>
        <v>×</v>
      </c>
      <c r="K721" s="350" t="str">
        <f>C721</f>
        <v>３　神経・筋系の検査</v>
      </c>
      <c r="L721" s="351"/>
      <c r="M721" s="351"/>
      <c r="N721" s="352"/>
      <c r="P721" s="415" t="str">
        <f>IF((COUNTIF(E721, "*神経・筋系の検査*"))=1,"〇","X")</f>
        <v>X</v>
      </c>
      <c r="Q721" s="415" t="str">
        <f>IF((COUNTIF(F721, "*神経・筋系の検査*"))=1,"〇","X")</f>
        <v>X</v>
      </c>
    </row>
    <row r="722" spans="2:17" x14ac:dyDescent="0.15">
      <c r="B722" s="574"/>
      <c r="C722" s="348" t="s">
        <v>599</v>
      </c>
      <c r="D722" s="349"/>
      <c r="E722" s="433"/>
      <c r="F722" s="433"/>
      <c r="G722" s="439"/>
      <c r="J722" s="344" t="str">
        <f t="shared" si="11"/>
        <v/>
      </c>
      <c r="P722" s="415"/>
      <c r="Q722" s="415"/>
    </row>
    <row r="723" spans="2:17" x14ac:dyDescent="0.15">
      <c r="B723" s="574"/>
      <c r="C723" s="348" t="s">
        <v>600</v>
      </c>
      <c r="D723" s="349"/>
      <c r="E723" s="433"/>
      <c r="F723" s="433"/>
      <c r="G723" s="439"/>
      <c r="J723" s="344"/>
      <c r="P723" s="415"/>
      <c r="Q723" s="415"/>
    </row>
    <row r="724" spans="2:17" x14ac:dyDescent="0.15">
      <c r="B724" s="574"/>
      <c r="C724" s="348" t="s">
        <v>851</v>
      </c>
      <c r="D724" s="349" t="s">
        <v>195</v>
      </c>
      <c r="E724" s="433"/>
      <c r="F724" s="433"/>
      <c r="G724" s="439"/>
      <c r="J724" s="344" t="str">
        <f t="shared" ref="J724" si="12">IF(AND(OR(D724="◎",D724="◎※１"),OR(E724="",F724="",G724="")),"×","")</f>
        <v>×</v>
      </c>
      <c r="K724" s="350" t="str">
        <f>C724</f>
        <v>（３）運動誘発電位検査</v>
      </c>
      <c r="P724" s="415" t="str">
        <f>IF((COUNTIF(E724, "*運動誘発電位検査*"))=1,"〇","X")</f>
        <v>X</v>
      </c>
      <c r="Q724" s="415" t="str">
        <f>IF((COUNTIF(F724, "*運動誘発電位検査*"))=1,"〇","X")</f>
        <v>X</v>
      </c>
    </row>
    <row r="725" spans="2:17" x14ac:dyDescent="0.15">
      <c r="B725" s="574"/>
      <c r="C725" s="348" t="s">
        <v>852</v>
      </c>
      <c r="D725" s="349" t="s">
        <v>815</v>
      </c>
      <c r="E725" s="433"/>
      <c r="F725" s="433"/>
      <c r="G725" s="439"/>
      <c r="J725" s="344" t="str">
        <f t="shared" si="11"/>
        <v>×</v>
      </c>
      <c r="K725" s="350" t="str">
        <f>C725</f>
        <v>（４）体性感覚誘発電位検査</v>
      </c>
      <c r="P725" s="415" t="str">
        <f>IF((COUNTIF(E725, "*体性感覚誘発電位検査*"))=1,"〇","X")</f>
        <v>X</v>
      </c>
      <c r="Q725" s="415" t="str">
        <f>IF((COUNTIF(F725, "*体性感覚誘発電位検査*"))=1,"〇","X")</f>
        <v>X</v>
      </c>
    </row>
    <row r="726" spans="2:17" x14ac:dyDescent="0.15">
      <c r="B726" s="574"/>
      <c r="C726" s="348" t="s">
        <v>1059</v>
      </c>
      <c r="D726" s="349" t="s">
        <v>31</v>
      </c>
      <c r="E726" s="433"/>
      <c r="F726" s="433"/>
      <c r="G726" s="439"/>
      <c r="J726" s="344" t="str">
        <f t="shared" si="11"/>
        <v>×</v>
      </c>
      <c r="K726" s="350" t="str">
        <f>C726</f>
        <v>４　呼吸器系の検査</v>
      </c>
      <c r="L726" s="351"/>
      <c r="M726" s="351"/>
      <c r="N726" s="352"/>
      <c r="P726" s="415" t="str">
        <f>IF((COUNTIF(E726, "*呼吸器系の検査*"))=1,"〇","X")</f>
        <v>X</v>
      </c>
      <c r="Q726" s="415" t="str">
        <f>IF((COUNTIF(F726, "*呼吸器系の検査*"))=1,"〇","X")</f>
        <v>X</v>
      </c>
    </row>
    <row r="727" spans="2:17" x14ac:dyDescent="0.15">
      <c r="B727" s="574"/>
      <c r="C727" s="348" t="s">
        <v>601</v>
      </c>
      <c r="D727" s="354"/>
      <c r="E727" s="433"/>
      <c r="F727" s="433"/>
      <c r="G727" s="439"/>
      <c r="J727" s="344" t="str">
        <f t="shared" si="11"/>
        <v/>
      </c>
      <c r="P727" s="415"/>
      <c r="Q727" s="415"/>
    </row>
    <row r="728" spans="2:17" x14ac:dyDescent="0.15">
      <c r="B728" s="574"/>
      <c r="C728" s="348" t="s">
        <v>602</v>
      </c>
      <c r="D728" s="354"/>
      <c r="E728" s="433"/>
      <c r="F728" s="433"/>
      <c r="G728" s="439"/>
      <c r="J728" s="344" t="str">
        <f t="shared" si="11"/>
        <v/>
      </c>
      <c r="P728" s="415"/>
      <c r="Q728" s="415"/>
    </row>
    <row r="729" spans="2:17" x14ac:dyDescent="0.15">
      <c r="B729" s="574"/>
      <c r="C729" s="348" t="s">
        <v>603</v>
      </c>
      <c r="D729" s="354"/>
      <c r="E729" s="433"/>
      <c r="F729" s="433"/>
      <c r="G729" s="439"/>
      <c r="J729" s="344" t="str">
        <f t="shared" si="11"/>
        <v/>
      </c>
      <c r="P729" s="415"/>
      <c r="Q729" s="415"/>
    </row>
    <row r="730" spans="2:17" ht="27" x14ac:dyDescent="0.15">
      <c r="B730" s="574"/>
      <c r="C730" s="348" t="s">
        <v>1140</v>
      </c>
      <c r="D730" s="354" t="s">
        <v>31</v>
      </c>
      <c r="E730" s="433"/>
      <c r="F730" s="433"/>
      <c r="G730" s="439"/>
      <c r="J730" s="344" t="str">
        <f t="shared" si="11"/>
        <v>×</v>
      </c>
      <c r="K730" s="350" t="str">
        <f>C730</f>
        <v>５　超音波検査（造影剤注入による
　　ものも含む）</v>
      </c>
      <c r="L730" s="351"/>
      <c r="M730" s="351"/>
      <c r="N730" s="352"/>
      <c r="P730" s="415" t="str">
        <f>IF((COUNTIF(E730, "*超音波検査（造影剤注入によるものも含む）*"))=1,"〇","X")</f>
        <v>X</v>
      </c>
      <c r="Q730" s="415" t="str">
        <f>IF((COUNTIF(F730, "*超音波検査（造影剤注入によるものも含む）*"))=1,"〇","X")</f>
        <v>X</v>
      </c>
    </row>
    <row r="731" spans="2:17" x14ac:dyDescent="0.15">
      <c r="B731" s="356"/>
      <c r="C731" s="348" t="s">
        <v>604</v>
      </c>
      <c r="D731" s="355"/>
      <c r="E731" s="433"/>
      <c r="F731" s="433"/>
      <c r="G731" s="439"/>
      <c r="J731" s="344" t="str">
        <f t="shared" si="11"/>
        <v/>
      </c>
      <c r="P731" s="415"/>
      <c r="Q731" s="415"/>
    </row>
    <row r="732" spans="2:17" x14ac:dyDescent="0.15">
      <c r="B732" s="356"/>
      <c r="C732" s="348" t="s">
        <v>605</v>
      </c>
      <c r="D732" s="355"/>
      <c r="E732" s="433"/>
      <c r="F732" s="433"/>
      <c r="G732" s="439"/>
      <c r="J732" s="344" t="str">
        <f t="shared" si="11"/>
        <v/>
      </c>
      <c r="P732" s="415"/>
      <c r="Q732" s="415"/>
    </row>
    <row r="733" spans="2:17" x14ac:dyDescent="0.15">
      <c r="B733" s="356"/>
      <c r="C733" s="348" t="s">
        <v>606</v>
      </c>
      <c r="D733" s="355"/>
      <c r="E733" s="433"/>
      <c r="F733" s="433"/>
      <c r="G733" s="439"/>
      <c r="J733" s="344" t="str">
        <f t="shared" si="11"/>
        <v/>
      </c>
      <c r="P733" s="415"/>
      <c r="Q733" s="415"/>
    </row>
    <row r="734" spans="2:17" x14ac:dyDescent="0.15">
      <c r="B734" s="356"/>
      <c r="C734" s="348" t="s">
        <v>1060</v>
      </c>
      <c r="D734" s="355" t="s">
        <v>31</v>
      </c>
      <c r="E734" s="433"/>
      <c r="F734" s="433"/>
      <c r="G734" s="439"/>
      <c r="J734" s="344" t="str">
        <f t="shared" si="11"/>
        <v>×</v>
      </c>
      <c r="K734" s="350" t="str">
        <f>C734</f>
        <v>６　聴力検査・味覚検査・嗅覚検査</v>
      </c>
      <c r="L734" s="351"/>
      <c r="M734" s="351"/>
      <c r="N734" s="352"/>
      <c r="P734" s="415" t="str">
        <f>IF((COUNTIF(E734, "*聴力検査・味覚検査・嗅覚検査*"))=1,"〇","X")</f>
        <v>X</v>
      </c>
      <c r="Q734" s="415" t="str">
        <f>IF((COUNTIF(F734, "*聴力検査・味覚検査・嗅覚検査*"))=1,"〇","X")</f>
        <v>X</v>
      </c>
    </row>
    <row r="735" spans="2:17" x14ac:dyDescent="0.15">
      <c r="B735" s="356"/>
      <c r="C735" s="348" t="s">
        <v>1061</v>
      </c>
      <c r="D735" s="355" t="s">
        <v>31</v>
      </c>
      <c r="E735" s="433"/>
      <c r="F735" s="433"/>
      <c r="G735" s="439"/>
      <c r="J735" s="344" t="str">
        <f t="shared" si="11"/>
        <v>×</v>
      </c>
      <c r="K735" s="350" t="str">
        <f>C735</f>
        <v>７　睡眠時無呼吸症候群検査</v>
      </c>
      <c r="L735" s="351"/>
      <c r="M735" s="351"/>
      <c r="N735" s="352"/>
      <c r="P735" s="415" t="str">
        <f>IF((COUNTIF(E735, "*睡眠時無呼吸症候群検査*"))=1,"〇","X")</f>
        <v>X</v>
      </c>
      <c r="Q735" s="415" t="str">
        <f>IF((COUNTIF(F735, "*睡眠時無呼吸症候群検査*"))=1,"〇","X")</f>
        <v>X</v>
      </c>
    </row>
    <row r="736" spans="2:17" x14ac:dyDescent="0.15">
      <c r="B736" s="356"/>
      <c r="C736" s="348" t="s">
        <v>818</v>
      </c>
      <c r="D736" s="355" t="s">
        <v>815</v>
      </c>
      <c r="E736" s="433"/>
      <c r="F736" s="433"/>
      <c r="G736" s="439"/>
      <c r="J736" s="344" t="str">
        <f t="shared" si="11"/>
        <v>×</v>
      </c>
      <c r="K736" s="350" t="str">
        <f>C736</f>
        <v>８　直腸肛門機能検査</v>
      </c>
      <c r="L736" s="370"/>
      <c r="M736" s="370"/>
      <c r="N736" s="371"/>
      <c r="P736" s="415" t="str">
        <f>IF((COUNTIF(E736, "*直腸肛門機能検査*"))=1,"〇","X")</f>
        <v>X</v>
      </c>
      <c r="Q736" s="415" t="str">
        <f>IF((COUNTIF(F736, "*直腸肛門機能検査*"))=1,"〇","X")</f>
        <v>X</v>
      </c>
    </row>
    <row r="737" spans="2:17" ht="27" x14ac:dyDescent="0.15">
      <c r="B737" s="356"/>
      <c r="C737" s="348" t="s">
        <v>1139</v>
      </c>
      <c r="D737" s="355" t="s">
        <v>815</v>
      </c>
      <c r="E737" s="433"/>
      <c r="F737" s="433"/>
      <c r="G737" s="439"/>
      <c r="J737" s="344" t="str">
        <f t="shared" si="11"/>
        <v>×</v>
      </c>
      <c r="K737" s="350" t="str">
        <f>C737</f>
        <v>９　消化管内視鏡検査（組織検体の
　　採取手技を含む）</v>
      </c>
      <c r="L737" s="370"/>
      <c r="M737" s="370"/>
      <c r="N737" s="371"/>
      <c r="P737" s="415" t="str">
        <f>IF((COUNTIF(E737, "*消化管内視鏡検査（組織検体の採取手技を含む）*"))=1,"〇","X")</f>
        <v>X</v>
      </c>
      <c r="Q737" s="415" t="str">
        <f>IF((COUNTIF(F737, "*消化管内視鏡検査（組織検体の採取手技を含む）*"))=1,"〇","X")</f>
        <v>X</v>
      </c>
    </row>
    <row r="738" spans="2:17" x14ac:dyDescent="0.15">
      <c r="B738" s="356"/>
      <c r="C738" s="348" t="s">
        <v>819</v>
      </c>
      <c r="D738" s="355" t="s">
        <v>31</v>
      </c>
      <c r="E738" s="433"/>
      <c r="F738" s="433"/>
      <c r="G738" s="439"/>
      <c r="J738" s="344" t="str">
        <f t="shared" si="11"/>
        <v>×</v>
      </c>
      <c r="K738" s="350" t="str">
        <f>C738</f>
        <v>10　学内実習</v>
      </c>
      <c r="L738" s="351"/>
      <c r="M738" s="351"/>
      <c r="N738" s="352"/>
      <c r="P738" s="415" t="str">
        <f>IF((COUNTIF(E738, "*学内実習*"))=1,"〇","X")</f>
        <v>X</v>
      </c>
      <c r="Q738" s="415" t="str">
        <f>IF((COUNTIF(F738, "*学内実習*"))=1,"〇","X")</f>
        <v>X</v>
      </c>
    </row>
    <row r="739" spans="2:17" x14ac:dyDescent="0.15">
      <c r="B739" s="356"/>
      <c r="C739" s="348" t="s">
        <v>607</v>
      </c>
      <c r="D739" s="355"/>
      <c r="E739" s="433"/>
      <c r="F739" s="433"/>
      <c r="G739" s="439"/>
      <c r="J739" s="344" t="str">
        <f t="shared" si="11"/>
        <v/>
      </c>
      <c r="P739" s="415"/>
      <c r="Q739" s="415"/>
    </row>
    <row r="740" spans="2:17" x14ac:dyDescent="0.15">
      <c r="B740" s="356"/>
      <c r="C740" s="348" t="s">
        <v>608</v>
      </c>
      <c r="D740" s="355"/>
      <c r="E740" s="433"/>
      <c r="F740" s="433"/>
      <c r="G740" s="439"/>
      <c r="J740" s="344" t="str">
        <f t="shared" si="11"/>
        <v/>
      </c>
      <c r="P740" s="415"/>
      <c r="Q740" s="415"/>
    </row>
    <row r="741" spans="2:17" x14ac:dyDescent="0.15">
      <c r="B741" s="356"/>
      <c r="C741" s="348" t="s">
        <v>609</v>
      </c>
      <c r="D741" s="355"/>
      <c r="E741" s="433"/>
      <c r="F741" s="433"/>
      <c r="G741" s="439"/>
      <c r="J741" s="344" t="str">
        <f t="shared" si="11"/>
        <v/>
      </c>
      <c r="P741" s="415"/>
      <c r="Q741" s="415"/>
    </row>
    <row r="742" spans="2:17" x14ac:dyDescent="0.15">
      <c r="B742" s="356"/>
      <c r="C742" s="348" t="s">
        <v>610</v>
      </c>
      <c r="D742" s="355"/>
      <c r="E742" s="433"/>
      <c r="F742" s="433"/>
      <c r="G742" s="439"/>
      <c r="J742" s="344" t="str">
        <f t="shared" si="11"/>
        <v/>
      </c>
      <c r="P742" s="415"/>
      <c r="Q742" s="415"/>
    </row>
    <row r="743" spans="2:17" x14ac:dyDescent="0.15">
      <c r="B743" s="356"/>
      <c r="C743" s="348" t="s">
        <v>611</v>
      </c>
      <c r="D743" s="355"/>
      <c r="E743" s="433"/>
      <c r="F743" s="433"/>
      <c r="G743" s="439"/>
      <c r="J743" s="344" t="str">
        <f t="shared" si="11"/>
        <v/>
      </c>
      <c r="P743" s="415"/>
      <c r="Q743" s="415"/>
    </row>
    <row r="744" spans="2:17" x14ac:dyDescent="0.15">
      <c r="B744" s="356"/>
      <c r="C744" s="348" t="s">
        <v>612</v>
      </c>
      <c r="D744" s="355"/>
      <c r="E744" s="433"/>
      <c r="F744" s="433"/>
      <c r="G744" s="439"/>
      <c r="J744" s="344" t="str">
        <f t="shared" si="11"/>
        <v/>
      </c>
      <c r="P744" s="415"/>
      <c r="Q744" s="415"/>
    </row>
    <row r="745" spans="2:17" x14ac:dyDescent="0.15">
      <c r="B745" s="356"/>
      <c r="C745" s="348" t="s">
        <v>613</v>
      </c>
      <c r="D745" s="355"/>
      <c r="E745" s="433"/>
      <c r="F745" s="433"/>
      <c r="G745" s="439"/>
      <c r="J745" s="344" t="str">
        <f t="shared" si="11"/>
        <v/>
      </c>
      <c r="P745" s="415"/>
      <c r="Q745" s="415"/>
    </row>
    <row r="746" spans="2:17" x14ac:dyDescent="0.15">
      <c r="B746" s="356"/>
      <c r="C746" s="348" t="s">
        <v>384</v>
      </c>
      <c r="D746" s="355" t="s">
        <v>31</v>
      </c>
      <c r="E746" s="433"/>
      <c r="F746" s="433"/>
      <c r="G746" s="439"/>
      <c r="J746" s="344" t="str">
        <f t="shared" si="11"/>
        <v>×</v>
      </c>
      <c r="K746" s="350" t="str">
        <f>C746</f>
        <v>（８）検査結果の解析と評価</v>
      </c>
      <c r="L746" s="351"/>
      <c r="M746" s="351"/>
      <c r="N746" s="352"/>
      <c r="P746" s="415" t="str">
        <f>IF((COUNTIF(E746, "*検査結果の解析と評価*"))=1,"〇","X")</f>
        <v>X</v>
      </c>
      <c r="Q746" s="415" t="str">
        <f>IF((COUNTIF(F746, "*検査結果の解析と評価*"))=1,"〇","X")</f>
        <v>X</v>
      </c>
    </row>
    <row r="747" spans="2:17" ht="14.25" thickBot="1" x14ac:dyDescent="0.2">
      <c r="B747" s="359"/>
      <c r="C747" s="360" t="s">
        <v>820</v>
      </c>
      <c r="D747" s="367" t="s">
        <v>31</v>
      </c>
      <c r="E747" s="436"/>
      <c r="F747" s="436"/>
      <c r="G747" s="441"/>
      <c r="J747" s="344" t="str">
        <f t="shared" si="11"/>
        <v>×</v>
      </c>
      <c r="K747" s="350" t="str">
        <f>C747</f>
        <v>11　臨地実習＊</v>
      </c>
      <c r="L747" s="351"/>
      <c r="M747" s="351"/>
      <c r="N747" s="352"/>
      <c r="P747" s="415" t="str">
        <f>IF((COUNTIF(E747, "*臨地実習*"))=1,"〇","X")</f>
        <v>X</v>
      </c>
      <c r="Q747" s="415" t="str">
        <f>IF((COUNTIF(F747, "*臨地実習*"))=1,"〇","X")</f>
        <v>X</v>
      </c>
    </row>
    <row r="748" spans="2:17" ht="14.25" thickBot="1" x14ac:dyDescent="0.2">
      <c r="E748" s="437"/>
      <c r="F748" s="437"/>
      <c r="G748" s="427"/>
      <c r="J748" s="344" t="str">
        <f t="shared" si="11"/>
        <v/>
      </c>
      <c r="P748" s="415"/>
      <c r="Q748" s="415"/>
    </row>
    <row r="749" spans="2:17" ht="27" x14ac:dyDescent="0.15">
      <c r="B749" s="369" t="s">
        <v>614</v>
      </c>
      <c r="C749" s="365" t="s">
        <v>1062</v>
      </c>
      <c r="D749" s="366" t="s">
        <v>31</v>
      </c>
      <c r="E749" s="431"/>
      <c r="F749" s="431"/>
      <c r="G749" s="443"/>
      <c r="J749" s="344" t="str">
        <f t="shared" si="11"/>
        <v>×</v>
      </c>
      <c r="K749" s="350" t="str">
        <f>C749</f>
        <v>１　臨床検査技師の役割と使命</v>
      </c>
      <c r="L749" s="351"/>
      <c r="M749" s="351"/>
      <c r="N749" s="352"/>
      <c r="P749" s="415" t="str">
        <f>IF((COUNTIF(E749, "*臨床検査技師の役割と使命*"))=1,"〇","X")</f>
        <v>X</v>
      </c>
      <c r="Q749" s="415" t="str">
        <f>IF((COUNTIF(F749, "*臨床検査技師の役割と使命*"))=1,"〇","X")</f>
        <v>X</v>
      </c>
    </row>
    <row r="750" spans="2:17" x14ac:dyDescent="0.15">
      <c r="B750" s="341"/>
      <c r="C750" s="348" t="s">
        <v>615</v>
      </c>
      <c r="D750" s="349"/>
      <c r="E750" s="433"/>
      <c r="F750" s="433"/>
      <c r="G750" s="439"/>
      <c r="J750" s="344" t="str">
        <f t="shared" si="11"/>
        <v/>
      </c>
      <c r="P750" s="415"/>
      <c r="Q750" s="415"/>
    </row>
    <row r="751" spans="2:17" x14ac:dyDescent="0.15">
      <c r="B751" s="341" t="s">
        <v>556</v>
      </c>
      <c r="C751" s="348" t="s">
        <v>616</v>
      </c>
      <c r="D751" s="349"/>
      <c r="E751" s="433"/>
      <c r="F751" s="433"/>
      <c r="G751" s="439"/>
      <c r="J751" s="344" t="str">
        <f t="shared" si="11"/>
        <v/>
      </c>
      <c r="P751" s="415"/>
      <c r="Q751" s="415"/>
    </row>
    <row r="752" spans="2:17" x14ac:dyDescent="0.15">
      <c r="B752" s="353"/>
      <c r="C752" s="348" t="s">
        <v>617</v>
      </c>
      <c r="D752" s="349"/>
      <c r="E752" s="433"/>
      <c r="F752" s="433"/>
      <c r="G752" s="439"/>
      <c r="J752" s="344" t="str">
        <f t="shared" si="11"/>
        <v/>
      </c>
      <c r="P752" s="415"/>
      <c r="Q752" s="415"/>
    </row>
    <row r="753" spans="2:17" ht="27" x14ac:dyDescent="0.15">
      <c r="B753" s="574" t="s">
        <v>241</v>
      </c>
      <c r="C753" s="348" t="s">
        <v>922</v>
      </c>
      <c r="D753" s="349" t="s">
        <v>31</v>
      </c>
      <c r="E753" s="433"/>
      <c r="F753" s="433"/>
      <c r="G753" s="439"/>
      <c r="J753" s="344" t="str">
        <f t="shared" si="11"/>
        <v>×</v>
      </c>
      <c r="K753" s="350" t="str">
        <f>C753</f>
        <v>２　臨床検査技師の職業倫理と守秘
　　義務</v>
      </c>
      <c r="L753" s="351"/>
      <c r="M753" s="351"/>
      <c r="N753" s="352"/>
      <c r="P753" s="415" t="str">
        <f>IF((COUNTIF(E753, "*臨床検査技師の職業倫理と守秘義務*"))=1,"〇","X")</f>
        <v>X</v>
      </c>
      <c r="Q753" s="415" t="str">
        <f>IF((COUNTIF(F753, "*臨床検査技師の職業倫理と守秘義務*"))=1,"〇","X")</f>
        <v>X</v>
      </c>
    </row>
    <row r="754" spans="2:17" x14ac:dyDescent="0.15">
      <c r="B754" s="574"/>
      <c r="C754" s="348" t="s">
        <v>1063</v>
      </c>
      <c r="D754" s="349" t="s">
        <v>31</v>
      </c>
      <c r="E754" s="433"/>
      <c r="F754" s="433"/>
      <c r="G754" s="439"/>
      <c r="J754" s="344" t="str">
        <f t="shared" si="11"/>
        <v>×</v>
      </c>
      <c r="K754" s="350" t="str">
        <f>C754</f>
        <v>（１）臨床検査の実施と職業倫理</v>
      </c>
      <c r="L754" s="351"/>
      <c r="M754" s="351"/>
      <c r="N754" s="352"/>
      <c r="P754" s="415" t="str">
        <f>IF((COUNTIF(E754, "*臨床検査の実施と職業倫理*"))=1,"〇","X")</f>
        <v>X</v>
      </c>
      <c r="Q754" s="415" t="str">
        <f>IF((COUNTIF(F754, "*臨床検査の実施と職業倫理*"))=1,"〇","X")</f>
        <v>X</v>
      </c>
    </row>
    <row r="755" spans="2:17" x14ac:dyDescent="0.15">
      <c r="B755" s="574"/>
      <c r="C755" s="348" t="s">
        <v>618</v>
      </c>
      <c r="D755" s="349"/>
      <c r="E755" s="433"/>
      <c r="F755" s="433"/>
      <c r="G755" s="439"/>
      <c r="J755" s="344" t="str">
        <f t="shared" si="11"/>
        <v/>
      </c>
      <c r="P755" s="415"/>
      <c r="Q755" s="415"/>
    </row>
    <row r="756" spans="2:17" x14ac:dyDescent="0.15">
      <c r="B756" s="574"/>
      <c r="C756" s="348" t="s">
        <v>619</v>
      </c>
      <c r="D756" s="349"/>
      <c r="E756" s="433"/>
      <c r="F756" s="433"/>
      <c r="G756" s="439"/>
      <c r="J756" s="344" t="str">
        <f t="shared" si="11"/>
        <v/>
      </c>
      <c r="P756" s="415"/>
      <c r="Q756" s="415"/>
    </row>
    <row r="757" spans="2:17" x14ac:dyDescent="0.15">
      <c r="B757" s="574"/>
      <c r="C757" s="348" t="s">
        <v>1064</v>
      </c>
      <c r="D757" s="349" t="s">
        <v>31</v>
      </c>
      <c r="E757" s="433"/>
      <c r="F757" s="433"/>
      <c r="G757" s="439"/>
      <c r="J757" s="344" t="str">
        <f t="shared" si="11"/>
        <v>×</v>
      </c>
      <c r="K757" s="350" t="str">
        <f>C757</f>
        <v>３　臨床検査部門の業務と各種管理</v>
      </c>
      <c r="L757" s="351"/>
      <c r="M757" s="351"/>
      <c r="N757" s="352"/>
      <c r="P757" s="415" t="str">
        <f>IF((COUNTIF(E757, "*臨床検査部門の業務と各種管理*"))=1,"〇","X")</f>
        <v>X</v>
      </c>
      <c r="Q757" s="415" t="str">
        <f>IF((COUNTIF(F757, "*臨床検査部門の業務と各種管理*"))=1,"〇","X")</f>
        <v>X</v>
      </c>
    </row>
    <row r="758" spans="2:17" x14ac:dyDescent="0.15">
      <c r="B758" s="574"/>
      <c r="C758" s="348" t="s">
        <v>1065</v>
      </c>
      <c r="D758" s="349" t="s">
        <v>31</v>
      </c>
      <c r="E758" s="433"/>
      <c r="F758" s="433"/>
      <c r="G758" s="439"/>
      <c r="J758" s="344" t="str">
        <f t="shared" si="11"/>
        <v>×</v>
      </c>
      <c r="K758" s="350" t="str">
        <f t="shared" ref="K758:K764" si="13">C758</f>
        <v>（１）検査体制と業務内容</v>
      </c>
      <c r="L758" s="351"/>
      <c r="M758" s="351"/>
      <c r="N758" s="352"/>
      <c r="P758" s="415" t="str">
        <f>IF((COUNTIF(E758, "*検査体制と業務内容*"))=1,"〇","X")</f>
        <v>X</v>
      </c>
      <c r="Q758" s="415" t="str">
        <f>IF((COUNTIF(F758, "*検査体制と業務内容*"))=1,"〇","X")</f>
        <v>X</v>
      </c>
    </row>
    <row r="759" spans="2:17" x14ac:dyDescent="0.15">
      <c r="B759" s="574"/>
      <c r="C759" s="348" t="s">
        <v>1066</v>
      </c>
      <c r="D759" s="349" t="s">
        <v>31</v>
      </c>
      <c r="E759" s="433"/>
      <c r="F759" s="433"/>
      <c r="G759" s="439"/>
      <c r="J759" s="344" t="str">
        <f t="shared" si="11"/>
        <v>×</v>
      </c>
      <c r="K759" s="350" t="str">
        <f t="shared" si="13"/>
        <v>（２）臨床検査部門の組織と運営</v>
      </c>
      <c r="L759" s="351"/>
      <c r="M759" s="351"/>
      <c r="N759" s="352"/>
      <c r="P759" s="415" t="str">
        <f>IF((COUNTIF(E759, "*臨床検査部門の組織と運営*"))=1,"〇","X")</f>
        <v>X</v>
      </c>
      <c r="Q759" s="415" t="str">
        <f>IF((COUNTIF(F759, "*臨床検査部門の組織と運営*"))=1,"〇","X")</f>
        <v>X</v>
      </c>
    </row>
    <row r="760" spans="2:17" ht="27" x14ac:dyDescent="0.15">
      <c r="B760" s="574"/>
      <c r="C760" s="348" t="s">
        <v>923</v>
      </c>
      <c r="D760" s="349" t="s">
        <v>31</v>
      </c>
      <c r="E760" s="433"/>
      <c r="F760" s="433"/>
      <c r="G760" s="439"/>
      <c r="J760" s="344" t="str">
        <f t="shared" si="11"/>
        <v>×</v>
      </c>
      <c r="K760" s="350" t="str">
        <f t="shared" si="13"/>
        <v>（３）臨床検査部門の機器管理と物品
　　管理</v>
      </c>
      <c r="L760" s="351"/>
      <c r="M760" s="351"/>
      <c r="N760" s="352"/>
      <c r="P760" s="415" t="str">
        <f>IF((COUNTIF(E760, "*臨床検査部門の機器管理と物品管理*"))=1,"〇","X")</f>
        <v>X</v>
      </c>
      <c r="Q760" s="415" t="str">
        <f>IF((COUNTIF(F760, "*臨床検査部門の機器管理と物品管理*"))=1,"〇","X")</f>
        <v>X</v>
      </c>
    </row>
    <row r="761" spans="2:17" ht="27" x14ac:dyDescent="0.15">
      <c r="B761" s="574"/>
      <c r="C761" s="348" t="s">
        <v>924</v>
      </c>
      <c r="D761" s="349" t="s">
        <v>31</v>
      </c>
      <c r="E761" s="433"/>
      <c r="F761" s="433"/>
      <c r="G761" s="439"/>
      <c r="J761" s="344" t="str">
        <f t="shared" si="11"/>
        <v>×</v>
      </c>
      <c r="K761" s="350" t="str">
        <f t="shared" si="13"/>
        <v>（４）臨床検査部門の人事管理と安全
　　管理</v>
      </c>
      <c r="L761" s="351"/>
      <c r="M761" s="351"/>
      <c r="N761" s="352"/>
      <c r="P761" s="415" t="str">
        <f>IF((COUNTIF(E761, "*臨床検査部門の人事管理と安全管理*"))=1,"〇","X")</f>
        <v>X</v>
      </c>
      <c r="Q761" s="415" t="str">
        <f>IF((COUNTIF(F761, "*臨床検査部門の人事管理と安全管理*"))=1,"〇","X")</f>
        <v>X</v>
      </c>
    </row>
    <row r="762" spans="2:17" x14ac:dyDescent="0.15">
      <c r="B762" s="574"/>
      <c r="C762" s="348" t="s">
        <v>1067</v>
      </c>
      <c r="D762" s="349" t="s">
        <v>31</v>
      </c>
      <c r="E762" s="433"/>
      <c r="F762" s="433"/>
      <c r="G762" s="439"/>
      <c r="J762" s="344" t="str">
        <f t="shared" si="11"/>
        <v>×</v>
      </c>
      <c r="K762" s="350" t="str">
        <f t="shared" si="13"/>
        <v>（５）臨床検査部門の情報管理</v>
      </c>
      <c r="L762" s="351"/>
      <c r="M762" s="351"/>
      <c r="N762" s="352"/>
      <c r="P762" s="415" t="str">
        <f>IF((COUNTIF(E762, "*臨床検査部門の情報管理*"))=1,"〇","X")</f>
        <v>X</v>
      </c>
      <c r="Q762" s="415" t="str">
        <f>IF((COUNTIF(F762, "*臨床検査部門の情報管理*"))=1,"〇","X")</f>
        <v>X</v>
      </c>
    </row>
    <row r="763" spans="2:17" x14ac:dyDescent="0.15">
      <c r="B763" s="574"/>
      <c r="C763" s="348" t="s">
        <v>1068</v>
      </c>
      <c r="D763" s="349" t="s">
        <v>31</v>
      </c>
      <c r="E763" s="433"/>
      <c r="F763" s="433"/>
      <c r="G763" s="439"/>
      <c r="J763" s="344" t="str">
        <f t="shared" si="11"/>
        <v>×</v>
      </c>
      <c r="K763" s="350" t="str">
        <f t="shared" si="13"/>
        <v>（６）臨床検査部門の財務管理</v>
      </c>
      <c r="L763" s="351"/>
      <c r="M763" s="351"/>
      <c r="N763" s="352"/>
      <c r="P763" s="415" t="str">
        <f>IF((COUNTIF(E763, "*臨床検査部門の財務管理*"))=1,"〇","X")</f>
        <v>X</v>
      </c>
      <c r="Q763" s="415" t="str">
        <f>IF((COUNTIF(F763, "*臨床検査部門の財務管理*"))=1,"〇","X")</f>
        <v>X</v>
      </c>
    </row>
    <row r="764" spans="2:17" x14ac:dyDescent="0.15">
      <c r="B764" s="574"/>
      <c r="C764" s="348" t="s">
        <v>1069</v>
      </c>
      <c r="D764" s="349" t="s">
        <v>31</v>
      </c>
      <c r="E764" s="433"/>
      <c r="F764" s="433"/>
      <c r="G764" s="439"/>
      <c r="J764" s="344" t="str">
        <f t="shared" si="11"/>
        <v>×</v>
      </c>
      <c r="K764" s="350" t="str">
        <f t="shared" si="13"/>
        <v xml:space="preserve">４　検体の取扱いと保存 </v>
      </c>
      <c r="L764" s="351"/>
      <c r="M764" s="351"/>
      <c r="N764" s="352"/>
      <c r="P764" s="415" t="str">
        <f>IF((COUNTIF(E764, "*検体の取扱いと保存 *"))=1,"〇","X")</f>
        <v>X</v>
      </c>
      <c r="Q764" s="415" t="str">
        <f>IF((COUNTIF(F764, "*検体の取扱いと保存 *"))=1,"〇","X")</f>
        <v>X</v>
      </c>
    </row>
    <row r="765" spans="2:17" x14ac:dyDescent="0.15">
      <c r="B765" s="574"/>
      <c r="C765" s="348" t="s">
        <v>620</v>
      </c>
      <c r="D765" s="354"/>
      <c r="E765" s="433"/>
      <c r="F765" s="433"/>
      <c r="G765" s="439"/>
      <c r="J765" s="344" t="str">
        <f t="shared" si="11"/>
        <v/>
      </c>
      <c r="P765" s="415"/>
      <c r="Q765" s="415"/>
    </row>
    <row r="766" spans="2:17" x14ac:dyDescent="0.15">
      <c r="B766" s="574"/>
      <c r="C766" s="348" t="s">
        <v>621</v>
      </c>
      <c r="D766" s="354"/>
      <c r="E766" s="433"/>
      <c r="F766" s="433"/>
      <c r="G766" s="439"/>
      <c r="J766" s="344" t="str">
        <f t="shared" si="11"/>
        <v/>
      </c>
      <c r="P766" s="415"/>
      <c r="Q766" s="415"/>
    </row>
    <row r="767" spans="2:17" x14ac:dyDescent="0.15">
      <c r="B767" s="574"/>
      <c r="C767" s="348" t="s">
        <v>622</v>
      </c>
      <c r="D767" s="354"/>
      <c r="E767" s="433"/>
      <c r="F767" s="433"/>
      <c r="G767" s="439"/>
      <c r="J767" s="344" t="str">
        <f t="shared" si="11"/>
        <v/>
      </c>
      <c r="P767" s="415"/>
      <c r="Q767" s="415"/>
    </row>
    <row r="768" spans="2:17" x14ac:dyDescent="0.15">
      <c r="B768" s="574"/>
      <c r="C768" s="348" t="s">
        <v>623</v>
      </c>
      <c r="D768" s="354"/>
      <c r="E768" s="433"/>
      <c r="F768" s="433"/>
      <c r="G768" s="439"/>
      <c r="J768" s="344" t="str">
        <f t="shared" si="11"/>
        <v/>
      </c>
      <c r="P768" s="415"/>
      <c r="Q768" s="415"/>
    </row>
    <row r="769" spans="2:17" x14ac:dyDescent="0.15">
      <c r="B769" s="356"/>
      <c r="C769" s="348" t="s">
        <v>624</v>
      </c>
      <c r="D769" s="355"/>
      <c r="E769" s="433"/>
      <c r="F769" s="433"/>
      <c r="G769" s="439"/>
      <c r="J769" s="344" t="str">
        <f t="shared" si="11"/>
        <v/>
      </c>
      <c r="P769" s="415"/>
      <c r="Q769" s="415"/>
    </row>
    <row r="770" spans="2:17" x14ac:dyDescent="0.15">
      <c r="B770" s="356"/>
      <c r="C770" s="348" t="s">
        <v>625</v>
      </c>
      <c r="D770" s="355"/>
      <c r="E770" s="433"/>
      <c r="F770" s="433"/>
      <c r="G770" s="439"/>
      <c r="J770" s="344" t="str">
        <f t="shared" si="11"/>
        <v/>
      </c>
      <c r="P770" s="415"/>
      <c r="Q770" s="415"/>
    </row>
    <row r="771" spans="2:17" x14ac:dyDescent="0.15">
      <c r="B771" s="356"/>
      <c r="C771" s="348" t="s">
        <v>626</v>
      </c>
      <c r="D771" s="355"/>
      <c r="E771" s="433"/>
      <c r="F771" s="433"/>
      <c r="G771" s="439"/>
      <c r="J771" s="344" t="str">
        <f t="shared" si="11"/>
        <v/>
      </c>
      <c r="P771" s="415"/>
      <c r="Q771" s="415"/>
    </row>
    <row r="772" spans="2:17" x14ac:dyDescent="0.15">
      <c r="B772" s="356"/>
      <c r="C772" s="348" t="s">
        <v>627</v>
      </c>
      <c r="D772" s="355"/>
      <c r="E772" s="433"/>
      <c r="F772" s="433"/>
      <c r="G772" s="439"/>
      <c r="J772" s="344" t="str">
        <f t="shared" si="11"/>
        <v/>
      </c>
      <c r="P772" s="415"/>
      <c r="Q772" s="415"/>
    </row>
    <row r="773" spans="2:17" x14ac:dyDescent="0.15">
      <c r="B773" s="356"/>
      <c r="C773" s="348" t="s">
        <v>628</v>
      </c>
      <c r="D773" s="355"/>
      <c r="E773" s="433"/>
      <c r="F773" s="433"/>
      <c r="G773" s="439"/>
      <c r="J773" s="344" t="str">
        <f t="shared" si="11"/>
        <v/>
      </c>
      <c r="P773" s="415"/>
      <c r="Q773" s="415"/>
    </row>
    <row r="774" spans="2:17" x14ac:dyDescent="0.15">
      <c r="B774" s="356"/>
      <c r="C774" s="348" t="s">
        <v>629</v>
      </c>
      <c r="D774" s="355"/>
      <c r="E774" s="433"/>
      <c r="F774" s="433"/>
      <c r="G774" s="439"/>
      <c r="J774" s="344" t="str">
        <f t="shared" si="11"/>
        <v/>
      </c>
      <c r="P774" s="415"/>
      <c r="Q774" s="415"/>
    </row>
    <row r="775" spans="2:17" x14ac:dyDescent="0.15">
      <c r="B775" s="356"/>
      <c r="C775" s="348" t="s">
        <v>630</v>
      </c>
      <c r="D775" s="355"/>
      <c r="E775" s="433"/>
      <c r="F775" s="433"/>
      <c r="G775" s="439"/>
      <c r="J775" s="344" t="str">
        <f t="shared" si="11"/>
        <v/>
      </c>
      <c r="P775" s="415"/>
      <c r="Q775" s="415"/>
    </row>
    <row r="776" spans="2:17" x14ac:dyDescent="0.15">
      <c r="B776" s="356"/>
      <c r="C776" s="348" t="s">
        <v>631</v>
      </c>
      <c r="D776" s="355"/>
      <c r="E776" s="433"/>
      <c r="F776" s="433"/>
      <c r="G776" s="439"/>
      <c r="J776" s="344" t="str">
        <f t="shared" si="11"/>
        <v/>
      </c>
      <c r="P776" s="415"/>
      <c r="Q776" s="415"/>
    </row>
    <row r="777" spans="2:17" x14ac:dyDescent="0.15">
      <c r="B777" s="356"/>
      <c r="C777" s="348" t="s">
        <v>1070</v>
      </c>
      <c r="D777" s="355" t="s">
        <v>31</v>
      </c>
      <c r="E777" s="433"/>
      <c r="F777" s="433"/>
      <c r="G777" s="439"/>
      <c r="J777" s="344" t="str">
        <f t="shared" si="11"/>
        <v>×</v>
      </c>
      <c r="K777" s="350" t="str">
        <f t="shared" ref="K777" si="14">C777</f>
        <v>５　検査の受付と報告</v>
      </c>
      <c r="L777" s="351"/>
      <c r="M777" s="351"/>
      <c r="N777" s="352"/>
      <c r="P777" s="415" t="str">
        <f>IF((COUNTIF(E777, "*検査の受付と報告*"))=1,"〇","X")</f>
        <v>X</v>
      </c>
      <c r="Q777" s="415" t="str">
        <f>IF((COUNTIF(F777, "*検査の受付と報告*"))=1,"〇","X")</f>
        <v>X</v>
      </c>
    </row>
    <row r="778" spans="2:17" x14ac:dyDescent="0.15">
      <c r="B778" s="356"/>
      <c r="C778" s="348" t="s">
        <v>632</v>
      </c>
      <c r="D778" s="355"/>
      <c r="E778" s="433"/>
      <c r="F778" s="433"/>
      <c r="G778" s="439"/>
      <c r="J778" s="344" t="str">
        <f t="shared" si="11"/>
        <v/>
      </c>
      <c r="P778" s="415"/>
      <c r="Q778" s="415"/>
    </row>
    <row r="779" spans="2:17" x14ac:dyDescent="0.15">
      <c r="B779" s="356"/>
      <c r="C779" s="348" t="s">
        <v>633</v>
      </c>
      <c r="D779" s="355"/>
      <c r="E779" s="433"/>
      <c r="F779" s="433"/>
      <c r="G779" s="439"/>
      <c r="J779" s="344" t="str">
        <f t="shared" si="11"/>
        <v/>
      </c>
      <c r="P779" s="415"/>
      <c r="Q779" s="415"/>
    </row>
    <row r="780" spans="2:17" x14ac:dyDescent="0.15">
      <c r="B780" s="356"/>
      <c r="C780" s="348" t="s">
        <v>634</v>
      </c>
      <c r="D780" s="355"/>
      <c r="E780" s="433"/>
      <c r="F780" s="433"/>
      <c r="G780" s="439"/>
      <c r="J780" s="344" t="str">
        <f t="shared" ref="J780:J832" si="15">IF(AND(OR(D780="◎",D780="◎※１"),OR(E780="",F780="",G780="")),"×","")</f>
        <v/>
      </c>
      <c r="P780" s="415"/>
      <c r="Q780" s="415"/>
    </row>
    <row r="781" spans="2:17" x14ac:dyDescent="0.15">
      <c r="B781" s="356"/>
      <c r="C781" s="348" t="s">
        <v>1071</v>
      </c>
      <c r="D781" s="355" t="s">
        <v>31</v>
      </c>
      <c r="E781" s="433"/>
      <c r="F781" s="433"/>
      <c r="G781" s="439"/>
      <c r="J781" s="344" t="str">
        <f t="shared" si="15"/>
        <v>×</v>
      </c>
      <c r="K781" s="350" t="str">
        <f t="shared" ref="K781:K782" si="16">C781</f>
        <v>６　臨床検査の精度管理と品質保証</v>
      </c>
      <c r="L781" s="351"/>
      <c r="M781" s="351"/>
      <c r="N781" s="352"/>
      <c r="P781" s="415" t="str">
        <f>IF((COUNTIF(E781, "*臨床検査の精度管理と品質保証*"))=1,"〇","X")</f>
        <v>X</v>
      </c>
      <c r="Q781" s="415" t="str">
        <f>IF((COUNTIF(F781, "*臨床検査の精度管理と品質保証*"))=1,"〇","X")</f>
        <v>X</v>
      </c>
    </row>
    <row r="782" spans="2:17" x14ac:dyDescent="0.15">
      <c r="B782" s="356"/>
      <c r="C782" s="348" t="s">
        <v>1072</v>
      </c>
      <c r="D782" s="355" t="s">
        <v>31</v>
      </c>
      <c r="E782" s="433"/>
      <c r="F782" s="433"/>
      <c r="G782" s="439"/>
      <c r="J782" s="344" t="str">
        <f t="shared" si="15"/>
        <v>×</v>
      </c>
      <c r="K782" s="350" t="str">
        <f t="shared" si="16"/>
        <v>（１）精度管理</v>
      </c>
      <c r="L782" s="351"/>
      <c r="M782" s="351"/>
      <c r="N782" s="352"/>
      <c r="P782" s="415" t="str">
        <f>IF((COUNTIF(E782, "*精度管理*"))=1,"〇","X")</f>
        <v>X</v>
      </c>
      <c r="Q782" s="415" t="str">
        <f>IF((COUNTIF(F782, "*精度管理*"))=1,"〇","X")</f>
        <v>X</v>
      </c>
    </row>
    <row r="783" spans="2:17" x14ac:dyDescent="0.15">
      <c r="B783" s="356"/>
      <c r="C783" s="348" t="s">
        <v>635</v>
      </c>
      <c r="D783" s="355"/>
      <c r="E783" s="433"/>
      <c r="F783" s="433"/>
      <c r="G783" s="439"/>
      <c r="J783" s="344" t="str">
        <f t="shared" si="15"/>
        <v/>
      </c>
      <c r="P783" s="415"/>
      <c r="Q783" s="415"/>
    </row>
    <row r="784" spans="2:17" x14ac:dyDescent="0.15">
      <c r="B784" s="356"/>
      <c r="C784" s="348" t="s">
        <v>636</v>
      </c>
      <c r="D784" s="355"/>
      <c r="E784" s="433"/>
      <c r="F784" s="433"/>
      <c r="G784" s="439"/>
      <c r="J784" s="344" t="str">
        <f t="shared" si="15"/>
        <v/>
      </c>
      <c r="P784" s="415"/>
      <c r="Q784" s="415"/>
    </row>
    <row r="785" spans="2:17" x14ac:dyDescent="0.15">
      <c r="B785" s="356"/>
      <c r="C785" s="348" t="s">
        <v>637</v>
      </c>
      <c r="D785" s="355"/>
      <c r="E785" s="433"/>
      <c r="F785" s="433"/>
      <c r="G785" s="439"/>
      <c r="J785" s="344" t="str">
        <f t="shared" si="15"/>
        <v/>
      </c>
      <c r="P785" s="415"/>
      <c r="Q785" s="415"/>
    </row>
    <row r="786" spans="2:17" x14ac:dyDescent="0.15">
      <c r="B786" s="356"/>
      <c r="C786" s="348" t="s">
        <v>638</v>
      </c>
      <c r="D786" s="355"/>
      <c r="E786" s="433"/>
      <c r="F786" s="433"/>
      <c r="G786" s="439"/>
      <c r="J786" s="344" t="str">
        <f t="shared" si="15"/>
        <v/>
      </c>
      <c r="P786" s="415"/>
      <c r="Q786" s="415"/>
    </row>
    <row r="787" spans="2:17" x14ac:dyDescent="0.15">
      <c r="B787" s="356"/>
      <c r="C787" s="348" t="s">
        <v>1073</v>
      </c>
      <c r="D787" s="355" t="s">
        <v>31</v>
      </c>
      <c r="E787" s="433"/>
      <c r="F787" s="433"/>
      <c r="G787" s="439"/>
      <c r="J787" s="344" t="str">
        <f t="shared" si="15"/>
        <v>×</v>
      </c>
      <c r="K787" s="350" t="str">
        <f t="shared" ref="K787" si="17">C787</f>
        <v>（６）品質保証</v>
      </c>
      <c r="L787" s="351"/>
      <c r="M787" s="351"/>
      <c r="N787" s="352"/>
      <c r="P787" s="415" t="str">
        <f>IF((COUNTIF(E787, "*品質保証*"))=1,"〇","X")</f>
        <v>X</v>
      </c>
      <c r="Q787" s="415" t="str">
        <f>IF((COUNTIF(F787, "*品質保証*"))=1,"〇","X")</f>
        <v>X</v>
      </c>
    </row>
    <row r="788" spans="2:17" x14ac:dyDescent="0.15">
      <c r="B788" s="356"/>
      <c r="C788" s="348" t="s">
        <v>1074</v>
      </c>
      <c r="D788" s="355" t="s">
        <v>31</v>
      </c>
      <c r="E788" s="433"/>
      <c r="F788" s="433"/>
      <c r="G788" s="439"/>
      <c r="J788" s="344" t="str">
        <f t="shared" si="15"/>
        <v>×</v>
      </c>
      <c r="K788" s="350" t="str">
        <f t="shared" ref="K788:K795" si="18">C788</f>
        <v>７　予防医学と衛生検査所</v>
      </c>
      <c r="L788" s="351"/>
      <c r="M788" s="351"/>
      <c r="N788" s="352"/>
      <c r="P788" s="415" t="str">
        <f>IF((COUNTIF(E788, "*予防医学と衛生検査所*"))=1,"〇","X")</f>
        <v>X</v>
      </c>
      <c r="Q788" s="415" t="str">
        <f>IF((COUNTIF(F788, "*予防医学と衛生検査所*"))=1,"〇","X")</f>
        <v>X</v>
      </c>
    </row>
    <row r="789" spans="2:17" x14ac:dyDescent="0.15">
      <c r="B789" s="356"/>
      <c r="C789" s="348" t="s">
        <v>1075</v>
      </c>
      <c r="D789" s="355" t="s">
        <v>31</v>
      </c>
      <c r="E789" s="433"/>
      <c r="F789" s="433"/>
      <c r="G789" s="439"/>
      <c r="J789" s="344" t="str">
        <f t="shared" si="15"/>
        <v>×</v>
      </c>
      <c r="K789" s="350" t="str">
        <f t="shared" si="18"/>
        <v>（１）予防医学と健康診断</v>
      </c>
      <c r="L789" s="351"/>
      <c r="M789" s="351"/>
      <c r="N789" s="352"/>
      <c r="P789" s="415" t="str">
        <f>IF((COUNTIF(E789, "*予防医学と健康診断*"))=1,"〇","X")</f>
        <v>X</v>
      </c>
      <c r="Q789" s="415" t="str">
        <f>IF((COUNTIF(F789, "*予防医学と健康診断*"))=1,"〇","X")</f>
        <v>X</v>
      </c>
    </row>
    <row r="790" spans="2:17" ht="27" x14ac:dyDescent="0.15">
      <c r="B790" s="356"/>
      <c r="C790" s="348" t="s">
        <v>925</v>
      </c>
      <c r="D790" s="355" t="s">
        <v>31</v>
      </c>
      <c r="E790" s="433"/>
      <c r="F790" s="433"/>
      <c r="G790" s="439"/>
      <c r="J790" s="344" t="str">
        <f t="shared" si="15"/>
        <v>×</v>
      </c>
      <c r="K790" s="350" t="str">
        <f t="shared" si="18"/>
        <v>（２）衛生検査所(検診センター)の
　　役割と業務</v>
      </c>
      <c r="L790" s="351"/>
      <c r="M790" s="351"/>
      <c r="N790" s="352"/>
      <c r="P790" s="415" t="str">
        <f>IF((COUNTIF(E790, "*衛生検査所(検診センター)の役割と業務*"))=1,"〇","X")</f>
        <v>X</v>
      </c>
      <c r="Q790" s="415" t="str">
        <f>IF((COUNTIF(F790, "*衛生検査所(検診センター)の役割と業務*"))=1,"〇","X")</f>
        <v>X</v>
      </c>
    </row>
    <row r="791" spans="2:17" x14ac:dyDescent="0.15">
      <c r="B791" s="356"/>
      <c r="C791" s="348" t="s">
        <v>1076</v>
      </c>
      <c r="D791" s="355" t="s">
        <v>31</v>
      </c>
      <c r="E791" s="433"/>
      <c r="F791" s="433"/>
      <c r="G791" s="439"/>
      <c r="J791" s="344" t="str">
        <f t="shared" si="15"/>
        <v>×</v>
      </c>
      <c r="K791" s="350" t="str">
        <f t="shared" si="18"/>
        <v>８　信頼性評価と認証制度</v>
      </c>
      <c r="L791" s="351"/>
      <c r="M791" s="351"/>
      <c r="N791" s="352"/>
      <c r="P791" s="415" t="str">
        <f>IF((COUNTIF(E791, "*信頼性評価と認証制度*"))=1,"〇","X")</f>
        <v>X</v>
      </c>
      <c r="Q791" s="415" t="str">
        <f>IF((COUNTIF(F791, "*信頼性評価と認証制度*"))=1,"〇","X")</f>
        <v>X</v>
      </c>
    </row>
    <row r="792" spans="2:17" x14ac:dyDescent="0.15">
      <c r="B792" s="356"/>
      <c r="C792" s="348" t="s">
        <v>1077</v>
      </c>
      <c r="D792" s="355"/>
      <c r="E792" s="433"/>
      <c r="F792" s="433"/>
      <c r="G792" s="439"/>
      <c r="J792" s="344" t="str">
        <f t="shared" si="15"/>
        <v/>
      </c>
      <c r="K792" s="350" t="str">
        <f t="shared" si="18"/>
        <v>（１）技術評価</v>
      </c>
      <c r="L792" s="351"/>
      <c r="M792" s="351"/>
      <c r="N792" s="352"/>
      <c r="P792" s="415"/>
      <c r="Q792" s="415"/>
    </row>
    <row r="793" spans="2:17" x14ac:dyDescent="0.15">
      <c r="B793" s="356"/>
      <c r="C793" s="348" t="s">
        <v>1078</v>
      </c>
      <c r="D793" s="355"/>
      <c r="E793" s="433"/>
      <c r="F793" s="433"/>
      <c r="G793" s="439"/>
      <c r="J793" s="344" t="str">
        <f t="shared" si="15"/>
        <v/>
      </c>
      <c r="K793" s="350" t="str">
        <f t="shared" si="18"/>
        <v>（２）検査結果の評価</v>
      </c>
      <c r="L793" s="351"/>
      <c r="M793" s="351"/>
      <c r="N793" s="352"/>
      <c r="P793" s="415"/>
      <c r="Q793" s="415"/>
    </row>
    <row r="794" spans="2:17" x14ac:dyDescent="0.15">
      <c r="B794" s="356"/>
      <c r="C794" s="348" t="s">
        <v>1079</v>
      </c>
      <c r="D794" s="355" t="s">
        <v>31</v>
      </c>
      <c r="E794" s="433"/>
      <c r="F794" s="433"/>
      <c r="G794" s="439"/>
      <c r="J794" s="344" t="str">
        <f t="shared" si="15"/>
        <v>×</v>
      </c>
      <c r="K794" s="350" t="str">
        <f t="shared" si="18"/>
        <v>（３）外部評価と認証制度</v>
      </c>
      <c r="L794" s="351"/>
      <c r="M794" s="351"/>
      <c r="N794" s="352"/>
      <c r="P794" s="415" t="str">
        <f>IF((COUNTIF(E794, "*外部評価と認証制度*"))=1,"〇","X")</f>
        <v>X</v>
      </c>
      <c r="Q794" s="415" t="str">
        <f>IF((COUNTIF(F794, "*外部評価と認証制度*"))=1,"〇","X")</f>
        <v>X</v>
      </c>
    </row>
    <row r="795" spans="2:17" ht="14.25" thickBot="1" x14ac:dyDescent="0.2">
      <c r="B795" s="359"/>
      <c r="C795" s="360" t="s">
        <v>1080</v>
      </c>
      <c r="D795" s="367" t="s">
        <v>31</v>
      </c>
      <c r="E795" s="436"/>
      <c r="F795" s="436"/>
      <c r="G795" s="441"/>
      <c r="J795" s="344" t="str">
        <f t="shared" si="15"/>
        <v>×</v>
      </c>
      <c r="K795" s="350" t="str">
        <f t="shared" si="18"/>
        <v>９　臨地実習＊</v>
      </c>
      <c r="L795" s="351"/>
      <c r="M795" s="351"/>
      <c r="N795" s="352"/>
      <c r="P795" s="415" t="str">
        <f>IF((COUNTIF(E795, "*臨地実習*"))=1,"〇","X")</f>
        <v>X</v>
      </c>
      <c r="Q795" s="415" t="str">
        <f>IF((COUNTIF(F795, "*臨地実習*"))=1,"〇","X")</f>
        <v>X</v>
      </c>
    </row>
    <row r="796" spans="2:17" ht="14.25" thickBot="1" x14ac:dyDescent="0.2">
      <c r="E796" s="437"/>
      <c r="F796" s="437"/>
      <c r="G796" s="427"/>
      <c r="J796" s="344" t="str">
        <f t="shared" si="15"/>
        <v/>
      </c>
      <c r="P796" s="415"/>
      <c r="Q796" s="415"/>
    </row>
    <row r="797" spans="2:17" ht="27" x14ac:dyDescent="0.15">
      <c r="B797" s="369" t="s">
        <v>639</v>
      </c>
      <c r="C797" s="365" t="s">
        <v>926</v>
      </c>
      <c r="D797" s="366" t="s">
        <v>31</v>
      </c>
      <c r="E797" s="431"/>
      <c r="F797" s="431"/>
      <c r="G797" s="443"/>
      <c r="J797" s="344" t="str">
        <f>IF(AND(OR(D797="◎",D797="◎※１"),OR(E797="",F797="",G797="")),"×","")</f>
        <v>×</v>
      </c>
      <c r="K797" s="350" t="str">
        <f t="shared" ref="K797" si="19">C797</f>
        <v>１　医療倫理・医療安全と患者急変時
　　の対応</v>
      </c>
      <c r="L797" s="351"/>
      <c r="M797" s="351"/>
      <c r="N797" s="352"/>
      <c r="P797" s="415" t="str">
        <f>IF((COUNTIF(E797, "*医療倫理・医療安全と患者急変時の対応*"))=1,"〇","X")</f>
        <v>X</v>
      </c>
      <c r="Q797" s="415" t="str">
        <f>IF((COUNTIF(F797, "*医療倫理・医療安全と患者急変時の対応*"))=1,"〇","X")</f>
        <v>X</v>
      </c>
    </row>
    <row r="798" spans="2:17" x14ac:dyDescent="0.15">
      <c r="B798" s="341"/>
      <c r="C798" s="348" t="s">
        <v>1081</v>
      </c>
      <c r="D798" s="349" t="s">
        <v>31</v>
      </c>
      <c r="E798" s="433"/>
      <c r="F798" s="433"/>
      <c r="G798" s="439"/>
      <c r="J798" s="344" t="str">
        <f t="shared" si="15"/>
        <v>×</v>
      </c>
      <c r="K798" s="350" t="str">
        <f t="shared" ref="K798:K802" si="20">C798</f>
        <v>（１）医療倫理</v>
      </c>
      <c r="L798" s="351"/>
      <c r="M798" s="351"/>
      <c r="N798" s="352"/>
      <c r="P798" s="415" t="str">
        <f>IF((COUNTIF(E798, "*医療倫理*"))=1,"〇","X")</f>
        <v>X</v>
      </c>
      <c r="Q798" s="415" t="str">
        <f>IF((COUNTIF(F798, "*医療倫理*"))=1,"〇","X")</f>
        <v>X</v>
      </c>
    </row>
    <row r="799" spans="2:17" x14ac:dyDescent="0.15">
      <c r="B799" s="341" t="s">
        <v>496</v>
      </c>
      <c r="C799" s="348" t="s">
        <v>1082</v>
      </c>
      <c r="D799" s="349" t="s">
        <v>31</v>
      </c>
      <c r="E799" s="433"/>
      <c r="F799" s="433"/>
      <c r="G799" s="439"/>
      <c r="J799" s="344" t="str">
        <f t="shared" si="15"/>
        <v>×</v>
      </c>
      <c r="K799" s="350" t="str">
        <f t="shared" si="20"/>
        <v>（２）医療安全</v>
      </c>
      <c r="L799" s="351"/>
      <c r="M799" s="351"/>
      <c r="N799" s="352"/>
      <c r="P799" s="415" t="str">
        <f>IF((COUNTIF(E799, "*医療安全*"))=1,"〇","X")</f>
        <v>X</v>
      </c>
      <c r="Q799" s="415" t="str">
        <f>IF((COUNTIF(F799, "*医療安全*"))=1,"〇","X")</f>
        <v>X</v>
      </c>
    </row>
    <row r="800" spans="2:17" x14ac:dyDescent="0.15">
      <c r="B800" s="353"/>
      <c r="C800" s="348" t="s">
        <v>1083</v>
      </c>
      <c r="D800" s="349" t="s">
        <v>31</v>
      </c>
      <c r="E800" s="433"/>
      <c r="F800" s="433"/>
      <c r="G800" s="439"/>
      <c r="J800" s="344" t="str">
        <f t="shared" si="15"/>
        <v>×</v>
      </c>
      <c r="K800" s="350" t="str">
        <f t="shared" si="20"/>
        <v>（３）感染管理</v>
      </c>
      <c r="L800" s="351"/>
      <c r="M800" s="351"/>
      <c r="N800" s="352"/>
      <c r="P800" s="415" t="str">
        <f>IF((COUNTIF(E800, "*感染管理*"))=1,"〇","X")</f>
        <v>X</v>
      </c>
      <c r="Q800" s="415" t="str">
        <f>IF((COUNTIF(F800, "*感染管理*"))=1,"〇","X")</f>
        <v>X</v>
      </c>
    </row>
    <row r="801" spans="2:17" x14ac:dyDescent="0.15">
      <c r="B801" s="574" t="s">
        <v>241</v>
      </c>
      <c r="C801" s="348" t="s">
        <v>1084</v>
      </c>
      <c r="D801" s="349" t="s">
        <v>31</v>
      </c>
      <c r="E801" s="433"/>
      <c r="F801" s="433"/>
      <c r="G801" s="439"/>
      <c r="J801" s="344" t="str">
        <f t="shared" si="15"/>
        <v>×</v>
      </c>
      <c r="K801" s="350" t="str">
        <f t="shared" si="20"/>
        <v>（４）合併症と医療事故</v>
      </c>
      <c r="L801" s="351"/>
      <c r="M801" s="351"/>
      <c r="N801" s="352"/>
      <c r="P801" s="415" t="str">
        <f>IF((COUNTIF(E801, "*合併症と医療事故*"))=1,"〇","X")</f>
        <v>X</v>
      </c>
      <c r="Q801" s="415" t="str">
        <f>IF((COUNTIF(F801, "*合併症と医療事故*"))=1,"〇","X")</f>
        <v>X</v>
      </c>
    </row>
    <row r="802" spans="2:17" x14ac:dyDescent="0.15">
      <c r="B802" s="574"/>
      <c r="C802" s="348" t="s">
        <v>1085</v>
      </c>
      <c r="D802" s="349" t="s">
        <v>31</v>
      </c>
      <c r="E802" s="433"/>
      <c r="F802" s="433"/>
      <c r="G802" s="439"/>
      <c r="J802" s="344" t="str">
        <f t="shared" si="15"/>
        <v>×</v>
      </c>
      <c r="K802" s="350" t="str">
        <f t="shared" si="20"/>
        <v>（５）患者急変時の対応</v>
      </c>
      <c r="L802" s="351"/>
      <c r="M802" s="351"/>
      <c r="N802" s="352"/>
      <c r="P802" s="415" t="str">
        <f>IF((COUNTIF(E802, "*患者急変時の対応*"))=1,"〇","X")</f>
        <v>X</v>
      </c>
      <c r="Q802" s="415" t="str">
        <f>IF((COUNTIF(F802, "*患者急変時の対応*"))=1,"〇","X")</f>
        <v>X</v>
      </c>
    </row>
    <row r="803" spans="2:17" x14ac:dyDescent="0.15">
      <c r="B803" s="574"/>
      <c r="C803" s="348" t="s">
        <v>640</v>
      </c>
      <c r="D803" s="349"/>
      <c r="E803" s="433"/>
      <c r="F803" s="433"/>
      <c r="G803" s="439"/>
      <c r="J803" s="344" t="str">
        <f t="shared" si="15"/>
        <v/>
      </c>
      <c r="P803" s="415"/>
      <c r="Q803" s="415"/>
    </row>
    <row r="804" spans="2:17" x14ac:dyDescent="0.15">
      <c r="B804" s="574"/>
      <c r="C804" s="348" t="s">
        <v>1086</v>
      </c>
      <c r="D804" s="349" t="s">
        <v>31</v>
      </c>
      <c r="E804" s="433"/>
      <c r="F804" s="433"/>
      <c r="G804" s="439"/>
      <c r="J804" s="344" t="str">
        <f t="shared" si="15"/>
        <v>×</v>
      </c>
      <c r="K804" s="350" t="str">
        <f t="shared" ref="K804" si="21">C804</f>
        <v xml:space="preserve">２　各種採血法と注意事項・安全管理 </v>
      </c>
      <c r="L804" s="351"/>
      <c r="M804" s="351"/>
      <c r="N804" s="352"/>
      <c r="P804" s="415" t="str">
        <f>IF((COUNTIF(E804, "*各種採血法と注意事項・安全管理 *"))=1,"〇","X")</f>
        <v>X</v>
      </c>
      <c r="Q804" s="415" t="str">
        <f>IF((COUNTIF(F804, "*各種採血法と注意事項・安全管理 *"))=1,"〇","X")</f>
        <v>X</v>
      </c>
    </row>
    <row r="805" spans="2:17" x14ac:dyDescent="0.15">
      <c r="B805" s="574"/>
      <c r="C805" s="348" t="s">
        <v>1087</v>
      </c>
      <c r="D805" s="349" t="s">
        <v>31</v>
      </c>
      <c r="E805" s="433"/>
      <c r="F805" s="433"/>
      <c r="G805" s="439"/>
      <c r="J805" s="344" t="str">
        <f t="shared" si="15"/>
        <v>×</v>
      </c>
      <c r="K805" s="350" t="str">
        <f t="shared" ref="K805" si="22">C805</f>
        <v>（１）採血時の安全管理</v>
      </c>
      <c r="L805" s="351"/>
      <c r="M805" s="351"/>
      <c r="N805" s="352"/>
      <c r="P805" s="415" t="str">
        <f>IF((COUNTIF(E805, "*採血時の安全管理*"))=1,"〇","X")</f>
        <v>X</v>
      </c>
      <c r="Q805" s="415" t="str">
        <f>IF((COUNTIF(F805, "*採血時の安全管理*"))=1,"〇","X")</f>
        <v>X</v>
      </c>
    </row>
    <row r="806" spans="2:17" x14ac:dyDescent="0.15">
      <c r="B806" s="574"/>
      <c r="C806" s="348" t="s">
        <v>641</v>
      </c>
      <c r="D806" s="349"/>
      <c r="E806" s="433"/>
      <c r="F806" s="433"/>
      <c r="G806" s="439"/>
      <c r="J806" s="344" t="str">
        <f t="shared" si="15"/>
        <v/>
      </c>
      <c r="P806" s="415"/>
      <c r="Q806" s="415"/>
    </row>
    <row r="807" spans="2:17" x14ac:dyDescent="0.15">
      <c r="B807" s="574"/>
      <c r="C807" s="348" t="s">
        <v>642</v>
      </c>
      <c r="D807" s="349"/>
      <c r="E807" s="433"/>
      <c r="F807" s="433"/>
      <c r="G807" s="439"/>
      <c r="J807" s="344" t="str">
        <f t="shared" si="15"/>
        <v/>
      </c>
      <c r="P807" s="415"/>
      <c r="Q807" s="415"/>
    </row>
    <row r="808" spans="2:17" x14ac:dyDescent="0.15">
      <c r="B808" s="574"/>
      <c r="C808" s="348" t="s">
        <v>1088</v>
      </c>
      <c r="D808" s="349" t="s">
        <v>31</v>
      </c>
      <c r="E808" s="433"/>
      <c r="F808" s="433"/>
      <c r="G808" s="439"/>
      <c r="J808" s="344" t="str">
        <f t="shared" si="15"/>
        <v>×</v>
      </c>
      <c r="K808" s="350" t="str">
        <f t="shared" ref="K808" si="23">C808</f>
        <v xml:space="preserve">（４）採血に際しての注意事項 </v>
      </c>
      <c r="L808" s="351"/>
      <c r="M808" s="351"/>
      <c r="N808" s="352"/>
      <c r="P808" s="415" t="str">
        <f>IF((COUNTIF(E808, "*採血に際しての注意事項 *"))=1,"〇","X")</f>
        <v>X</v>
      </c>
      <c r="Q808" s="415" t="str">
        <f>IF((COUNTIF(F808, "*採血に際しての注意事項 *"))=1,"〇","X")</f>
        <v>X</v>
      </c>
    </row>
    <row r="809" spans="2:17" x14ac:dyDescent="0.15">
      <c r="B809" s="574"/>
      <c r="C809" s="348" t="s">
        <v>643</v>
      </c>
      <c r="D809" s="349"/>
      <c r="E809" s="433"/>
      <c r="F809" s="433"/>
      <c r="G809" s="439"/>
      <c r="J809" s="344" t="str">
        <f t="shared" si="15"/>
        <v/>
      </c>
      <c r="P809" s="415"/>
      <c r="Q809" s="415"/>
    </row>
    <row r="810" spans="2:17" x14ac:dyDescent="0.15">
      <c r="B810" s="574"/>
      <c r="C810" s="348" t="s">
        <v>644</v>
      </c>
      <c r="D810" s="349"/>
      <c r="E810" s="433"/>
      <c r="F810" s="433"/>
      <c r="G810" s="439"/>
      <c r="J810" s="344" t="str">
        <f t="shared" si="15"/>
        <v/>
      </c>
      <c r="P810" s="415"/>
      <c r="Q810" s="415"/>
    </row>
    <row r="811" spans="2:17" ht="27" x14ac:dyDescent="0.15">
      <c r="B811" s="574"/>
      <c r="C811" s="348" t="s">
        <v>1134</v>
      </c>
      <c r="D811" s="349" t="s">
        <v>815</v>
      </c>
      <c r="E811" s="433"/>
      <c r="F811" s="433"/>
      <c r="G811" s="439"/>
      <c r="J811" s="344" t="str">
        <f t="shared" si="15"/>
        <v>×</v>
      </c>
      <c r="K811" s="350" t="str">
        <f t="shared" ref="K811:K818" si="24">C811</f>
        <v>（７）採血に伴う静脈路確保（電解
　　質輸液の注入を含む）</v>
      </c>
      <c r="P811" s="415" t="str">
        <f>IF((COUNTIF(E811, "*採血に伴う静脈路確保（電解質輸液の注入を含む）*"))=1,"〇","X")</f>
        <v>X</v>
      </c>
      <c r="Q811" s="415" t="str">
        <f>IF((COUNTIF(F811, "*採血に伴う静脈路確保（電解質輸液の注入を含む）*"))=1,"〇","X")</f>
        <v>X</v>
      </c>
    </row>
    <row r="812" spans="2:17" ht="27" x14ac:dyDescent="0.15">
      <c r="B812" s="574"/>
      <c r="C812" s="348" t="s">
        <v>1135</v>
      </c>
      <c r="D812" s="349" t="s">
        <v>815</v>
      </c>
      <c r="E812" s="433"/>
      <c r="F812" s="433"/>
      <c r="G812" s="439"/>
      <c r="J812" s="344" t="str">
        <f t="shared" si="15"/>
        <v>×</v>
      </c>
      <c r="K812" s="350" t="str">
        <f t="shared" si="24"/>
        <v>３　各種検査等の手技に伴う注意
　　事項・安全管理</v>
      </c>
      <c r="P812" s="415" t="str">
        <f>IF((COUNTIF(E812, "*各種検査等の手技に伴う注意事項・安全管理*"))=1,"〇","X")</f>
        <v>X</v>
      </c>
      <c r="Q812" s="415" t="str">
        <f>IF((COUNTIF(F812, "*各種検査等の手技に伴う注意事項・安全管理*"))=1,"〇","X")</f>
        <v>X</v>
      </c>
    </row>
    <row r="813" spans="2:17" ht="27" x14ac:dyDescent="0.15">
      <c r="B813" s="574"/>
      <c r="C813" s="348" t="s">
        <v>1136</v>
      </c>
      <c r="D813" s="349" t="s">
        <v>815</v>
      </c>
      <c r="E813" s="433"/>
      <c r="F813" s="433"/>
      <c r="G813" s="439"/>
      <c r="J813" s="344" t="str">
        <f t="shared" si="15"/>
        <v>×</v>
      </c>
      <c r="K813" s="350" t="str">
        <f t="shared" si="24"/>
        <v>（１）静脈路への成分採血装置の
　　接続並びに操作</v>
      </c>
      <c r="P813" s="415" t="str">
        <f>IF((COUNTIF(E813, "*静脈路への成分採血装置の接続並びに操作*"))=1,"〇","X")</f>
        <v>X</v>
      </c>
      <c r="Q813" s="415" t="str">
        <f>IF((COUNTIF(F813, "*静脈路への成分採血装置の接続並びに操作*"))=1,"〇","X")</f>
        <v>X</v>
      </c>
    </row>
    <row r="814" spans="2:17" ht="40.5" x14ac:dyDescent="0.15">
      <c r="B814" s="574"/>
      <c r="C814" s="348" t="s">
        <v>1137</v>
      </c>
      <c r="D814" s="349" t="s">
        <v>815</v>
      </c>
      <c r="E814" s="433"/>
      <c r="F814" s="433"/>
      <c r="G814" s="439"/>
      <c r="J814" s="344" t="str">
        <f t="shared" si="15"/>
        <v>×</v>
      </c>
      <c r="K814" s="350" t="str">
        <f t="shared" si="24"/>
        <v>（２）運動誘発電位検査・体性感覚
　　誘発電位検査に係る電極装着
　　（針電極含む）・脱着</v>
      </c>
      <c r="P814" s="415" t="str">
        <f>IF((COUNTIF(E814, "*運動誘発電位検査・体性感覚誘発電位検査に係る電極装着（針電極含む）・脱着*"))=1,"〇","X")</f>
        <v>X</v>
      </c>
      <c r="Q814" s="415" t="str">
        <f>IF((COUNTIF(F814, "*運動誘発電位検査・体性感覚誘発電位検査に係る電極装着（針電極含む）・脱着*"))=1,"〇","X")</f>
        <v>X</v>
      </c>
    </row>
    <row r="815" spans="2:17" ht="27" x14ac:dyDescent="0.15">
      <c r="B815" s="574"/>
      <c r="C815" s="348" t="s">
        <v>1138</v>
      </c>
      <c r="D815" s="349" t="s">
        <v>815</v>
      </c>
      <c r="E815" s="433"/>
      <c r="F815" s="433"/>
      <c r="G815" s="439"/>
      <c r="J815" s="344" t="str">
        <f t="shared" si="15"/>
        <v>×</v>
      </c>
      <c r="K815" s="350" t="str">
        <f t="shared" si="24"/>
        <v>（３）超音波検査における静脈路
　　からの造影剤注入</v>
      </c>
      <c r="P815" s="415" t="str">
        <f>IF((COUNTIF(E815, "*超音波検査における静脈路からの造影剤注入*"))=1,"〇","X")</f>
        <v>X</v>
      </c>
      <c r="Q815" s="415" t="str">
        <f>IF((COUNTIF(F815, "*超音波検査における静脈路からの造影剤注入*"))=1,"〇","X")</f>
        <v>X</v>
      </c>
    </row>
    <row r="816" spans="2:17" x14ac:dyDescent="0.15">
      <c r="B816" s="574"/>
      <c r="C816" s="348" t="s">
        <v>821</v>
      </c>
      <c r="D816" s="349" t="s">
        <v>815</v>
      </c>
      <c r="E816" s="433"/>
      <c r="F816" s="433"/>
      <c r="G816" s="439"/>
      <c r="J816" s="344" t="str">
        <f t="shared" si="15"/>
        <v>×</v>
      </c>
      <c r="K816" s="350" t="str">
        <f t="shared" si="24"/>
        <v>（４）直腸肛門機能検査</v>
      </c>
      <c r="P816" s="415" t="str">
        <f>IF((COUNTIF(E816, "*直腸肛門機能検査*"))=1,"〇","X")</f>
        <v>X</v>
      </c>
      <c r="Q816" s="415" t="str">
        <f>IF((COUNTIF(F816, "*直腸肛門機能検査*"))=1,"〇","X")</f>
        <v>X</v>
      </c>
    </row>
    <row r="817" spans="2:18" x14ac:dyDescent="0.15">
      <c r="B817" s="574"/>
      <c r="C817" s="348" t="s">
        <v>822</v>
      </c>
      <c r="D817" s="349" t="s">
        <v>815</v>
      </c>
      <c r="E817" s="433"/>
      <c r="F817" s="433"/>
      <c r="G817" s="439"/>
      <c r="J817" s="344" t="str">
        <f t="shared" si="15"/>
        <v>×</v>
      </c>
      <c r="K817" s="350" t="str">
        <f t="shared" si="24"/>
        <v>（５）持続皮下グルコース測定</v>
      </c>
      <c r="P817" s="415" t="str">
        <f>IF((COUNTIF(E817, "*持続皮下グルコース測定*"))=1,"〇","X")</f>
        <v>X</v>
      </c>
      <c r="Q817" s="415" t="str">
        <f>IF((COUNTIF(F817, "*持続皮下グルコース測定*"))=1,"〇","X")</f>
        <v>X</v>
      </c>
    </row>
    <row r="818" spans="2:18" ht="27" x14ac:dyDescent="0.15">
      <c r="B818" s="574"/>
      <c r="C818" s="348" t="s">
        <v>1133</v>
      </c>
      <c r="D818" s="349" t="s">
        <v>31</v>
      </c>
      <c r="E818" s="433"/>
      <c r="F818" s="433"/>
      <c r="G818" s="439"/>
      <c r="J818" s="344" t="str">
        <f t="shared" si="15"/>
        <v>×</v>
      </c>
      <c r="K818" s="350" t="str">
        <f t="shared" si="24"/>
        <v xml:space="preserve">４　各種検査における検体採取と
　　注意事項・安全管理 </v>
      </c>
      <c r="L818" s="351"/>
      <c r="M818" s="351"/>
      <c r="N818" s="352"/>
      <c r="P818" s="415" t="str">
        <f>IF((COUNTIF(E818, "*各種検査における検体採取と注意事項・安全管理 *"))=1,"〇","X")</f>
        <v>X</v>
      </c>
      <c r="Q818" s="415" t="str">
        <f>IF((COUNTIF(F818, "*各種検査における検体採取と注意事項・安全管理 *"))=1,"〇","X")</f>
        <v>X</v>
      </c>
    </row>
    <row r="819" spans="2:18" x14ac:dyDescent="0.15">
      <c r="B819" s="574"/>
      <c r="C819" s="348" t="s">
        <v>645</v>
      </c>
      <c r="D819" s="349"/>
      <c r="E819" s="433"/>
      <c r="F819" s="433"/>
      <c r="G819" s="439"/>
      <c r="J819" s="344" t="str">
        <f t="shared" si="15"/>
        <v/>
      </c>
      <c r="P819" s="415"/>
      <c r="Q819" s="415"/>
    </row>
    <row r="820" spans="2:18" x14ac:dyDescent="0.15">
      <c r="B820" s="574"/>
      <c r="C820" s="348" t="s">
        <v>646</v>
      </c>
      <c r="D820" s="354"/>
      <c r="E820" s="433"/>
      <c r="F820" s="433"/>
      <c r="G820" s="439"/>
      <c r="J820" s="344" t="str">
        <f t="shared" si="15"/>
        <v/>
      </c>
      <c r="P820" s="415"/>
      <c r="Q820" s="415"/>
    </row>
    <row r="821" spans="2:18" x14ac:dyDescent="0.15">
      <c r="B821" s="574"/>
      <c r="C821" s="348" t="s">
        <v>647</v>
      </c>
      <c r="D821" s="354"/>
      <c r="E821" s="433"/>
      <c r="F821" s="433"/>
      <c r="G821" s="439"/>
      <c r="J821" s="344" t="str">
        <f t="shared" si="15"/>
        <v/>
      </c>
      <c r="P821" s="415"/>
      <c r="Q821" s="415"/>
    </row>
    <row r="822" spans="2:18" x14ac:dyDescent="0.15">
      <c r="B822" s="574"/>
      <c r="C822" s="348" t="s">
        <v>648</v>
      </c>
      <c r="D822" s="354"/>
      <c r="E822" s="433"/>
      <c r="F822" s="433"/>
      <c r="G822" s="439"/>
      <c r="J822" s="344" t="str">
        <f t="shared" si="15"/>
        <v/>
      </c>
      <c r="P822" s="415"/>
      <c r="Q822" s="415"/>
    </row>
    <row r="823" spans="2:18" ht="27" x14ac:dyDescent="0.15">
      <c r="B823" s="574"/>
      <c r="C823" s="348" t="s">
        <v>1131</v>
      </c>
      <c r="D823" s="354" t="s">
        <v>815</v>
      </c>
      <c r="E823" s="433"/>
      <c r="F823" s="433"/>
      <c r="G823" s="439"/>
      <c r="J823" s="344" t="str">
        <f t="shared" si="15"/>
        <v>×</v>
      </c>
      <c r="K823" s="350" t="str">
        <f t="shared" ref="K823:K825" si="25">C823</f>
        <v>（５）喀痰吸引（気管カニューレ
　　内部からの採取も含む）</v>
      </c>
      <c r="P823" s="415" t="str">
        <f>IF((COUNTIF(E823, "*喀痰吸引（気管カニューレ内部からの採取も含む）*"))=1,"〇","X")</f>
        <v>X</v>
      </c>
      <c r="Q823" s="415" t="str">
        <f>IF((COUNTIF(F823, "*喀痰吸引（気管カニューレ内部からの採取も含む）*"))=1,"〇","X")</f>
        <v>X</v>
      </c>
    </row>
    <row r="824" spans="2:18" ht="27" x14ac:dyDescent="0.15">
      <c r="B824" s="574"/>
      <c r="C824" s="348" t="s">
        <v>1132</v>
      </c>
      <c r="D824" s="354" t="s">
        <v>815</v>
      </c>
      <c r="E824" s="433"/>
      <c r="F824" s="433"/>
      <c r="G824" s="439"/>
      <c r="J824" s="344" t="str">
        <f t="shared" si="15"/>
        <v>×</v>
      </c>
      <c r="K824" s="350" t="str">
        <f t="shared" si="25"/>
        <v>（６）消化管内視鏡検査による組織
　　検体の採取</v>
      </c>
      <c r="P824" s="415" t="str">
        <f>IF((COUNTIF(E824, "*消化管内視鏡検査による組織検体の採取*"))=1,"〇","X")</f>
        <v>X</v>
      </c>
      <c r="Q824" s="415" t="str">
        <f>IF((COUNTIF(F824, "*消化管内視鏡検査による組織検体の採取*"))=1,"〇","X")</f>
        <v>X</v>
      </c>
    </row>
    <row r="825" spans="2:18" x14ac:dyDescent="0.15">
      <c r="B825" s="574"/>
      <c r="C825" s="348" t="s">
        <v>823</v>
      </c>
      <c r="D825" s="354" t="s">
        <v>31</v>
      </c>
      <c r="E825" s="433"/>
      <c r="F825" s="433"/>
      <c r="G825" s="439"/>
      <c r="J825" s="344" t="str">
        <f t="shared" si="15"/>
        <v>×</v>
      </c>
      <c r="K825" s="350" t="str">
        <f t="shared" si="25"/>
        <v xml:space="preserve">５　学内実習 </v>
      </c>
      <c r="L825" s="351"/>
      <c r="M825" s="351"/>
      <c r="N825" s="352"/>
      <c r="P825" s="415" t="str">
        <f>IF((COUNTIF(E825, "*学内実習 *"))=1,"〇","X")</f>
        <v>X</v>
      </c>
      <c r="Q825" s="415" t="str">
        <f>IF((COUNTIF(F825, "*学内実習 *"))=1,"〇","X")</f>
        <v>X</v>
      </c>
    </row>
    <row r="826" spans="2:18" x14ac:dyDescent="0.15">
      <c r="B826" s="356"/>
      <c r="C826" s="348" t="s">
        <v>1089</v>
      </c>
      <c r="D826" s="355" t="s">
        <v>31</v>
      </c>
      <c r="E826" s="433"/>
      <c r="F826" s="433"/>
      <c r="G826" s="439"/>
      <c r="J826" s="344" t="str">
        <f t="shared" si="15"/>
        <v>×</v>
      </c>
      <c r="K826" s="350" t="str">
        <f t="shared" ref="K826:K832" si="26">C826</f>
        <v>（１）採血</v>
      </c>
      <c r="L826" s="351"/>
      <c r="M826" s="351"/>
      <c r="N826" s="352"/>
      <c r="P826" s="415" t="str">
        <f>IF((COUNTIF(E826, "*採血*"))=1,"〇","X")</f>
        <v>X</v>
      </c>
      <c r="Q826" s="415" t="str">
        <f>IF((COUNTIF(F826, "*採血*"))=1,"〇","X")</f>
        <v>X</v>
      </c>
    </row>
    <row r="827" spans="2:18" ht="27" x14ac:dyDescent="0.15">
      <c r="B827" s="356"/>
      <c r="C827" s="348" t="s">
        <v>1090</v>
      </c>
      <c r="D827" s="355" t="s">
        <v>31</v>
      </c>
      <c r="E827" s="433"/>
      <c r="F827" s="433"/>
      <c r="G827" s="439"/>
      <c r="J827" s="344" t="str">
        <f t="shared" si="15"/>
        <v>×</v>
      </c>
      <c r="K827" s="350" t="str">
        <f t="shared" si="26"/>
        <v>（２）皮膚表在組織病変部からの検体
　　採取</v>
      </c>
      <c r="L827" s="351"/>
      <c r="M827" s="351"/>
      <c r="N827" s="352"/>
      <c r="P827" s="415" t="str">
        <f>IF((COUNTIF(E827, "*膚表在組織病変部からの検体採取*"))=1,"〇","X")</f>
        <v>X</v>
      </c>
      <c r="Q827" s="415" t="str">
        <f>IF((COUNTIF(F827, "*膚表在組織病変部からの検体採取*"))=1,"〇","X")</f>
        <v>X</v>
      </c>
    </row>
    <row r="828" spans="2:18" x14ac:dyDescent="0.15">
      <c r="B828" s="356"/>
      <c r="C828" s="348" t="s">
        <v>1091</v>
      </c>
      <c r="D828" s="355" t="s">
        <v>31</v>
      </c>
      <c r="E828" s="433"/>
      <c r="F828" s="433"/>
      <c r="G828" s="439"/>
      <c r="J828" s="344" t="str">
        <f t="shared" si="15"/>
        <v>×</v>
      </c>
      <c r="K828" s="350" t="str">
        <f t="shared" si="26"/>
        <v>（３）鼻腔拭い液の採取</v>
      </c>
      <c r="L828" s="351"/>
      <c r="M828" s="351"/>
      <c r="N828" s="352"/>
      <c r="P828" s="415" t="str">
        <f>IF((COUNTIF(E828, "*鼻腔拭い液の採取*"))=1,"〇","X")</f>
        <v>X</v>
      </c>
      <c r="Q828" s="415" t="str">
        <f>IF((COUNTIF(F828, "*鼻腔拭い液の採取*"))=1,"〇","X")</f>
        <v>X</v>
      </c>
    </row>
    <row r="829" spans="2:18" x14ac:dyDescent="0.15">
      <c r="B829" s="356"/>
      <c r="C829" s="348" t="s">
        <v>1092</v>
      </c>
      <c r="D829" s="355" t="s">
        <v>31</v>
      </c>
      <c r="E829" s="433"/>
      <c r="F829" s="433"/>
      <c r="G829" s="439"/>
      <c r="J829" s="344" t="str">
        <f t="shared" si="15"/>
        <v>×</v>
      </c>
      <c r="K829" s="350" t="str">
        <f t="shared" si="26"/>
        <v>（４）咽頭拭い液の採取</v>
      </c>
      <c r="L829" s="351"/>
      <c r="M829" s="351"/>
      <c r="N829" s="352"/>
      <c r="P829" s="415" t="str">
        <f>IF((COUNTIF(E829, "*咽頭拭い液の採取*"))=1,"〇","X")</f>
        <v>X</v>
      </c>
      <c r="Q829" s="415" t="str">
        <f>IF((COUNTIF(F829, "*咽頭拭い液の採取*"))=1,"〇","X")</f>
        <v>X</v>
      </c>
    </row>
    <row r="830" spans="2:18" x14ac:dyDescent="0.15">
      <c r="B830" s="356"/>
      <c r="C830" s="348" t="s">
        <v>1093</v>
      </c>
      <c r="D830" s="355" t="s">
        <v>31</v>
      </c>
      <c r="E830" s="433"/>
      <c r="F830" s="433"/>
      <c r="G830" s="439"/>
      <c r="J830" s="344" t="str">
        <f t="shared" si="15"/>
        <v>×</v>
      </c>
      <c r="K830" s="350" t="str">
        <f t="shared" si="26"/>
        <v>（５）鼻腔吸引液の採取</v>
      </c>
      <c r="L830" s="351"/>
      <c r="M830" s="351"/>
      <c r="N830" s="352"/>
      <c r="P830" s="415" t="str">
        <f>IF((COUNTIF(E830, "*鼻腔吸引液の採取*"))=1,"〇","X")</f>
        <v>X</v>
      </c>
      <c r="Q830" s="415" t="str">
        <f t="shared" ref="Q830" si="27">IF((COUNTIF(F830, "*臨床病態学*"))=1,"〇","X")</f>
        <v>X</v>
      </c>
    </row>
    <row r="831" spans="2:18" ht="27" x14ac:dyDescent="0.15">
      <c r="B831" s="356"/>
      <c r="C831" s="449" t="s">
        <v>1130</v>
      </c>
      <c r="D831" s="372" t="s">
        <v>815</v>
      </c>
      <c r="E831" s="433"/>
      <c r="F831" s="433"/>
      <c r="G831" s="429"/>
      <c r="J831" s="344" t="str">
        <f t="shared" si="15"/>
        <v>×</v>
      </c>
      <c r="K831" s="373" t="str">
        <f t="shared" si="26"/>
        <v>（６）経口、経鼻又は気管カニュー
　　レ内部からの喀痰吸引</v>
      </c>
      <c r="L831" s="370"/>
      <c r="M831" s="370"/>
      <c r="N831" s="371"/>
      <c r="P831" s="415" t="str">
        <f t="shared" ref="P831" si="28">IF((COUNTIF(E831, "*臨床病態学*"))=1,"〇","X")</f>
        <v>X</v>
      </c>
      <c r="Q831" s="415" t="str">
        <f>IF((COUNTIF(F831, "*鼻腔吸引液の採取*"))=1,"〇","X")</f>
        <v>X</v>
      </c>
    </row>
    <row r="832" spans="2:18" ht="14.25" thickBot="1" x14ac:dyDescent="0.2">
      <c r="B832" s="359"/>
      <c r="C832" s="360" t="s">
        <v>824</v>
      </c>
      <c r="D832" s="367" t="s">
        <v>31</v>
      </c>
      <c r="E832" s="436"/>
      <c r="F832" s="436"/>
      <c r="G832" s="441"/>
      <c r="J832" s="344" t="str">
        <f t="shared" si="15"/>
        <v>×</v>
      </c>
      <c r="K832" s="350" t="str">
        <f t="shared" si="26"/>
        <v>６　臨地実習＊</v>
      </c>
      <c r="L832" s="351"/>
      <c r="M832" s="351"/>
      <c r="N832" s="352"/>
      <c r="P832" s="415" t="str">
        <f>IF((COUNTIF(E832, "*臨地実習*"))=1,"〇","X")</f>
        <v>X</v>
      </c>
      <c r="Q832" s="415" t="str">
        <f>IF((COUNTIF(F832, "*臨地実習*"))=1,"〇","X")</f>
        <v>X</v>
      </c>
      <c r="R832" s="374" t="s">
        <v>770</v>
      </c>
    </row>
    <row r="833" spans="1:18" ht="14.25" thickBot="1" x14ac:dyDescent="0.2">
      <c r="E833" s="424"/>
      <c r="F833" s="424"/>
      <c r="G833" s="427"/>
      <c r="J833" s="344" t="str">
        <f t="shared" ref="J833" si="29">IF(AND(D833="◎",OR(E833="",F833="",G833="")),"×","")</f>
        <v/>
      </c>
      <c r="P833" s="394" t="s">
        <v>771</v>
      </c>
      <c r="Q833" s="394" t="s">
        <v>772</v>
      </c>
      <c r="R833" s="374" t="s">
        <v>773</v>
      </c>
    </row>
    <row r="834" spans="1:18" ht="27" x14ac:dyDescent="0.15">
      <c r="B834" s="369" t="s">
        <v>22</v>
      </c>
      <c r="C834" s="365" t="s">
        <v>927</v>
      </c>
      <c r="D834" s="366" t="s">
        <v>195</v>
      </c>
      <c r="E834" s="581"/>
      <c r="F834" s="581"/>
      <c r="G834" s="583"/>
      <c r="J834" s="375" t="str">
        <f>IF(AND(COUNTA(E834:E887)&lt;&gt;0,COUNTA(F834:F887)&lt;&gt;0,COUNTA(G834:G887)&lt;&gt;0),"","×")</f>
        <v>×</v>
      </c>
      <c r="K834" s="350" t="s">
        <v>766</v>
      </c>
      <c r="L834" s="351"/>
      <c r="M834" s="351"/>
      <c r="N834" s="352"/>
      <c r="P834" s="375" t="str">
        <f>IF(COUNTA(E834:E887)=0,"×","")</f>
        <v>×</v>
      </c>
      <c r="Q834" s="375" t="str">
        <f>IF(COUNTA(F834:F887)=0,"×","")</f>
        <v>×</v>
      </c>
      <c r="R834" s="375" t="str">
        <f>IF(COUNTA(G834:G887)=0,"×","")</f>
        <v>×</v>
      </c>
    </row>
    <row r="835" spans="1:18" x14ac:dyDescent="0.15">
      <c r="B835" s="341"/>
      <c r="C835" s="348" t="s">
        <v>649</v>
      </c>
      <c r="D835" s="349" t="s">
        <v>707</v>
      </c>
      <c r="E835" s="579"/>
      <c r="F835" s="579"/>
      <c r="G835" s="584"/>
      <c r="J835" s="344"/>
      <c r="P835" s="416" t="s">
        <v>774</v>
      </c>
    </row>
    <row r="836" spans="1:18" x14ac:dyDescent="0.15">
      <c r="B836" s="341" t="s">
        <v>650</v>
      </c>
      <c r="C836" s="348" t="s">
        <v>651</v>
      </c>
      <c r="D836" s="349"/>
      <c r="E836" s="579"/>
      <c r="F836" s="579"/>
      <c r="G836" s="584"/>
      <c r="J836" s="344"/>
      <c r="K836" s="376" t="s">
        <v>684</v>
      </c>
    </row>
    <row r="837" spans="1:18" ht="27" x14ac:dyDescent="0.15">
      <c r="B837" s="341"/>
      <c r="C837" s="348" t="s">
        <v>931</v>
      </c>
      <c r="D837" s="349"/>
      <c r="E837" s="579"/>
      <c r="F837" s="579"/>
      <c r="G837" s="584"/>
      <c r="J837" s="344"/>
      <c r="K837" s="376" t="s">
        <v>767</v>
      </c>
    </row>
    <row r="838" spans="1:18" x14ac:dyDescent="0.15">
      <c r="A838" s="377"/>
      <c r="B838" s="575" t="s">
        <v>709</v>
      </c>
      <c r="C838" s="348" t="s">
        <v>652</v>
      </c>
      <c r="D838" s="349" t="s">
        <v>707</v>
      </c>
      <c r="E838" s="579"/>
      <c r="F838" s="579"/>
      <c r="G838" s="584"/>
      <c r="J838" s="344"/>
      <c r="K838" s="376" t="s">
        <v>768</v>
      </c>
    </row>
    <row r="839" spans="1:18" x14ac:dyDescent="0.15">
      <c r="A839" s="377"/>
      <c r="B839" s="576"/>
      <c r="C839" s="348" t="s">
        <v>653</v>
      </c>
      <c r="D839" s="349"/>
      <c r="E839" s="579"/>
      <c r="F839" s="579"/>
      <c r="G839" s="584"/>
      <c r="J839" s="344"/>
      <c r="K839" s="376" t="s">
        <v>769</v>
      </c>
    </row>
    <row r="840" spans="1:18" ht="27" x14ac:dyDescent="0.15">
      <c r="A840" s="377"/>
      <c r="B840" s="576"/>
      <c r="C840" s="348" t="s">
        <v>928</v>
      </c>
      <c r="D840" s="349"/>
      <c r="E840" s="579"/>
      <c r="F840" s="579"/>
      <c r="G840" s="584"/>
      <c r="J840" s="344"/>
    </row>
    <row r="841" spans="1:18" x14ac:dyDescent="0.15">
      <c r="A841" s="377"/>
      <c r="B841" s="576"/>
      <c r="C841" s="348" t="s">
        <v>654</v>
      </c>
      <c r="D841" s="349"/>
      <c r="E841" s="579"/>
      <c r="F841" s="579"/>
      <c r="G841" s="584"/>
      <c r="J841" s="344"/>
      <c r="K841" s="378"/>
    </row>
    <row r="842" spans="1:18" x14ac:dyDescent="0.15">
      <c r="A842" s="377"/>
      <c r="B842" s="576"/>
      <c r="C842" s="348" t="s">
        <v>655</v>
      </c>
      <c r="D842" s="349"/>
      <c r="E842" s="579"/>
      <c r="F842" s="579"/>
      <c r="G842" s="584"/>
      <c r="J842" s="344"/>
      <c r="K842" s="376"/>
    </row>
    <row r="843" spans="1:18" x14ac:dyDescent="0.15">
      <c r="A843" s="377"/>
      <c r="B843" s="576"/>
      <c r="C843" s="348" t="s">
        <v>656</v>
      </c>
      <c r="D843" s="349"/>
      <c r="E843" s="579"/>
      <c r="F843" s="579"/>
      <c r="G843" s="584"/>
      <c r="J843" s="344"/>
      <c r="K843" s="379"/>
    </row>
    <row r="844" spans="1:18" x14ac:dyDescent="0.15">
      <c r="A844" s="377"/>
      <c r="B844" s="576"/>
      <c r="C844" s="348" t="s">
        <v>657</v>
      </c>
      <c r="D844" s="349" t="s">
        <v>707</v>
      </c>
      <c r="E844" s="579"/>
      <c r="F844" s="579"/>
      <c r="G844" s="584"/>
      <c r="J844" s="344"/>
    </row>
    <row r="845" spans="1:18" ht="27" x14ac:dyDescent="0.15">
      <c r="A845" s="377"/>
      <c r="B845" s="576"/>
      <c r="C845" s="348" t="s">
        <v>1124</v>
      </c>
      <c r="D845" s="349"/>
      <c r="E845" s="579"/>
      <c r="F845" s="579"/>
      <c r="G845" s="584"/>
      <c r="J845" s="344"/>
    </row>
    <row r="846" spans="1:18" x14ac:dyDescent="0.15">
      <c r="A846" s="377"/>
      <c r="B846" s="576"/>
      <c r="C846" s="348" t="s">
        <v>658</v>
      </c>
      <c r="D846" s="349"/>
      <c r="E846" s="579"/>
      <c r="F846" s="579"/>
      <c r="G846" s="584"/>
      <c r="J846" s="344"/>
    </row>
    <row r="847" spans="1:18" x14ac:dyDescent="0.15">
      <c r="A847" s="377"/>
      <c r="B847" s="576"/>
      <c r="C847" s="348" t="s">
        <v>659</v>
      </c>
      <c r="D847" s="349" t="s">
        <v>707</v>
      </c>
      <c r="E847" s="579"/>
      <c r="F847" s="579"/>
      <c r="G847" s="584"/>
      <c r="J847" s="344"/>
    </row>
    <row r="848" spans="1:18" x14ac:dyDescent="0.15">
      <c r="A848" s="377"/>
      <c r="B848" s="576"/>
      <c r="C848" s="348" t="s">
        <v>660</v>
      </c>
      <c r="D848" s="349"/>
      <c r="E848" s="579"/>
      <c r="F848" s="579"/>
      <c r="G848" s="584"/>
      <c r="J848" s="344"/>
    </row>
    <row r="849" spans="1:10" x14ac:dyDescent="0.15">
      <c r="A849" s="377"/>
      <c r="B849" s="576"/>
      <c r="C849" s="348"/>
      <c r="D849" s="354"/>
      <c r="E849" s="582"/>
      <c r="F849" s="582"/>
      <c r="G849" s="585"/>
      <c r="J849" s="344"/>
    </row>
    <row r="850" spans="1:10" ht="27" x14ac:dyDescent="0.15">
      <c r="A850" s="377"/>
      <c r="B850" s="576"/>
      <c r="C850" s="342" t="s">
        <v>929</v>
      </c>
      <c r="D850" s="447"/>
      <c r="E850" s="578"/>
      <c r="F850" s="578"/>
      <c r="G850" s="586"/>
      <c r="J850" s="344"/>
    </row>
    <row r="851" spans="1:10" x14ac:dyDescent="0.15">
      <c r="A851" s="377"/>
      <c r="B851" s="576"/>
      <c r="C851" s="348" t="s">
        <v>649</v>
      </c>
      <c r="D851" s="349" t="s">
        <v>31</v>
      </c>
      <c r="E851" s="579"/>
      <c r="F851" s="579"/>
      <c r="G851" s="584"/>
      <c r="J851" s="344"/>
    </row>
    <row r="852" spans="1:10" x14ac:dyDescent="0.15">
      <c r="A852" s="377"/>
      <c r="B852" s="576"/>
      <c r="C852" s="348" t="s">
        <v>651</v>
      </c>
      <c r="D852" s="349" t="s">
        <v>31</v>
      </c>
      <c r="E852" s="579"/>
      <c r="F852" s="579"/>
      <c r="G852" s="584"/>
      <c r="J852" s="344"/>
    </row>
    <row r="853" spans="1:10" ht="27" x14ac:dyDescent="0.15">
      <c r="A853" s="377"/>
      <c r="B853" s="576"/>
      <c r="C853" s="348" t="s">
        <v>930</v>
      </c>
      <c r="D853" s="349" t="s">
        <v>31</v>
      </c>
      <c r="E853" s="579"/>
      <c r="F853" s="579"/>
      <c r="G853" s="584"/>
      <c r="J853" s="344"/>
    </row>
    <row r="854" spans="1:10" x14ac:dyDescent="0.15">
      <c r="A854" s="377"/>
      <c r="B854" s="576"/>
      <c r="C854" s="348" t="s">
        <v>661</v>
      </c>
      <c r="D854" s="349" t="s">
        <v>31</v>
      </c>
      <c r="E854" s="579"/>
      <c r="F854" s="579"/>
      <c r="G854" s="584"/>
      <c r="J854" s="344"/>
    </row>
    <row r="855" spans="1:10" ht="27" x14ac:dyDescent="0.15">
      <c r="A855" s="377"/>
      <c r="B855" s="576"/>
      <c r="C855" s="348" t="s">
        <v>932</v>
      </c>
      <c r="D855" s="349" t="s">
        <v>31</v>
      </c>
      <c r="E855" s="579"/>
      <c r="F855" s="579"/>
      <c r="G855" s="584"/>
      <c r="J855" s="344"/>
    </row>
    <row r="856" spans="1:10" ht="27" x14ac:dyDescent="0.15">
      <c r="A856" s="377"/>
      <c r="B856" s="576"/>
      <c r="C856" s="348" t="s">
        <v>933</v>
      </c>
      <c r="D856" s="349" t="s">
        <v>31</v>
      </c>
      <c r="E856" s="579"/>
      <c r="F856" s="579"/>
      <c r="G856" s="584"/>
      <c r="J856" s="344"/>
    </row>
    <row r="857" spans="1:10" x14ac:dyDescent="0.15">
      <c r="A857" s="377"/>
      <c r="B857" s="576"/>
      <c r="C857" s="348" t="s">
        <v>662</v>
      </c>
      <c r="D857" s="349" t="s">
        <v>31</v>
      </c>
      <c r="E857" s="579"/>
      <c r="F857" s="579"/>
      <c r="G857" s="584"/>
      <c r="J857" s="344"/>
    </row>
    <row r="858" spans="1:10" ht="27" x14ac:dyDescent="0.15">
      <c r="A858" s="377"/>
      <c r="B858" s="576"/>
      <c r="C858" s="348" t="s">
        <v>934</v>
      </c>
      <c r="D858" s="349" t="s">
        <v>31</v>
      </c>
      <c r="E858" s="579"/>
      <c r="F858" s="579"/>
      <c r="G858" s="584"/>
      <c r="J858" s="344"/>
    </row>
    <row r="859" spans="1:10" ht="27" x14ac:dyDescent="0.15">
      <c r="A859" s="377"/>
      <c r="B859" s="576"/>
      <c r="C859" s="348" t="s">
        <v>1125</v>
      </c>
      <c r="D859" s="349" t="s">
        <v>31</v>
      </c>
      <c r="E859" s="579"/>
      <c r="F859" s="579"/>
      <c r="G859" s="584"/>
      <c r="J859" s="344"/>
    </row>
    <row r="860" spans="1:10" x14ac:dyDescent="0.15">
      <c r="A860" s="377"/>
      <c r="B860" s="576"/>
      <c r="C860" s="348" t="s">
        <v>825</v>
      </c>
      <c r="D860" s="349" t="s">
        <v>815</v>
      </c>
      <c r="E860" s="579"/>
      <c r="F860" s="579"/>
      <c r="G860" s="584"/>
      <c r="J860" s="344"/>
    </row>
    <row r="861" spans="1:10" x14ac:dyDescent="0.15">
      <c r="A861" s="377"/>
      <c r="B861" s="576"/>
      <c r="C861" s="383" t="s">
        <v>833</v>
      </c>
      <c r="D861" s="349"/>
      <c r="E861" s="579"/>
      <c r="F861" s="579"/>
      <c r="G861" s="584"/>
      <c r="J861" s="344"/>
    </row>
    <row r="862" spans="1:10" x14ac:dyDescent="0.15">
      <c r="A862" s="377"/>
      <c r="B862" s="576"/>
      <c r="C862" s="383" t="s">
        <v>834</v>
      </c>
      <c r="D862" s="349"/>
      <c r="E862" s="579"/>
      <c r="F862" s="579"/>
      <c r="G862" s="584"/>
      <c r="J862" s="344"/>
    </row>
    <row r="863" spans="1:10" x14ac:dyDescent="0.15">
      <c r="A863" s="377"/>
      <c r="B863" s="576"/>
      <c r="C863" s="348" t="s">
        <v>663</v>
      </c>
      <c r="D863" s="349" t="s">
        <v>31</v>
      </c>
      <c r="E863" s="579"/>
      <c r="F863" s="579"/>
      <c r="G863" s="584"/>
      <c r="J863" s="344"/>
    </row>
    <row r="864" spans="1:10" x14ac:dyDescent="0.15">
      <c r="A864" s="377"/>
      <c r="B864" s="576"/>
      <c r="C864" s="348" t="s">
        <v>664</v>
      </c>
      <c r="D864" s="349" t="s">
        <v>31</v>
      </c>
      <c r="E864" s="579"/>
      <c r="F864" s="579"/>
      <c r="G864" s="584"/>
      <c r="J864" s="344"/>
    </row>
    <row r="865" spans="1:10" x14ac:dyDescent="0.15">
      <c r="A865" s="377"/>
      <c r="B865" s="576"/>
      <c r="C865" s="348" t="s">
        <v>665</v>
      </c>
      <c r="D865" s="349" t="s">
        <v>31</v>
      </c>
      <c r="E865" s="579"/>
      <c r="F865" s="579"/>
      <c r="G865" s="584"/>
      <c r="J865" s="344"/>
    </row>
    <row r="866" spans="1:10" x14ac:dyDescent="0.15">
      <c r="A866" s="377"/>
      <c r="B866" s="576"/>
      <c r="C866" s="348" t="s">
        <v>666</v>
      </c>
      <c r="D866" s="354"/>
      <c r="E866" s="579"/>
      <c r="F866" s="579"/>
      <c r="G866" s="584"/>
      <c r="J866" s="344"/>
    </row>
    <row r="867" spans="1:10" x14ac:dyDescent="0.15">
      <c r="A867" s="377"/>
      <c r="B867" s="576"/>
      <c r="C867" s="348" t="s">
        <v>667</v>
      </c>
      <c r="D867" s="349" t="s">
        <v>31</v>
      </c>
      <c r="E867" s="579"/>
      <c r="F867" s="579"/>
      <c r="G867" s="584"/>
      <c r="J867" s="344"/>
    </row>
    <row r="868" spans="1:10" x14ac:dyDescent="0.15">
      <c r="A868" s="377"/>
      <c r="B868" s="576"/>
      <c r="C868" s="348" t="s">
        <v>668</v>
      </c>
      <c r="D868" s="355"/>
      <c r="E868" s="579"/>
      <c r="F868" s="579"/>
      <c r="G868" s="584"/>
      <c r="J868" s="344"/>
    </row>
    <row r="869" spans="1:10" x14ac:dyDescent="0.15">
      <c r="A869" s="377"/>
      <c r="B869" s="576"/>
      <c r="C869" s="348" t="s">
        <v>669</v>
      </c>
      <c r="D869" s="349" t="s">
        <v>31</v>
      </c>
      <c r="E869" s="579"/>
      <c r="F869" s="579"/>
      <c r="G869" s="584"/>
      <c r="J869" s="344"/>
    </row>
    <row r="870" spans="1:10" x14ac:dyDescent="0.15">
      <c r="A870" s="377"/>
      <c r="B870" s="576"/>
      <c r="C870" s="348" t="s">
        <v>670</v>
      </c>
      <c r="D870" s="354"/>
      <c r="E870" s="579"/>
      <c r="F870" s="579"/>
      <c r="G870" s="584"/>
      <c r="J870" s="344"/>
    </row>
    <row r="871" spans="1:10" x14ac:dyDescent="0.15">
      <c r="A871" s="377"/>
      <c r="B871" s="576"/>
      <c r="C871" s="348" t="s">
        <v>671</v>
      </c>
      <c r="D871" s="354"/>
      <c r="E871" s="579"/>
      <c r="F871" s="579"/>
      <c r="G871" s="584"/>
      <c r="J871" s="344"/>
    </row>
    <row r="872" spans="1:10" x14ac:dyDescent="0.15">
      <c r="A872" s="377"/>
      <c r="B872" s="576"/>
      <c r="C872" s="348" t="s">
        <v>672</v>
      </c>
      <c r="D872" s="349" t="s">
        <v>31</v>
      </c>
      <c r="E872" s="579"/>
      <c r="F872" s="579"/>
      <c r="G872" s="584"/>
      <c r="J872" s="344"/>
    </row>
    <row r="873" spans="1:10" x14ac:dyDescent="0.15">
      <c r="A873" s="377"/>
      <c r="B873" s="576"/>
      <c r="C873" s="348" t="s">
        <v>673</v>
      </c>
      <c r="D873" s="354"/>
      <c r="E873" s="579"/>
      <c r="F873" s="579"/>
      <c r="G873" s="584"/>
      <c r="J873" s="344"/>
    </row>
    <row r="874" spans="1:10" ht="27" x14ac:dyDescent="0.15">
      <c r="A874" s="377"/>
      <c r="B874" s="576"/>
      <c r="C874" s="348" t="s">
        <v>935</v>
      </c>
      <c r="D874" s="349" t="s">
        <v>31</v>
      </c>
      <c r="E874" s="579"/>
      <c r="F874" s="579"/>
      <c r="G874" s="584"/>
      <c r="J874" s="344"/>
    </row>
    <row r="875" spans="1:10" x14ac:dyDescent="0.15">
      <c r="A875" s="377"/>
      <c r="B875" s="576"/>
      <c r="C875" s="348" t="s">
        <v>674</v>
      </c>
      <c r="D875" s="349" t="s">
        <v>31</v>
      </c>
      <c r="E875" s="579"/>
      <c r="F875" s="579"/>
      <c r="G875" s="584"/>
      <c r="J875" s="344"/>
    </row>
    <row r="876" spans="1:10" x14ac:dyDescent="0.15">
      <c r="A876" s="377"/>
      <c r="B876" s="576"/>
      <c r="C876" s="348" t="s">
        <v>675</v>
      </c>
      <c r="D876" s="354"/>
      <c r="E876" s="579"/>
      <c r="F876" s="579"/>
      <c r="G876" s="584"/>
      <c r="J876" s="344"/>
    </row>
    <row r="877" spans="1:10" x14ac:dyDescent="0.15">
      <c r="A877" s="377"/>
      <c r="B877" s="576"/>
      <c r="C877" s="348" t="s">
        <v>676</v>
      </c>
      <c r="D877" s="355"/>
      <c r="E877" s="579"/>
      <c r="F877" s="579"/>
      <c r="G877" s="584"/>
      <c r="J877" s="344"/>
    </row>
    <row r="878" spans="1:10" x14ac:dyDescent="0.15">
      <c r="A878" s="377"/>
      <c r="B878" s="576"/>
      <c r="C878" s="348" t="s">
        <v>677</v>
      </c>
      <c r="D878" s="355"/>
      <c r="E878" s="579"/>
      <c r="F878" s="579"/>
      <c r="G878" s="584"/>
      <c r="J878" s="344"/>
    </row>
    <row r="879" spans="1:10" x14ac:dyDescent="0.15">
      <c r="A879" s="377"/>
      <c r="B879" s="576"/>
      <c r="C879" s="348" t="s">
        <v>678</v>
      </c>
      <c r="D879" s="354"/>
      <c r="E879" s="579"/>
      <c r="F879" s="579"/>
      <c r="G879" s="584"/>
      <c r="J879" s="344"/>
    </row>
    <row r="880" spans="1:10" ht="54" x14ac:dyDescent="0.15">
      <c r="A880" s="377"/>
      <c r="B880" s="576"/>
      <c r="C880" s="348" t="s">
        <v>936</v>
      </c>
      <c r="D880" s="349" t="s">
        <v>31</v>
      </c>
      <c r="E880" s="579"/>
      <c r="F880" s="579"/>
      <c r="G880" s="584"/>
      <c r="J880" s="344"/>
    </row>
    <row r="881" spans="1:17" ht="40.5" x14ac:dyDescent="0.15">
      <c r="A881" s="377"/>
      <c r="B881" s="576"/>
      <c r="C881" s="348" t="s">
        <v>937</v>
      </c>
      <c r="D881" s="349" t="s">
        <v>31</v>
      </c>
      <c r="E881" s="579"/>
      <c r="F881" s="579"/>
      <c r="G881" s="584"/>
      <c r="J881" s="344"/>
    </row>
    <row r="882" spans="1:17" x14ac:dyDescent="0.15">
      <c r="A882" s="377"/>
      <c r="B882" s="576"/>
      <c r="C882" s="342"/>
      <c r="D882" s="380"/>
      <c r="E882" s="582"/>
      <c r="F882" s="582"/>
      <c r="G882" s="585"/>
      <c r="J882" s="344"/>
    </row>
    <row r="883" spans="1:17" x14ac:dyDescent="0.15">
      <c r="A883" s="377"/>
      <c r="B883" s="576"/>
      <c r="C883" s="381" t="s">
        <v>835</v>
      </c>
      <c r="D883" s="382"/>
      <c r="E883" s="578"/>
      <c r="F883" s="578"/>
      <c r="G883" s="586"/>
      <c r="J883" s="344"/>
    </row>
    <row r="884" spans="1:17" ht="27" x14ac:dyDescent="0.15">
      <c r="A884" s="377"/>
      <c r="B884" s="576"/>
      <c r="C884" s="383" t="s">
        <v>938</v>
      </c>
      <c r="D884" s="384" t="s">
        <v>31</v>
      </c>
      <c r="E884" s="579"/>
      <c r="F884" s="579"/>
      <c r="G884" s="584"/>
      <c r="J884" s="344"/>
    </row>
    <row r="885" spans="1:17" ht="27" x14ac:dyDescent="0.15">
      <c r="A885" s="377"/>
      <c r="B885" s="576"/>
      <c r="C885" s="385" t="s">
        <v>939</v>
      </c>
      <c r="D885" s="386" t="s">
        <v>31</v>
      </c>
      <c r="E885" s="579"/>
      <c r="F885" s="579"/>
      <c r="G885" s="584"/>
      <c r="J885" s="344"/>
    </row>
    <row r="886" spans="1:17" x14ac:dyDescent="0.15">
      <c r="A886" s="377"/>
      <c r="B886" s="576"/>
      <c r="C886" s="385" t="s">
        <v>836</v>
      </c>
      <c r="D886" s="386" t="s">
        <v>31</v>
      </c>
      <c r="E886" s="579"/>
      <c r="F886" s="579"/>
      <c r="G886" s="584"/>
      <c r="J886" s="344"/>
    </row>
    <row r="887" spans="1:17" ht="27.75" thickBot="1" x14ac:dyDescent="0.2">
      <c r="A887" s="377"/>
      <c r="B887" s="577"/>
      <c r="C887" s="387" t="s">
        <v>940</v>
      </c>
      <c r="D887" s="388"/>
      <c r="E887" s="580"/>
      <c r="F887" s="580"/>
      <c r="G887" s="587"/>
      <c r="J887" s="344"/>
    </row>
    <row r="888" spans="1:17" x14ac:dyDescent="0.15">
      <c r="J888" s="344"/>
    </row>
    <row r="889" spans="1:17" ht="18.75" customHeight="1" x14ac:dyDescent="0.15">
      <c r="B889" s="592" t="s">
        <v>837</v>
      </c>
      <c r="C889" s="592"/>
      <c r="D889" s="592"/>
      <c r="E889" s="592"/>
      <c r="F889" s="592"/>
      <c r="G889" s="389"/>
      <c r="J889" s="344"/>
    </row>
    <row r="890" spans="1:17" ht="24.75" customHeight="1" thickBot="1" x14ac:dyDescent="0.2">
      <c r="B890" s="588" t="s">
        <v>838</v>
      </c>
      <c r="C890" s="588"/>
      <c r="D890" s="588"/>
      <c r="E890" s="588"/>
      <c r="F890" s="588"/>
      <c r="G890" s="390" t="s">
        <v>813</v>
      </c>
    </row>
    <row r="891" spans="1:17" ht="82.5" customHeight="1" thickTop="1" x14ac:dyDescent="0.15">
      <c r="B891" s="590" t="s">
        <v>839</v>
      </c>
      <c r="C891" s="590"/>
      <c r="D891" s="590"/>
      <c r="E891" s="590"/>
      <c r="F891" s="590"/>
      <c r="G891" s="391"/>
      <c r="I891" s="392" t="b">
        <v>0</v>
      </c>
      <c r="J891" s="344" t="str">
        <f>IF(I891=TRUE,"○","×")</f>
        <v>×</v>
      </c>
    </row>
    <row r="892" spans="1:17" ht="33.75" customHeight="1" x14ac:dyDescent="0.15">
      <c r="B892" s="591" t="s">
        <v>840</v>
      </c>
      <c r="C892" s="591"/>
      <c r="D892" s="591"/>
      <c r="E892" s="591"/>
      <c r="F892" s="591"/>
      <c r="G892" s="393"/>
      <c r="I892" s="392" t="b">
        <v>0</v>
      </c>
      <c r="J892" s="344" t="str">
        <f>IF(I892=TRUE,"○","×")</f>
        <v>×</v>
      </c>
    </row>
    <row r="893" spans="1:17" x14ac:dyDescent="0.15">
      <c r="J893" s="344"/>
    </row>
    <row r="894" spans="1:17" x14ac:dyDescent="0.15">
      <c r="B894" s="419" t="s">
        <v>1094</v>
      </c>
      <c r="C894" s="420"/>
      <c r="D894" s="419"/>
      <c r="E894" s="419"/>
      <c r="F894" s="419"/>
      <c r="G894" s="419"/>
      <c r="J894" s="344"/>
    </row>
    <row r="895" spans="1:17" ht="14.25" thickBot="1" x14ac:dyDescent="0.2">
      <c r="B895" s="588" t="s">
        <v>838</v>
      </c>
      <c r="C895" s="588"/>
      <c r="D895" s="588"/>
      <c r="E895" s="588"/>
      <c r="F895" s="588"/>
      <c r="G895" s="418" t="s">
        <v>813</v>
      </c>
      <c r="J895" s="344"/>
      <c r="P895" s="417"/>
      <c r="Q895" s="417"/>
    </row>
    <row r="896" spans="1:17" ht="59.25" customHeight="1" thickTop="1" x14ac:dyDescent="0.15">
      <c r="B896" s="589" t="s">
        <v>1095</v>
      </c>
      <c r="C896" s="589"/>
      <c r="D896" s="589"/>
      <c r="E896" s="589"/>
      <c r="F896" s="589"/>
      <c r="G896" s="421"/>
      <c r="I896" s="392" t="b">
        <v>0</v>
      </c>
      <c r="J896" s="344" t="str">
        <f>IF(I896=TRUE,"○","×")</f>
        <v>×</v>
      </c>
      <c r="P896" s="417"/>
      <c r="Q896" s="417"/>
    </row>
    <row r="897" spans="10:10" x14ac:dyDescent="0.15">
      <c r="J897" s="344"/>
    </row>
    <row r="898" spans="10:10" x14ac:dyDescent="0.15">
      <c r="J898" s="344"/>
    </row>
    <row r="899" spans="10:10" x14ac:dyDescent="0.15">
      <c r="J899" s="344"/>
    </row>
    <row r="900" spans="10:10" x14ac:dyDescent="0.15">
      <c r="J900" s="344"/>
    </row>
    <row r="901" spans="10:10" x14ac:dyDescent="0.15">
      <c r="J901" s="344"/>
    </row>
    <row r="902" spans="10:10" x14ac:dyDescent="0.15">
      <c r="J902" s="344"/>
    </row>
    <row r="903" spans="10:10" x14ac:dyDescent="0.15">
      <c r="J903" s="344"/>
    </row>
    <row r="904" spans="10:10" x14ac:dyDescent="0.15">
      <c r="J904" s="344"/>
    </row>
    <row r="905" spans="10:10" x14ac:dyDescent="0.15">
      <c r="J905" s="344"/>
    </row>
    <row r="906" spans="10:10" x14ac:dyDescent="0.15">
      <c r="J906" s="344"/>
    </row>
    <row r="907" spans="10:10" x14ac:dyDescent="0.15">
      <c r="J907" s="344"/>
    </row>
    <row r="908" spans="10:10" x14ac:dyDescent="0.15">
      <c r="J908" s="344"/>
    </row>
    <row r="909" spans="10:10" x14ac:dyDescent="0.15">
      <c r="J909" s="344"/>
    </row>
    <row r="910" spans="10:10" x14ac:dyDescent="0.15">
      <c r="J910" s="344"/>
    </row>
    <row r="911" spans="10:10" x14ac:dyDescent="0.15">
      <c r="J911" s="344"/>
    </row>
    <row r="912" spans="10:10" x14ac:dyDescent="0.15">
      <c r="J912" s="344"/>
    </row>
    <row r="913" spans="10:10" x14ac:dyDescent="0.15">
      <c r="J913" s="344"/>
    </row>
    <row r="914" spans="10:10" x14ac:dyDescent="0.15">
      <c r="J914" s="344"/>
    </row>
    <row r="915" spans="10:10" x14ac:dyDescent="0.15">
      <c r="J915" s="344"/>
    </row>
    <row r="916" spans="10:10" x14ac:dyDescent="0.15">
      <c r="J916" s="344"/>
    </row>
    <row r="917" spans="10:10" x14ac:dyDescent="0.15">
      <c r="J917" s="344"/>
    </row>
    <row r="918" spans="10:10" x14ac:dyDescent="0.15">
      <c r="J918" s="344"/>
    </row>
    <row r="919" spans="10:10" x14ac:dyDescent="0.15">
      <c r="J919" s="344"/>
    </row>
    <row r="920" spans="10:10" x14ac:dyDescent="0.15">
      <c r="J920" s="344"/>
    </row>
    <row r="921" spans="10:10" x14ac:dyDescent="0.15">
      <c r="J921" s="344"/>
    </row>
    <row r="922" spans="10:10" x14ac:dyDescent="0.15">
      <c r="J922" s="344"/>
    </row>
    <row r="923" spans="10:10" x14ac:dyDescent="0.15">
      <c r="J923" s="344"/>
    </row>
    <row r="924" spans="10:10" x14ac:dyDescent="0.15">
      <c r="J924" s="344"/>
    </row>
    <row r="925" spans="10:10" x14ac:dyDescent="0.15">
      <c r="J925" s="344"/>
    </row>
    <row r="926" spans="10:10" x14ac:dyDescent="0.15">
      <c r="J926" s="344"/>
    </row>
    <row r="927" spans="10:10" x14ac:dyDescent="0.15">
      <c r="J927" s="344"/>
    </row>
    <row r="928" spans="10:10" x14ac:dyDescent="0.15">
      <c r="J928" s="344"/>
    </row>
    <row r="929" spans="10:10" x14ac:dyDescent="0.15">
      <c r="J929" s="344"/>
    </row>
    <row r="930" spans="10:10" x14ac:dyDescent="0.15">
      <c r="J930" s="344"/>
    </row>
    <row r="931" spans="10:10" x14ac:dyDescent="0.15">
      <c r="J931" s="344"/>
    </row>
    <row r="932" spans="10:10" x14ac:dyDescent="0.15">
      <c r="J932" s="344"/>
    </row>
    <row r="933" spans="10:10" x14ac:dyDescent="0.15">
      <c r="J933" s="344"/>
    </row>
    <row r="934" spans="10:10" x14ac:dyDescent="0.15">
      <c r="J934" s="344"/>
    </row>
    <row r="935" spans="10:10" x14ac:dyDescent="0.15">
      <c r="J935" s="344"/>
    </row>
    <row r="936" spans="10:10" x14ac:dyDescent="0.15">
      <c r="J936" s="344"/>
    </row>
    <row r="937" spans="10:10" x14ac:dyDescent="0.15">
      <c r="J937" s="344"/>
    </row>
    <row r="938" spans="10:10" x14ac:dyDescent="0.15">
      <c r="J938" s="344"/>
    </row>
    <row r="939" spans="10:10" x14ac:dyDescent="0.15">
      <c r="J939" s="344"/>
    </row>
    <row r="940" spans="10:10" x14ac:dyDescent="0.15">
      <c r="J940" s="344"/>
    </row>
    <row r="941" spans="10:10" x14ac:dyDescent="0.15">
      <c r="J941" s="344"/>
    </row>
    <row r="942" spans="10:10" x14ac:dyDescent="0.15">
      <c r="J942" s="344"/>
    </row>
    <row r="943" spans="10:10" x14ac:dyDescent="0.15">
      <c r="J943" s="344"/>
    </row>
    <row r="944" spans="10:10" x14ac:dyDescent="0.15">
      <c r="J944" s="344"/>
    </row>
    <row r="945" spans="10:10" x14ac:dyDescent="0.15">
      <c r="J945" s="344"/>
    </row>
    <row r="946" spans="10:10" x14ac:dyDescent="0.15">
      <c r="J946" s="344"/>
    </row>
    <row r="947" spans="10:10" x14ac:dyDescent="0.15">
      <c r="J947" s="344"/>
    </row>
    <row r="948" spans="10:10" x14ac:dyDescent="0.15">
      <c r="J948" s="344"/>
    </row>
    <row r="949" spans="10:10" x14ac:dyDescent="0.15">
      <c r="J949" s="344"/>
    </row>
    <row r="950" spans="10:10" x14ac:dyDescent="0.15">
      <c r="J950" s="344"/>
    </row>
    <row r="951" spans="10:10" x14ac:dyDescent="0.15">
      <c r="J951" s="344"/>
    </row>
    <row r="952" spans="10:10" x14ac:dyDescent="0.15">
      <c r="J952" s="344"/>
    </row>
    <row r="953" spans="10:10" x14ac:dyDescent="0.15">
      <c r="J953" s="344"/>
    </row>
    <row r="954" spans="10:10" x14ac:dyDescent="0.15">
      <c r="J954" s="344"/>
    </row>
    <row r="955" spans="10:10" x14ac:dyDescent="0.15">
      <c r="J955" s="344"/>
    </row>
    <row r="956" spans="10:10" x14ac:dyDescent="0.15">
      <c r="J956" s="344"/>
    </row>
    <row r="957" spans="10:10" x14ac:dyDescent="0.15">
      <c r="J957" s="344"/>
    </row>
    <row r="958" spans="10:10" x14ac:dyDescent="0.15">
      <c r="J958" s="344"/>
    </row>
    <row r="959" spans="10:10" x14ac:dyDescent="0.15">
      <c r="J959" s="344"/>
    </row>
    <row r="960" spans="10:10" x14ac:dyDescent="0.15">
      <c r="J960" s="344"/>
    </row>
    <row r="961" spans="10:10" x14ac:dyDescent="0.15">
      <c r="J961" s="344"/>
    </row>
    <row r="962" spans="10:10" x14ac:dyDescent="0.15">
      <c r="J962" s="344"/>
    </row>
    <row r="963" spans="10:10" x14ac:dyDescent="0.15">
      <c r="J963" s="344"/>
    </row>
    <row r="964" spans="10:10" x14ac:dyDescent="0.15">
      <c r="J964" s="344"/>
    </row>
    <row r="965" spans="10:10" x14ac:dyDescent="0.15">
      <c r="J965" s="344"/>
    </row>
    <row r="966" spans="10:10" x14ac:dyDescent="0.15">
      <c r="J966" s="344"/>
    </row>
    <row r="967" spans="10:10" x14ac:dyDescent="0.15">
      <c r="J967" s="344"/>
    </row>
    <row r="968" spans="10:10" x14ac:dyDescent="0.15">
      <c r="J968" s="344"/>
    </row>
    <row r="969" spans="10:10" x14ac:dyDescent="0.15">
      <c r="J969" s="344"/>
    </row>
    <row r="970" spans="10:10" x14ac:dyDescent="0.15">
      <c r="J970" s="344"/>
    </row>
    <row r="971" spans="10:10" x14ac:dyDescent="0.15">
      <c r="J971" s="344"/>
    </row>
    <row r="972" spans="10:10" x14ac:dyDescent="0.15">
      <c r="J972" s="344"/>
    </row>
    <row r="973" spans="10:10" x14ac:dyDescent="0.15">
      <c r="J973" s="344"/>
    </row>
    <row r="974" spans="10:10" x14ac:dyDescent="0.15">
      <c r="J974" s="344"/>
    </row>
    <row r="975" spans="10:10" x14ac:dyDescent="0.15">
      <c r="J975" s="344"/>
    </row>
    <row r="976" spans="10:10" x14ac:dyDescent="0.15">
      <c r="J976" s="344"/>
    </row>
    <row r="977" spans="10:10" x14ac:dyDescent="0.15">
      <c r="J977" s="344"/>
    </row>
    <row r="978" spans="10:10" x14ac:dyDescent="0.15">
      <c r="J978" s="344"/>
    </row>
    <row r="979" spans="10:10" x14ac:dyDescent="0.15">
      <c r="J979" s="344"/>
    </row>
    <row r="980" spans="10:10" x14ac:dyDescent="0.15">
      <c r="J980" s="344"/>
    </row>
    <row r="981" spans="10:10" x14ac:dyDescent="0.15">
      <c r="J981" s="344"/>
    </row>
    <row r="982" spans="10:10" x14ac:dyDescent="0.15">
      <c r="J982" s="344"/>
    </row>
    <row r="983" spans="10:10" x14ac:dyDescent="0.15">
      <c r="J983" s="344" t="str">
        <f t="shared" ref="J983" si="30">IF(AND(D983="◎",OR(E983="",F983="",G983="")),"×","")</f>
        <v/>
      </c>
    </row>
  </sheetData>
  <sheetProtection algorithmName="SHA-512" hashValue="hwDeDF2GqKlMLfeRT6pNN47k9mf0us9zT+9hBck5q55vvY/pzj/GlrWIkDsQ0iHtaQfvbhrOV1sXyfjL/UbQ+w==" saltValue="Xm38w2gx6fEbqJz5yfeNKQ==" spinCount="100000" sheet="1" formatCells="0" autoFilter="0"/>
  <protectedRanges>
    <protectedRange sqref="G891:G892" name="範囲1"/>
    <protectedRange sqref="G896" name="範囲1_1"/>
  </protectedRanges>
  <autoFilter ref="B5:K887" xr:uid="{00000000-0009-0000-0000-000005000000}"/>
  <mergeCells count="33">
    <mergeCell ref="G834:G849"/>
    <mergeCell ref="G850:G882"/>
    <mergeCell ref="G883:G887"/>
    <mergeCell ref="B895:F895"/>
    <mergeCell ref="B896:F896"/>
    <mergeCell ref="B891:F891"/>
    <mergeCell ref="B892:F892"/>
    <mergeCell ref="B890:F890"/>
    <mergeCell ref="B889:F889"/>
    <mergeCell ref="B381:B396"/>
    <mergeCell ref="B413:B428"/>
    <mergeCell ref="B452:B467"/>
    <mergeCell ref="B509:B524"/>
    <mergeCell ref="B553:B568"/>
    <mergeCell ref="B588:B603"/>
    <mergeCell ref="B838:B887"/>
    <mergeCell ref="B623:B639"/>
    <mergeCell ref="B671:B686"/>
    <mergeCell ref="F883:F887"/>
    <mergeCell ref="B753:B768"/>
    <mergeCell ref="B801:B825"/>
    <mergeCell ref="E834:E849"/>
    <mergeCell ref="F834:F849"/>
    <mergeCell ref="E850:E882"/>
    <mergeCell ref="F850:F882"/>
    <mergeCell ref="B713:B730"/>
    <mergeCell ref="E883:E887"/>
    <mergeCell ref="B1:G1"/>
    <mergeCell ref="B2:G2"/>
    <mergeCell ref="E3:G3"/>
    <mergeCell ref="B254:B269"/>
    <mergeCell ref="B318:B333"/>
    <mergeCell ref="B10:B34"/>
  </mergeCells>
  <phoneticPr fontId="8"/>
  <conditionalFormatting sqref="D6:D832">
    <cfRule type="expression" dxfId="5" priority="1">
      <formula>$J6="×"</formula>
    </cfRule>
  </conditionalFormatting>
  <conditionalFormatting sqref="D834">
    <cfRule type="expression" dxfId="4" priority="3">
      <formula>$R$834="×"</formula>
    </cfRule>
    <cfRule type="expression" dxfId="3" priority="4">
      <formula>$Q$834="×"</formula>
    </cfRule>
    <cfRule type="expression" dxfId="2" priority="5">
      <formula>$P$834="×"</formula>
    </cfRule>
  </conditionalFormatting>
  <conditionalFormatting sqref="E3">
    <cfRule type="expression" dxfId="1" priority="19">
      <formula>$K$1="×"</formula>
    </cfRule>
  </conditionalFormatting>
  <pageMargins left="0.59055118110236227" right="0.59055118110236227" top="0.59055118110236227" bottom="0.59055118110236227" header="0.31496062992125984" footer="0.59055118110236227"/>
  <pageSetup paperSize="9" scale="72" fitToHeight="0" orientation="portrait" r:id="rId1"/>
  <headerFooter alignWithMargins="0"/>
  <rowBreaks count="12" manualBreakCount="12">
    <brk id="70" max="8" man="1"/>
    <brk id="143" max="8" man="1"/>
    <brk id="222" max="8" man="1"/>
    <brk id="301" max="8" man="1"/>
    <brk id="376" max="8" man="1"/>
    <brk id="447" max="8" man="1"/>
    <brk id="521" max="8" man="1"/>
    <brk id="597" max="8" man="1"/>
    <brk id="666" max="8" man="1"/>
    <brk id="737" max="8" man="1"/>
    <brk id="810" max="8" man="1"/>
    <brk id="86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6</xdr:col>
                    <xdr:colOff>285750</xdr:colOff>
                    <xdr:row>890</xdr:row>
                    <xdr:rowOff>390525</xdr:rowOff>
                  </from>
                  <to>
                    <xdr:col>6</xdr:col>
                    <xdr:colOff>581025</xdr:colOff>
                    <xdr:row>890</xdr:row>
                    <xdr:rowOff>723900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6</xdr:col>
                    <xdr:colOff>285750</xdr:colOff>
                    <xdr:row>891</xdr:row>
                    <xdr:rowOff>19050</xdr:rowOff>
                  </from>
                  <to>
                    <xdr:col>6</xdr:col>
                    <xdr:colOff>581025</xdr:colOff>
                    <xdr:row>891</xdr:row>
                    <xdr:rowOff>352425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6</xdr:col>
                    <xdr:colOff>285750</xdr:colOff>
                    <xdr:row>895</xdr:row>
                    <xdr:rowOff>209550</xdr:rowOff>
                  </from>
                  <to>
                    <xdr:col>6</xdr:col>
                    <xdr:colOff>581025</xdr:colOff>
                    <xdr:row>895</xdr:row>
                    <xdr:rowOff>542925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1BCA-9B23-4E66-8009-199E435EE772}">
  <sheetPr>
    <pageSetUpPr fitToPage="1"/>
  </sheetPr>
  <dimension ref="A1:O29"/>
  <sheetViews>
    <sheetView view="pageBreakPreview" zoomScaleNormal="100" zoomScaleSheetLayoutView="100" workbookViewId="0">
      <selection activeCell="J6" sqref="J6"/>
    </sheetView>
  </sheetViews>
  <sheetFormatPr defaultRowHeight="13.5" x14ac:dyDescent="0.15"/>
  <cols>
    <col min="1" max="1" width="3.25" customWidth="1"/>
    <col min="2" max="2" width="18.625" customWidth="1"/>
    <col min="3" max="3" width="25.75" customWidth="1"/>
    <col min="4" max="4" width="9.5" customWidth="1"/>
    <col min="5" max="5" width="6.625" customWidth="1"/>
    <col min="6" max="6" width="0.75" customWidth="1"/>
    <col min="7" max="7" width="1.5" customWidth="1"/>
    <col min="8" max="8" width="18.625" customWidth="1"/>
    <col min="9" max="9" width="25.75" customWidth="1"/>
    <col min="10" max="10" width="9.5" customWidth="1"/>
    <col min="11" max="11" width="6.625" customWidth="1"/>
    <col min="12" max="12" width="0.75" customWidth="1"/>
    <col min="13" max="13" width="1.375" customWidth="1"/>
  </cols>
  <sheetData>
    <row r="1" spans="1:15" ht="42" customHeight="1" x14ac:dyDescent="0.15">
      <c r="A1" s="414"/>
      <c r="B1" s="593" t="s">
        <v>1119</v>
      </c>
      <c r="C1" s="593"/>
      <c r="D1" s="593"/>
      <c r="E1" s="593"/>
      <c r="F1" s="593"/>
      <c r="G1" s="593"/>
      <c r="H1" s="593"/>
      <c r="I1" s="593"/>
      <c r="J1" s="593"/>
      <c r="K1" s="593"/>
      <c r="L1" s="414"/>
      <c r="M1" s="414"/>
    </row>
    <row r="2" spans="1:15" ht="26.25" customHeight="1" x14ac:dyDescent="0.15">
      <c r="A2" s="414"/>
      <c r="B2" s="593" t="s">
        <v>1120</v>
      </c>
      <c r="C2" s="593"/>
      <c r="D2" s="593"/>
      <c r="E2" s="593"/>
      <c r="F2" s="593"/>
      <c r="G2" s="593"/>
      <c r="H2" s="593"/>
      <c r="I2" s="593"/>
      <c r="J2" s="593"/>
      <c r="K2" s="593"/>
      <c r="L2" s="414"/>
      <c r="M2" s="414"/>
    </row>
    <row r="3" spans="1:15" ht="36" customHeight="1" x14ac:dyDescent="0.15">
      <c r="A3" s="414"/>
      <c r="B3" s="594" t="s">
        <v>1121</v>
      </c>
      <c r="C3" s="594"/>
      <c r="D3" s="594"/>
      <c r="E3" s="594"/>
      <c r="F3" s="594"/>
      <c r="G3" s="594"/>
      <c r="H3" s="594"/>
      <c r="I3" s="594"/>
      <c r="J3" s="594"/>
      <c r="K3" s="594"/>
      <c r="L3" s="414"/>
      <c r="M3" s="414"/>
    </row>
    <row r="4" spans="1:15" ht="14.25" thickBot="1" x14ac:dyDescent="0.2">
      <c r="A4" s="414"/>
      <c r="B4" s="414"/>
      <c r="C4" s="414"/>
      <c r="D4" s="414"/>
      <c r="E4" s="414"/>
      <c r="F4" s="414"/>
      <c r="G4" s="414"/>
      <c r="H4" s="414"/>
      <c r="I4" s="414"/>
      <c r="J4" s="414"/>
      <c r="K4" s="414"/>
      <c r="L4" s="414"/>
      <c r="M4" s="414"/>
      <c r="N4" s="595" t="s">
        <v>7</v>
      </c>
      <c r="O4" s="595"/>
    </row>
    <row r="5" spans="1:15" ht="36" customHeight="1" thickBot="1" x14ac:dyDescent="0.2">
      <c r="A5" s="414"/>
      <c r="B5" s="395" t="s">
        <v>944</v>
      </c>
      <c r="C5" s="396" t="s">
        <v>941</v>
      </c>
      <c r="D5" s="397" t="s">
        <v>942</v>
      </c>
      <c r="E5" s="398" t="s">
        <v>943</v>
      </c>
      <c r="F5" s="414"/>
      <c r="G5" s="414"/>
      <c r="H5" s="395" t="s">
        <v>944</v>
      </c>
      <c r="I5" s="396" t="s">
        <v>954</v>
      </c>
      <c r="J5" s="397" t="s">
        <v>942</v>
      </c>
      <c r="K5" s="398" t="s">
        <v>943</v>
      </c>
      <c r="L5" s="414"/>
      <c r="M5" s="414"/>
      <c r="N5" s="411" t="s">
        <v>977</v>
      </c>
      <c r="O5" s="411" t="s">
        <v>978</v>
      </c>
    </row>
    <row r="6" spans="1:15" ht="36" customHeight="1" x14ac:dyDescent="0.15">
      <c r="A6" s="414"/>
      <c r="B6" s="399" t="s">
        <v>945</v>
      </c>
      <c r="C6" s="403" t="s">
        <v>946</v>
      </c>
      <c r="D6" s="454"/>
      <c r="E6" s="450"/>
      <c r="F6" s="451" t="b">
        <v>0</v>
      </c>
      <c r="G6" s="414"/>
      <c r="H6" s="399" t="s">
        <v>945</v>
      </c>
      <c r="I6" s="408" t="s">
        <v>955</v>
      </c>
      <c r="J6" s="454"/>
      <c r="K6" s="450"/>
      <c r="L6" s="451" t="b">
        <v>0</v>
      </c>
      <c r="M6" s="414"/>
      <c r="N6" s="412" t="str">
        <f>IF(F6=TRUE,"○","×")</f>
        <v>×</v>
      </c>
      <c r="O6" s="412" t="str">
        <f t="shared" ref="O6:O27" si="0">IF(L6=TRUE,"○","×")</f>
        <v>×</v>
      </c>
    </row>
    <row r="7" spans="1:15" ht="36" customHeight="1" thickBot="1" x14ac:dyDescent="0.2">
      <c r="A7" s="414"/>
      <c r="B7" s="400"/>
      <c r="C7" s="402" t="s">
        <v>947</v>
      </c>
      <c r="D7" s="455"/>
      <c r="E7" s="452"/>
      <c r="F7" s="451" t="b">
        <v>0</v>
      </c>
      <c r="G7" s="414"/>
      <c r="H7" s="401"/>
      <c r="I7" s="407" t="s">
        <v>956</v>
      </c>
      <c r="J7" s="456"/>
      <c r="K7" s="453"/>
      <c r="L7" s="451" t="b">
        <v>0</v>
      </c>
      <c r="M7" s="414"/>
      <c r="N7" s="412" t="str">
        <f t="shared" ref="N7:N12" si="1">IF(F7=TRUE,"○","×")</f>
        <v>×</v>
      </c>
      <c r="O7" s="412" t="str">
        <f t="shared" si="0"/>
        <v>×</v>
      </c>
    </row>
    <row r="8" spans="1:15" ht="36" customHeight="1" x14ac:dyDescent="0.15">
      <c r="A8" s="414"/>
      <c r="B8" s="399" t="s">
        <v>948</v>
      </c>
      <c r="C8" s="403" t="s">
        <v>949</v>
      </c>
      <c r="D8" s="454"/>
      <c r="E8" s="450"/>
      <c r="F8" s="451" t="b">
        <v>0</v>
      </c>
      <c r="G8" s="414"/>
      <c r="H8" s="401"/>
      <c r="I8" s="406" t="s">
        <v>957</v>
      </c>
      <c r="J8" s="457"/>
      <c r="K8" s="458"/>
      <c r="L8" s="451" t="b">
        <v>0</v>
      </c>
      <c r="M8" s="414"/>
      <c r="N8" s="412" t="str">
        <f t="shared" si="1"/>
        <v>×</v>
      </c>
      <c r="O8" s="412" t="str">
        <f t="shared" si="0"/>
        <v>×</v>
      </c>
    </row>
    <row r="9" spans="1:15" ht="36" customHeight="1" x14ac:dyDescent="0.15">
      <c r="A9" s="414"/>
      <c r="B9" s="401"/>
      <c r="C9" s="405" t="s">
        <v>950</v>
      </c>
      <c r="D9" s="456"/>
      <c r="E9" s="453"/>
      <c r="F9" s="451" t="b">
        <v>0</v>
      </c>
      <c r="G9" s="414"/>
      <c r="H9" s="401"/>
      <c r="I9" s="405" t="s">
        <v>958</v>
      </c>
      <c r="J9" s="456"/>
      <c r="K9" s="453"/>
      <c r="L9" s="451" t="b">
        <v>0</v>
      </c>
      <c r="M9" s="414"/>
      <c r="N9" s="412" t="str">
        <f t="shared" si="1"/>
        <v>×</v>
      </c>
      <c r="O9" s="412" t="str">
        <f t="shared" si="0"/>
        <v>×</v>
      </c>
    </row>
    <row r="10" spans="1:15" ht="36" customHeight="1" x14ac:dyDescent="0.15">
      <c r="A10" s="414"/>
      <c r="B10" s="401"/>
      <c r="C10" s="405" t="s">
        <v>951</v>
      </c>
      <c r="D10" s="456"/>
      <c r="E10" s="453"/>
      <c r="F10" s="451" t="b">
        <v>0</v>
      </c>
      <c r="G10" s="414"/>
      <c r="H10" s="401"/>
      <c r="I10" s="405" t="s">
        <v>959</v>
      </c>
      <c r="J10" s="456"/>
      <c r="K10" s="453"/>
      <c r="L10" s="451" t="b">
        <v>0</v>
      </c>
      <c r="M10" s="414"/>
      <c r="N10" s="412" t="str">
        <f t="shared" si="1"/>
        <v>×</v>
      </c>
      <c r="O10" s="412" t="str">
        <f t="shared" si="0"/>
        <v>×</v>
      </c>
    </row>
    <row r="11" spans="1:15" ht="36" customHeight="1" thickBot="1" x14ac:dyDescent="0.2">
      <c r="A11" s="414"/>
      <c r="B11" s="401"/>
      <c r="C11" s="405" t="s">
        <v>952</v>
      </c>
      <c r="D11" s="456"/>
      <c r="E11" s="453"/>
      <c r="F11" s="451" t="b">
        <v>0</v>
      </c>
      <c r="G11" s="414"/>
      <c r="H11" s="400"/>
      <c r="I11" s="409" t="s">
        <v>960</v>
      </c>
      <c r="J11" s="459"/>
      <c r="K11" s="460"/>
      <c r="L11" s="451" t="b">
        <v>0</v>
      </c>
      <c r="M11" s="414"/>
      <c r="N11" s="412" t="str">
        <f t="shared" si="1"/>
        <v>×</v>
      </c>
      <c r="O11" s="412" t="str">
        <f t="shared" si="0"/>
        <v>×</v>
      </c>
    </row>
    <row r="12" spans="1:15" ht="36" customHeight="1" thickBot="1" x14ac:dyDescent="0.2">
      <c r="A12" s="414"/>
      <c r="B12" s="400"/>
      <c r="C12" s="404" t="s">
        <v>953</v>
      </c>
      <c r="D12" s="455"/>
      <c r="E12" s="452"/>
      <c r="F12" s="451" t="b">
        <v>0</v>
      </c>
      <c r="G12" s="414"/>
      <c r="H12" s="399" t="s">
        <v>948</v>
      </c>
      <c r="I12" s="408" t="s">
        <v>963</v>
      </c>
      <c r="J12" s="461"/>
      <c r="K12" s="462"/>
      <c r="L12" s="451" t="b">
        <v>0</v>
      </c>
      <c r="M12" s="414"/>
      <c r="N12" s="412" t="str">
        <f t="shared" si="1"/>
        <v>×</v>
      </c>
      <c r="O12" s="412" t="str">
        <f t="shared" si="0"/>
        <v>×</v>
      </c>
    </row>
    <row r="13" spans="1:15" ht="36" customHeight="1" x14ac:dyDescent="0.15">
      <c r="A13" s="414"/>
      <c r="B13" s="414"/>
      <c r="C13" s="414"/>
      <c r="D13" s="414"/>
      <c r="E13" s="414"/>
      <c r="F13" s="414"/>
      <c r="G13" s="414"/>
      <c r="H13" s="401"/>
      <c r="I13" s="410" t="s">
        <v>961</v>
      </c>
      <c r="J13" s="463"/>
      <c r="K13" s="464"/>
      <c r="L13" s="451" t="b">
        <v>0</v>
      </c>
      <c r="M13" s="414"/>
      <c r="N13" s="412"/>
      <c r="O13" s="412" t="str">
        <f t="shared" si="0"/>
        <v>×</v>
      </c>
    </row>
    <row r="14" spans="1:15" ht="36" customHeight="1" x14ac:dyDescent="0.15">
      <c r="A14" s="414"/>
      <c r="B14" s="414"/>
      <c r="C14" s="414"/>
      <c r="D14" s="414"/>
      <c r="E14" s="414"/>
      <c r="F14" s="414"/>
      <c r="G14" s="414"/>
      <c r="H14" s="401"/>
      <c r="I14" s="407" t="s">
        <v>962</v>
      </c>
      <c r="J14" s="456"/>
      <c r="K14" s="453"/>
      <c r="L14" s="451" t="b">
        <v>0</v>
      </c>
      <c r="M14" s="414"/>
      <c r="N14" s="412"/>
      <c r="O14" s="412" t="str">
        <f t="shared" si="0"/>
        <v>×</v>
      </c>
    </row>
    <row r="15" spans="1:15" ht="36" customHeight="1" x14ac:dyDescent="0.15">
      <c r="A15" s="414"/>
      <c r="B15" s="414"/>
      <c r="C15" s="414"/>
      <c r="D15" s="414"/>
      <c r="E15" s="414"/>
      <c r="F15" s="414"/>
      <c r="G15" s="414"/>
      <c r="H15" s="401"/>
      <c r="I15" s="407" t="s">
        <v>964</v>
      </c>
      <c r="J15" s="456"/>
      <c r="K15" s="453"/>
      <c r="L15" s="451" t="b">
        <v>0</v>
      </c>
      <c r="M15" s="414"/>
      <c r="N15" s="412"/>
      <c r="O15" s="412" t="str">
        <f t="shared" si="0"/>
        <v>×</v>
      </c>
    </row>
    <row r="16" spans="1:15" ht="36" customHeight="1" x14ac:dyDescent="0.15">
      <c r="A16" s="414"/>
      <c r="B16" s="414"/>
      <c r="C16" s="414"/>
      <c r="D16" s="414"/>
      <c r="E16" s="414"/>
      <c r="F16" s="414"/>
      <c r="G16" s="414"/>
      <c r="H16" s="401"/>
      <c r="I16" s="410" t="s">
        <v>965</v>
      </c>
      <c r="J16" s="457"/>
      <c r="K16" s="458"/>
      <c r="L16" s="451" t="b">
        <v>0</v>
      </c>
      <c r="M16" s="414"/>
      <c r="N16" s="413"/>
      <c r="O16" s="412" t="str">
        <f t="shared" si="0"/>
        <v>×</v>
      </c>
    </row>
    <row r="17" spans="1:15" ht="36" customHeight="1" x14ac:dyDescent="0.15">
      <c r="A17" s="414"/>
      <c r="B17" s="414"/>
      <c r="C17" s="414"/>
      <c r="D17" s="414"/>
      <c r="E17" s="414"/>
      <c r="F17" s="414"/>
      <c r="G17" s="414"/>
      <c r="H17" s="401"/>
      <c r="I17" s="407" t="s">
        <v>966</v>
      </c>
      <c r="J17" s="456"/>
      <c r="K17" s="453"/>
      <c r="L17" s="451" t="b">
        <v>0</v>
      </c>
      <c r="M17" s="414"/>
      <c r="O17" s="412" t="str">
        <f t="shared" si="0"/>
        <v>×</v>
      </c>
    </row>
    <row r="18" spans="1:15" ht="36" customHeight="1" x14ac:dyDescent="0.15">
      <c r="A18" s="414"/>
      <c r="B18" s="414"/>
      <c r="C18" s="414"/>
      <c r="D18" s="414"/>
      <c r="E18" s="414"/>
      <c r="F18" s="414"/>
      <c r="G18" s="414"/>
      <c r="H18" s="401"/>
      <c r="I18" s="407" t="s">
        <v>967</v>
      </c>
      <c r="J18" s="456"/>
      <c r="K18" s="453"/>
      <c r="L18" s="451" t="b">
        <v>0</v>
      </c>
      <c r="M18" s="414"/>
      <c r="O18" s="412" t="str">
        <f t="shared" si="0"/>
        <v>×</v>
      </c>
    </row>
    <row r="19" spans="1:15" ht="36" customHeight="1" x14ac:dyDescent="0.15">
      <c r="A19" s="414"/>
      <c r="B19" s="414"/>
      <c r="C19" s="414"/>
      <c r="D19" s="414"/>
      <c r="E19" s="414"/>
      <c r="F19" s="414"/>
      <c r="G19" s="414"/>
      <c r="H19" s="401"/>
      <c r="I19" s="407" t="s">
        <v>968</v>
      </c>
      <c r="J19" s="456"/>
      <c r="K19" s="453"/>
      <c r="L19" s="451" t="b">
        <v>0</v>
      </c>
      <c r="M19" s="414"/>
      <c r="O19" s="412" t="str">
        <f t="shared" si="0"/>
        <v>×</v>
      </c>
    </row>
    <row r="20" spans="1:15" ht="36" customHeight="1" x14ac:dyDescent="0.15">
      <c r="A20" s="414"/>
      <c r="B20" s="414"/>
      <c r="C20" s="414"/>
      <c r="D20" s="414"/>
      <c r="E20" s="414"/>
      <c r="F20" s="414"/>
      <c r="G20" s="414"/>
      <c r="H20" s="401"/>
      <c r="I20" s="407" t="s">
        <v>969</v>
      </c>
      <c r="J20" s="456"/>
      <c r="K20" s="453"/>
      <c r="L20" s="451" t="b">
        <v>0</v>
      </c>
      <c r="M20" s="414"/>
      <c r="O20" s="412" t="str">
        <f t="shared" si="0"/>
        <v>×</v>
      </c>
    </row>
    <row r="21" spans="1:15" ht="36" customHeight="1" x14ac:dyDescent="0.15">
      <c r="A21" s="414"/>
      <c r="B21" s="414"/>
      <c r="C21" s="414"/>
      <c r="D21" s="414"/>
      <c r="E21" s="414"/>
      <c r="F21" s="414"/>
      <c r="G21" s="414"/>
      <c r="H21" s="401"/>
      <c r="I21" s="407" t="s">
        <v>970</v>
      </c>
      <c r="J21" s="456"/>
      <c r="K21" s="453"/>
      <c r="L21" s="451" t="b">
        <v>0</v>
      </c>
      <c r="M21" s="414"/>
      <c r="O21" s="412" t="str">
        <f t="shared" si="0"/>
        <v>×</v>
      </c>
    </row>
    <row r="22" spans="1:15" ht="36" customHeight="1" x14ac:dyDescent="0.15">
      <c r="A22" s="414"/>
      <c r="B22" s="414"/>
      <c r="C22" s="414"/>
      <c r="D22" s="414"/>
      <c r="E22" s="414"/>
      <c r="F22" s="414"/>
      <c r="G22" s="414"/>
      <c r="H22" s="401"/>
      <c r="I22" s="407" t="s">
        <v>971</v>
      </c>
      <c r="J22" s="456"/>
      <c r="K22" s="453"/>
      <c r="L22" s="451" t="b">
        <v>0</v>
      </c>
      <c r="M22" s="414"/>
      <c r="O22" s="412" t="str">
        <f t="shared" si="0"/>
        <v>×</v>
      </c>
    </row>
    <row r="23" spans="1:15" ht="36" customHeight="1" thickBot="1" x14ac:dyDescent="0.2">
      <c r="A23" s="414"/>
      <c r="B23" s="414"/>
      <c r="C23" s="414"/>
      <c r="D23" s="414"/>
      <c r="E23" s="414"/>
      <c r="F23" s="414"/>
      <c r="G23" s="414"/>
      <c r="H23" s="400"/>
      <c r="I23" s="409" t="s">
        <v>972</v>
      </c>
      <c r="J23" s="459"/>
      <c r="K23" s="460"/>
      <c r="L23" s="451" t="b">
        <v>0</v>
      </c>
      <c r="M23" s="414"/>
      <c r="O23" s="412" t="str">
        <f t="shared" si="0"/>
        <v>×</v>
      </c>
    </row>
    <row r="24" spans="1:15" ht="36" customHeight="1" x14ac:dyDescent="0.15">
      <c r="A24" s="414"/>
      <c r="B24" s="414"/>
      <c r="C24" s="414"/>
      <c r="D24" s="414"/>
      <c r="E24" s="414"/>
      <c r="F24" s="414"/>
      <c r="G24" s="414"/>
      <c r="H24" s="401" t="s">
        <v>727</v>
      </c>
      <c r="I24" s="410" t="s">
        <v>973</v>
      </c>
      <c r="J24" s="457"/>
      <c r="K24" s="458"/>
      <c r="L24" s="451" t="b">
        <v>0</v>
      </c>
      <c r="M24" s="414"/>
      <c r="O24" s="412" t="str">
        <f t="shared" si="0"/>
        <v>×</v>
      </c>
    </row>
    <row r="25" spans="1:15" ht="36" customHeight="1" x14ac:dyDescent="0.15">
      <c r="A25" s="414"/>
      <c r="B25" s="414"/>
      <c r="C25" s="414"/>
      <c r="D25" s="414"/>
      <c r="E25" s="414"/>
      <c r="F25" s="414"/>
      <c r="G25" s="414"/>
      <c r="H25" s="401"/>
      <c r="I25" s="410" t="s">
        <v>974</v>
      </c>
      <c r="J25" s="457"/>
      <c r="K25" s="458"/>
      <c r="L25" s="451" t="b">
        <v>0</v>
      </c>
      <c r="M25" s="414"/>
      <c r="O25" s="412" t="str">
        <f t="shared" si="0"/>
        <v>×</v>
      </c>
    </row>
    <row r="26" spans="1:15" ht="36" customHeight="1" x14ac:dyDescent="0.15">
      <c r="A26" s="414"/>
      <c r="B26" s="414"/>
      <c r="C26" s="414"/>
      <c r="D26" s="414"/>
      <c r="E26" s="414"/>
      <c r="F26" s="414"/>
      <c r="G26" s="414"/>
      <c r="H26" s="401"/>
      <c r="I26" s="405" t="s">
        <v>975</v>
      </c>
      <c r="J26" s="456"/>
      <c r="K26" s="453"/>
      <c r="L26" s="451" t="b">
        <v>0</v>
      </c>
      <c r="M26" s="414"/>
      <c r="O26" s="412" t="str">
        <f t="shared" si="0"/>
        <v>×</v>
      </c>
    </row>
    <row r="27" spans="1:15" ht="36" customHeight="1" thickBot="1" x14ac:dyDescent="0.2">
      <c r="A27" s="414"/>
      <c r="B27" s="414"/>
      <c r="C27" s="414"/>
      <c r="D27" s="414"/>
      <c r="E27" s="414"/>
      <c r="F27" s="414"/>
      <c r="G27" s="414"/>
      <c r="H27" s="400"/>
      <c r="I27" s="404" t="s">
        <v>976</v>
      </c>
      <c r="J27" s="455"/>
      <c r="K27" s="452"/>
      <c r="L27" s="451" t="b">
        <v>0</v>
      </c>
      <c r="M27" s="414"/>
      <c r="O27" s="412" t="str">
        <f t="shared" si="0"/>
        <v>×</v>
      </c>
    </row>
    <row r="28" spans="1:15" ht="12.75" customHeight="1" x14ac:dyDescent="0.15">
      <c r="A28" s="414"/>
      <c r="B28" s="414"/>
      <c r="C28" s="414"/>
      <c r="D28" s="414"/>
      <c r="E28" s="414"/>
      <c r="F28" s="414"/>
      <c r="G28" s="414"/>
      <c r="H28" s="414"/>
      <c r="I28" s="414"/>
      <c r="J28" s="414"/>
      <c r="K28" s="414"/>
      <c r="L28" s="414"/>
      <c r="M28" s="414"/>
    </row>
    <row r="29" spans="1:15" x14ac:dyDescent="0.15">
      <c r="F29" s="414"/>
      <c r="G29" s="414"/>
    </row>
  </sheetData>
  <sheetProtection algorithmName="SHA-512" hashValue="lW7aUq0GfI4era8ghK6AJXDl5iAwdTi2KfVq4FdmsCy+i7+VIujwjweXzgUayp2/c3qTo8jLpd0ZVKrb+yx11g==" saltValue="3DBYsWdt9N4L/rPKRwltbg==" spinCount="100000" sheet="1" formatCells="0" autoFilter="0"/>
  <mergeCells count="4">
    <mergeCell ref="B1:K1"/>
    <mergeCell ref="B3:K3"/>
    <mergeCell ref="N4:O4"/>
    <mergeCell ref="B2:K2"/>
  </mergeCells>
  <phoneticPr fontId="8"/>
  <pageMargins left="0.7" right="0.7" top="0.75" bottom="0.75" header="0.3" footer="0.3"/>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90" r:id="rId4" name="Check Box 22">
              <controlPr defaultSize="0" autoFill="0" autoLine="0" autoPict="0">
                <anchor moveWithCells="1">
                  <from>
                    <xdr:col>4</xdr:col>
                    <xdr:colOff>142875</xdr:colOff>
                    <xdr:row>5</xdr:row>
                    <xdr:rowOff>57150</xdr:rowOff>
                  </from>
                  <to>
                    <xdr:col>4</xdr:col>
                    <xdr:colOff>390525</xdr:colOff>
                    <xdr:row>5</xdr:row>
                    <xdr:rowOff>400050</xdr:rowOff>
                  </to>
                </anchor>
              </controlPr>
            </control>
          </mc:Choice>
        </mc:AlternateContent>
        <mc:AlternateContent xmlns:mc="http://schemas.openxmlformats.org/markup-compatibility/2006">
          <mc:Choice Requires="x14">
            <control shapeId="7191" r:id="rId5" name="Check Box 23">
              <controlPr defaultSize="0" autoFill="0" autoLine="0" autoPict="0">
                <anchor moveWithCells="1">
                  <from>
                    <xdr:col>4</xdr:col>
                    <xdr:colOff>142875</xdr:colOff>
                    <xdr:row>6</xdr:row>
                    <xdr:rowOff>57150</xdr:rowOff>
                  </from>
                  <to>
                    <xdr:col>4</xdr:col>
                    <xdr:colOff>390525</xdr:colOff>
                    <xdr:row>6</xdr:row>
                    <xdr:rowOff>400050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4</xdr:col>
                    <xdr:colOff>142875</xdr:colOff>
                    <xdr:row>7</xdr:row>
                    <xdr:rowOff>57150</xdr:rowOff>
                  </from>
                  <to>
                    <xdr:col>4</xdr:col>
                    <xdr:colOff>390525</xdr:colOff>
                    <xdr:row>7</xdr:row>
                    <xdr:rowOff>400050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4</xdr:col>
                    <xdr:colOff>142875</xdr:colOff>
                    <xdr:row>8</xdr:row>
                    <xdr:rowOff>57150</xdr:rowOff>
                  </from>
                  <to>
                    <xdr:col>4</xdr:col>
                    <xdr:colOff>390525</xdr:colOff>
                    <xdr:row>8</xdr:row>
                    <xdr:rowOff>400050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4</xdr:col>
                    <xdr:colOff>142875</xdr:colOff>
                    <xdr:row>9</xdr:row>
                    <xdr:rowOff>57150</xdr:rowOff>
                  </from>
                  <to>
                    <xdr:col>4</xdr:col>
                    <xdr:colOff>390525</xdr:colOff>
                    <xdr:row>9</xdr:row>
                    <xdr:rowOff>400050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4</xdr:col>
                    <xdr:colOff>142875</xdr:colOff>
                    <xdr:row>10</xdr:row>
                    <xdr:rowOff>57150</xdr:rowOff>
                  </from>
                  <to>
                    <xdr:col>4</xdr:col>
                    <xdr:colOff>390525</xdr:colOff>
                    <xdr:row>10</xdr:row>
                    <xdr:rowOff>400050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4</xdr:col>
                    <xdr:colOff>142875</xdr:colOff>
                    <xdr:row>11</xdr:row>
                    <xdr:rowOff>57150</xdr:rowOff>
                  </from>
                  <to>
                    <xdr:col>4</xdr:col>
                    <xdr:colOff>390525</xdr:colOff>
                    <xdr:row>11</xdr:row>
                    <xdr:rowOff>400050</xdr:rowOff>
                  </to>
                </anchor>
              </controlPr>
            </control>
          </mc:Choice>
        </mc:AlternateContent>
        <mc:AlternateContent xmlns:mc="http://schemas.openxmlformats.org/markup-compatibility/2006">
          <mc:Choice Requires="x14">
            <control shapeId="7204" r:id="rId11" name="Check Box 36">
              <controlPr defaultSize="0" autoFill="0" autoLine="0" autoPict="0">
                <anchor moveWithCells="1">
                  <from>
                    <xdr:col>10</xdr:col>
                    <xdr:colOff>142875</xdr:colOff>
                    <xdr:row>5</xdr:row>
                    <xdr:rowOff>57150</xdr:rowOff>
                  </from>
                  <to>
                    <xdr:col>10</xdr:col>
                    <xdr:colOff>390525</xdr:colOff>
                    <xdr:row>5</xdr:row>
                    <xdr:rowOff>400050</xdr:rowOff>
                  </to>
                </anchor>
              </controlPr>
            </control>
          </mc:Choice>
        </mc:AlternateContent>
        <mc:AlternateContent xmlns:mc="http://schemas.openxmlformats.org/markup-compatibility/2006">
          <mc:Choice Requires="x14">
            <control shapeId="7205" r:id="rId12" name="Check Box 37">
              <controlPr defaultSize="0" autoFill="0" autoLine="0" autoPict="0">
                <anchor moveWithCells="1">
                  <from>
                    <xdr:col>10</xdr:col>
                    <xdr:colOff>142875</xdr:colOff>
                    <xdr:row>6</xdr:row>
                    <xdr:rowOff>57150</xdr:rowOff>
                  </from>
                  <to>
                    <xdr:col>10</xdr:col>
                    <xdr:colOff>390525</xdr:colOff>
                    <xdr:row>6</xdr:row>
                    <xdr:rowOff>400050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10</xdr:col>
                    <xdr:colOff>142875</xdr:colOff>
                    <xdr:row>7</xdr:row>
                    <xdr:rowOff>57150</xdr:rowOff>
                  </from>
                  <to>
                    <xdr:col>10</xdr:col>
                    <xdr:colOff>390525</xdr:colOff>
                    <xdr:row>7</xdr:row>
                    <xdr:rowOff>400050</xdr:rowOff>
                  </to>
                </anchor>
              </controlPr>
            </control>
          </mc:Choice>
        </mc:AlternateContent>
        <mc:AlternateContent xmlns:mc="http://schemas.openxmlformats.org/markup-compatibility/2006">
          <mc:Choice Requires="x14">
            <control shapeId="7207" r:id="rId14" name="Check Box 39">
              <controlPr defaultSize="0" autoFill="0" autoLine="0" autoPict="0">
                <anchor moveWithCells="1">
                  <from>
                    <xdr:col>10</xdr:col>
                    <xdr:colOff>142875</xdr:colOff>
                    <xdr:row>8</xdr:row>
                    <xdr:rowOff>57150</xdr:rowOff>
                  </from>
                  <to>
                    <xdr:col>10</xdr:col>
                    <xdr:colOff>390525</xdr:colOff>
                    <xdr:row>8</xdr:row>
                    <xdr:rowOff>400050</xdr:rowOff>
                  </to>
                </anchor>
              </controlPr>
            </control>
          </mc:Choice>
        </mc:AlternateContent>
        <mc:AlternateContent xmlns:mc="http://schemas.openxmlformats.org/markup-compatibility/2006">
          <mc:Choice Requires="x14">
            <control shapeId="7208" r:id="rId15" name="Check Box 40">
              <controlPr defaultSize="0" autoFill="0" autoLine="0" autoPict="0">
                <anchor moveWithCells="1">
                  <from>
                    <xdr:col>10</xdr:col>
                    <xdr:colOff>142875</xdr:colOff>
                    <xdr:row>9</xdr:row>
                    <xdr:rowOff>57150</xdr:rowOff>
                  </from>
                  <to>
                    <xdr:col>10</xdr:col>
                    <xdr:colOff>390525</xdr:colOff>
                    <xdr:row>9</xdr:row>
                    <xdr:rowOff>400050</xdr:rowOff>
                  </to>
                </anchor>
              </controlPr>
            </control>
          </mc:Choice>
        </mc:AlternateContent>
        <mc:AlternateContent xmlns:mc="http://schemas.openxmlformats.org/markup-compatibility/2006">
          <mc:Choice Requires="x14">
            <control shapeId="7209" r:id="rId16" name="Check Box 41">
              <controlPr defaultSize="0" autoFill="0" autoLine="0" autoPict="0">
                <anchor moveWithCells="1">
                  <from>
                    <xdr:col>10</xdr:col>
                    <xdr:colOff>142875</xdr:colOff>
                    <xdr:row>10</xdr:row>
                    <xdr:rowOff>57150</xdr:rowOff>
                  </from>
                  <to>
                    <xdr:col>10</xdr:col>
                    <xdr:colOff>390525</xdr:colOff>
                    <xdr:row>10</xdr:row>
                    <xdr:rowOff>400050</xdr:rowOff>
                  </to>
                </anchor>
              </controlPr>
            </control>
          </mc:Choice>
        </mc:AlternateContent>
        <mc:AlternateContent xmlns:mc="http://schemas.openxmlformats.org/markup-compatibility/2006">
          <mc:Choice Requires="x14">
            <control shapeId="7210" r:id="rId17" name="Check Box 42">
              <controlPr defaultSize="0" autoFill="0" autoLine="0" autoPict="0">
                <anchor moveWithCells="1">
                  <from>
                    <xdr:col>10</xdr:col>
                    <xdr:colOff>142875</xdr:colOff>
                    <xdr:row>11</xdr:row>
                    <xdr:rowOff>57150</xdr:rowOff>
                  </from>
                  <to>
                    <xdr:col>10</xdr:col>
                    <xdr:colOff>390525</xdr:colOff>
                    <xdr:row>11</xdr:row>
                    <xdr:rowOff>400050</xdr:rowOff>
                  </to>
                </anchor>
              </controlPr>
            </control>
          </mc:Choice>
        </mc:AlternateContent>
        <mc:AlternateContent xmlns:mc="http://schemas.openxmlformats.org/markup-compatibility/2006">
          <mc:Choice Requires="x14">
            <control shapeId="7240" r:id="rId18" name="Check Box 72">
              <controlPr defaultSize="0" autoFill="0" autoLine="0" autoPict="0">
                <anchor moveWithCells="1">
                  <from>
                    <xdr:col>10</xdr:col>
                    <xdr:colOff>142875</xdr:colOff>
                    <xdr:row>13</xdr:row>
                    <xdr:rowOff>57150</xdr:rowOff>
                  </from>
                  <to>
                    <xdr:col>10</xdr:col>
                    <xdr:colOff>390525</xdr:colOff>
                    <xdr:row>13</xdr:row>
                    <xdr:rowOff>400050</xdr:rowOff>
                  </to>
                </anchor>
              </controlPr>
            </control>
          </mc:Choice>
        </mc:AlternateContent>
        <mc:AlternateContent xmlns:mc="http://schemas.openxmlformats.org/markup-compatibility/2006">
          <mc:Choice Requires="x14">
            <control shapeId="7241" r:id="rId19" name="Check Box 73">
              <controlPr defaultSize="0" autoFill="0" autoLine="0" autoPict="0">
                <anchor moveWithCells="1">
                  <from>
                    <xdr:col>10</xdr:col>
                    <xdr:colOff>142875</xdr:colOff>
                    <xdr:row>14</xdr:row>
                    <xdr:rowOff>57150</xdr:rowOff>
                  </from>
                  <to>
                    <xdr:col>10</xdr:col>
                    <xdr:colOff>390525</xdr:colOff>
                    <xdr:row>14</xdr:row>
                    <xdr:rowOff>400050</xdr:rowOff>
                  </to>
                </anchor>
              </controlPr>
            </control>
          </mc:Choice>
        </mc:AlternateContent>
        <mc:AlternateContent xmlns:mc="http://schemas.openxmlformats.org/markup-compatibility/2006">
          <mc:Choice Requires="x14">
            <control shapeId="7242" r:id="rId20" name="Check Box 74">
              <controlPr defaultSize="0" autoFill="0" autoLine="0" autoPict="0">
                <anchor moveWithCells="1">
                  <from>
                    <xdr:col>10</xdr:col>
                    <xdr:colOff>142875</xdr:colOff>
                    <xdr:row>15</xdr:row>
                    <xdr:rowOff>57150</xdr:rowOff>
                  </from>
                  <to>
                    <xdr:col>10</xdr:col>
                    <xdr:colOff>390525</xdr:colOff>
                    <xdr:row>15</xdr:row>
                    <xdr:rowOff>400050</xdr:rowOff>
                  </to>
                </anchor>
              </controlPr>
            </control>
          </mc:Choice>
        </mc:AlternateContent>
        <mc:AlternateContent xmlns:mc="http://schemas.openxmlformats.org/markup-compatibility/2006">
          <mc:Choice Requires="x14">
            <control shapeId="7243" r:id="rId21" name="Check Box 75">
              <controlPr defaultSize="0" autoFill="0" autoLine="0" autoPict="0">
                <anchor moveWithCells="1">
                  <from>
                    <xdr:col>10</xdr:col>
                    <xdr:colOff>142875</xdr:colOff>
                    <xdr:row>16</xdr:row>
                    <xdr:rowOff>57150</xdr:rowOff>
                  </from>
                  <to>
                    <xdr:col>10</xdr:col>
                    <xdr:colOff>390525</xdr:colOff>
                    <xdr:row>16</xdr:row>
                    <xdr:rowOff>400050</xdr:rowOff>
                  </to>
                </anchor>
              </controlPr>
            </control>
          </mc:Choice>
        </mc:AlternateContent>
        <mc:AlternateContent xmlns:mc="http://schemas.openxmlformats.org/markup-compatibility/2006">
          <mc:Choice Requires="x14">
            <control shapeId="7244" r:id="rId22" name="Check Box 76">
              <controlPr defaultSize="0" autoFill="0" autoLine="0" autoPict="0">
                <anchor moveWithCells="1">
                  <from>
                    <xdr:col>10</xdr:col>
                    <xdr:colOff>142875</xdr:colOff>
                    <xdr:row>25</xdr:row>
                    <xdr:rowOff>57150</xdr:rowOff>
                  </from>
                  <to>
                    <xdr:col>10</xdr:col>
                    <xdr:colOff>390525</xdr:colOff>
                    <xdr:row>25</xdr:row>
                    <xdr:rowOff>400050</xdr:rowOff>
                  </to>
                </anchor>
              </controlPr>
            </control>
          </mc:Choice>
        </mc:AlternateContent>
        <mc:AlternateContent xmlns:mc="http://schemas.openxmlformats.org/markup-compatibility/2006">
          <mc:Choice Requires="x14">
            <control shapeId="7245" r:id="rId23" name="Check Box 77">
              <controlPr defaultSize="0" autoFill="0" autoLine="0" autoPict="0">
                <anchor moveWithCells="1">
                  <from>
                    <xdr:col>10</xdr:col>
                    <xdr:colOff>142875</xdr:colOff>
                    <xdr:row>26</xdr:row>
                    <xdr:rowOff>57150</xdr:rowOff>
                  </from>
                  <to>
                    <xdr:col>10</xdr:col>
                    <xdr:colOff>390525</xdr:colOff>
                    <xdr:row>26</xdr:row>
                    <xdr:rowOff>400050</xdr:rowOff>
                  </to>
                </anchor>
              </controlPr>
            </control>
          </mc:Choice>
        </mc:AlternateContent>
        <mc:AlternateContent xmlns:mc="http://schemas.openxmlformats.org/markup-compatibility/2006">
          <mc:Choice Requires="x14">
            <control shapeId="7247" r:id="rId24" name="Check Box 79">
              <controlPr defaultSize="0" autoFill="0" autoLine="0" autoPict="0">
                <anchor moveWithCells="1">
                  <from>
                    <xdr:col>10</xdr:col>
                    <xdr:colOff>142875</xdr:colOff>
                    <xdr:row>12</xdr:row>
                    <xdr:rowOff>57150</xdr:rowOff>
                  </from>
                  <to>
                    <xdr:col>10</xdr:col>
                    <xdr:colOff>390525</xdr:colOff>
                    <xdr:row>12</xdr:row>
                    <xdr:rowOff>400050</xdr:rowOff>
                  </to>
                </anchor>
              </controlPr>
            </control>
          </mc:Choice>
        </mc:AlternateContent>
        <mc:AlternateContent xmlns:mc="http://schemas.openxmlformats.org/markup-compatibility/2006">
          <mc:Choice Requires="x14">
            <control shapeId="7248" r:id="rId25" name="Check Box 80">
              <controlPr defaultSize="0" autoFill="0" autoLine="0" autoPict="0">
                <anchor moveWithCells="1">
                  <from>
                    <xdr:col>10</xdr:col>
                    <xdr:colOff>142875</xdr:colOff>
                    <xdr:row>17</xdr:row>
                    <xdr:rowOff>57150</xdr:rowOff>
                  </from>
                  <to>
                    <xdr:col>10</xdr:col>
                    <xdr:colOff>390525</xdr:colOff>
                    <xdr:row>17</xdr:row>
                    <xdr:rowOff>400050</xdr:rowOff>
                  </to>
                </anchor>
              </controlPr>
            </control>
          </mc:Choice>
        </mc:AlternateContent>
        <mc:AlternateContent xmlns:mc="http://schemas.openxmlformats.org/markup-compatibility/2006">
          <mc:Choice Requires="x14">
            <control shapeId="7249" r:id="rId26" name="Check Box 81">
              <controlPr defaultSize="0" autoFill="0" autoLine="0" autoPict="0">
                <anchor moveWithCells="1">
                  <from>
                    <xdr:col>10</xdr:col>
                    <xdr:colOff>142875</xdr:colOff>
                    <xdr:row>18</xdr:row>
                    <xdr:rowOff>57150</xdr:rowOff>
                  </from>
                  <to>
                    <xdr:col>10</xdr:col>
                    <xdr:colOff>390525</xdr:colOff>
                    <xdr:row>18</xdr:row>
                    <xdr:rowOff>400050</xdr:rowOff>
                  </to>
                </anchor>
              </controlPr>
            </control>
          </mc:Choice>
        </mc:AlternateContent>
        <mc:AlternateContent xmlns:mc="http://schemas.openxmlformats.org/markup-compatibility/2006">
          <mc:Choice Requires="x14">
            <control shapeId="7250" r:id="rId27" name="Check Box 82">
              <controlPr defaultSize="0" autoFill="0" autoLine="0" autoPict="0">
                <anchor moveWithCells="1">
                  <from>
                    <xdr:col>10</xdr:col>
                    <xdr:colOff>142875</xdr:colOff>
                    <xdr:row>19</xdr:row>
                    <xdr:rowOff>57150</xdr:rowOff>
                  </from>
                  <to>
                    <xdr:col>10</xdr:col>
                    <xdr:colOff>390525</xdr:colOff>
                    <xdr:row>19</xdr:row>
                    <xdr:rowOff>400050</xdr:rowOff>
                  </to>
                </anchor>
              </controlPr>
            </control>
          </mc:Choice>
        </mc:AlternateContent>
        <mc:AlternateContent xmlns:mc="http://schemas.openxmlformats.org/markup-compatibility/2006">
          <mc:Choice Requires="x14">
            <control shapeId="7251" r:id="rId28" name="Check Box 83">
              <controlPr defaultSize="0" autoFill="0" autoLine="0" autoPict="0">
                <anchor moveWithCells="1">
                  <from>
                    <xdr:col>10</xdr:col>
                    <xdr:colOff>142875</xdr:colOff>
                    <xdr:row>20</xdr:row>
                    <xdr:rowOff>57150</xdr:rowOff>
                  </from>
                  <to>
                    <xdr:col>10</xdr:col>
                    <xdr:colOff>390525</xdr:colOff>
                    <xdr:row>20</xdr:row>
                    <xdr:rowOff>400050</xdr:rowOff>
                  </to>
                </anchor>
              </controlPr>
            </control>
          </mc:Choice>
        </mc:AlternateContent>
        <mc:AlternateContent xmlns:mc="http://schemas.openxmlformats.org/markup-compatibility/2006">
          <mc:Choice Requires="x14">
            <control shapeId="7252" r:id="rId29" name="Check Box 84">
              <controlPr defaultSize="0" autoFill="0" autoLine="0" autoPict="0">
                <anchor moveWithCells="1">
                  <from>
                    <xdr:col>10</xdr:col>
                    <xdr:colOff>142875</xdr:colOff>
                    <xdr:row>21</xdr:row>
                    <xdr:rowOff>57150</xdr:rowOff>
                  </from>
                  <to>
                    <xdr:col>10</xdr:col>
                    <xdr:colOff>390525</xdr:colOff>
                    <xdr:row>21</xdr:row>
                    <xdr:rowOff>400050</xdr:rowOff>
                  </to>
                </anchor>
              </controlPr>
            </control>
          </mc:Choice>
        </mc:AlternateContent>
        <mc:AlternateContent xmlns:mc="http://schemas.openxmlformats.org/markup-compatibility/2006">
          <mc:Choice Requires="x14">
            <control shapeId="7253" r:id="rId30" name="Check Box 85">
              <controlPr defaultSize="0" autoFill="0" autoLine="0" autoPict="0">
                <anchor moveWithCells="1">
                  <from>
                    <xdr:col>10</xdr:col>
                    <xdr:colOff>142875</xdr:colOff>
                    <xdr:row>22</xdr:row>
                    <xdr:rowOff>57150</xdr:rowOff>
                  </from>
                  <to>
                    <xdr:col>10</xdr:col>
                    <xdr:colOff>390525</xdr:colOff>
                    <xdr:row>22</xdr:row>
                    <xdr:rowOff>400050</xdr:rowOff>
                  </to>
                </anchor>
              </controlPr>
            </control>
          </mc:Choice>
        </mc:AlternateContent>
        <mc:AlternateContent xmlns:mc="http://schemas.openxmlformats.org/markup-compatibility/2006">
          <mc:Choice Requires="x14">
            <control shapeId="7255" r:id="rId31" name="Check Box 87">
              <controlPr defaultSize="0" autoFill="0" autoLine="0" autoPict="0">
                <anchor moveWithCells="1">
                  <from>
                    <xdr:col>10</xdr:col>
                    <xdr:colOff>142875</xdr:colOff>
                    <xdr:row>23</xdr:row>
                    <xdr:rowOff>57150</xdr:rowOff>
                  </from>
                  <to>
                    <xdr:col>10</xdr:col>
                    <xdr:colOff>390525</xdr:colOff>
                    <xdr:row>23</xdr:row>
                    <xdr:rowOff>400050</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10</xdr:col>
                    <xdr:colOff>142875</xdr:colOff>
                    <xdr:row>24</xdr:row>
                    <xdr:rowOff>57150</xdr:rowOff>
                  </from>
                  <to>
                    <xdr:col>10</xdr:col>
                    <xdr:colOff>390525</xdr:colOff>
                    <xdr:row>24</xdr:row>
                    <xdr:rowOff>400050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Z7"/>
  <sheetViews>
    <sheetView showGridLines="0" topLeftCell="G1" zoomScaleNormal="100" zoomScaleSheetLayoutView="100" workbookViewId="0">
      <selection activeCell="V4" sqref="V4"/>
    </sheetView>
  </sheetViews>
  <sheetFormatPr defaultRowHeight="13.5" x14ac:dyDescent="0.15"/>
  <cols>
    <col min="1" max="5" width="8.75" style="206" customWidth="1"/>
    <col min="6" max="25" width="8.75" style="207" customWidth="1"/>
  </cols>
  <sheetData>
    <row r="1" spans="1:26" x14ac:dyDescent="0.15">
      <c r="A1" s="209" t="str">
        <f>"列番号"&amp;COLUMN()</f>
        <v>列番号1</v>
      </c>
      <c r="B1" s="209" t="str">
        <f t="shared" ref="B1:Y1" si="0">"列番号"&amp;COLUMN()</f>
        <v>列番号2</v>
      </c>
      <c r="C1" s="209" t="str">
        <f t="shared" si="0"/>
        <v>列番号3</v>
      </c>
      <c r="D1" s="209" t="str">
        <f t="shared" si="0"/>
        <v>列番号4</v>
      </c>
      <c r="E1" s="209" t="str">
        <f t="shared" si="0"/>
        <v>列番号5</v>
      </c>
      <c r="F1" s="209" t="str">
        <f t="shared" si="0"/>
        <v>列番号6</v>
      </c>
      <c r="G1" s="209" t="str">
        <f t="shared" si="0"/>
        <v>列番号7</v>
      </c>
      <c r="H1" s="209" t="str">
        <f t="shared" si="0"/>
        <v>列番号8</v>
      </c>
      <c r="I1" s="209" t="str">
        <f t="shared" si="0"/>
        <v>列番号9</v>
      </c>
      <c r="J1" s="209" t="str">
        <f t="shared" si="0"/>
        <v>列番号10</v>
      </c>
      <c r="K1" s="209" t="str">
        <f t="shared" si="0"/>
        <v>列番号11</v>
      </c>
      <c r="L1" s="209" t="str">
        <f t="shared" si="0"/>
        <v>列番号12</v>
      </c>
      <c r="M1" s="209" t="str">
        <f t="shared" si="0"/>
        <v>列番号13</v>
      </c>
      <c r="N1" s="209" t="str">
        <f t="shared" si="0"/>
        <v>列番号14</v>
      </c>
      <c r="O1" s="209" t="str">
        <f t="shared" si="0"/>
        <v>列番号15</v>
      </c>
      <c r="P1" s="209" t="str">
        <f t="shared" si="0"/>
        <v>列番号16</v>
      </c>
      <c r="Q1" s="209" t="str">
        <f t="shared" si="0"/>
        <v>列番号17</v>
      </c>
      <c r="R1" s="209" t="str">
        <f t="shared" si="0"/>
        <v>列番号18</v>
      </c>
      <c r="S1" s="209" t="str">
        <f t="shared" si="0"/>
        <v>列番号19</v>
      </c>
      <c r="T1" s="209" t="str">
        <f t="shared" si="0"/>
        <v>列番号20</v>
      </c>
      <c r="U1" s="209" t="str">
        <f t="shared" si="0"/>
        <v>列番号21</v>
      </c>
      <c r="V1" s="209" t="str">
        <f t="shared" si="0"/>
        <v>列番号22</v>
      </c>
      <c r="W1" s="209" t="str">
        <f t="shared" si="0"/>
        <v>列番号23</v>
      </c>
      <c r="X1" s="209" t="str">
        <f t="shared" si="0"/>
        <v>列番号24</v>
      </c>
      <c r="Y1" s="209" t="str">
        <f t="shared" si="0"/>
        <v>列番号25</v>
      </c>
    </row>
    <row r="2" spans="1:26" x14ac:dyDescent="0.15">
      <c r="A2" s="210"/>
      <c r="B2" s="210" t="s">
        <v>792</v>
      </c>
      <c r="C2" s="210" t="s">
        <v>792</v>
      </c>
      <c r="D2" s="210" t="s">
        <v>792</v>
      </c>
      <c r="E2" s="210" t="s">
        <v>792</v>
      </c>
      <c r="F2" s="210" t="s">
        <v>792</v>
      </c>
      <c r="G2" s="210" t="s">
        <v>798</v>
      </c>
      <c r="H2" s="210" t="s">
        <v>800</v>
      </c>
      <c r="I2" s="210" t="s">
        <v>798</v>
      </c>
      <c r="J2" s="210" t="s">
        <v>798</v>
      </c>
      <c r="K2" s="210" t="s">
        <v>798</v>
      </c>
      <c r="L2" s="210" t="s">
        <v>798</v>
      </c>
      <c r="M2" s="210" t="s">
        <v>798</v>
      </c>
      <c r="N2" s="210" t="s">
        <v>798</v>
      </c>
      <c r="O2" s="210" t="s">
        <v>798</v>
      </c>
      <c r="P2" s="210" t="s">
        <v>798</v>
      </c>
      <c r="Q2" s="210" t="s">
        <v>798</v>
      </c>
      <c r="R2" s="210" t="s">
        <v>798</v>
      </c>
      <c r="S2" s="210" t="s">
        <v>798</v>
      </c>
      <c r="T2" s="210" t="s">
        <v>798</v>
      </c>
      <c r="U2" s="210" t="s">
        <v>798</v>
      </c>
      <c r="V2" s="210" t="s">
        <v>798</v>
      </c>
      <c r="W2" s="210" t="s">
        <v>798</v>
      </c>
      <c r="X2" s="210" t="s">
        <v>798</v>
      </c>
      <c r="Y2" s="210" t="s">
        <v>798</v>
      </c>
      <c r="Z2" s="213" t="s">
        <v>28</v>
      </c>
    </row>
    <row r="3" spans="1:26" x14ac:dyDescent="0.15">
      <c r="A3" s="211"/>
      <c r="B3" s="211" t="s">
        <v>793</v>
      </c>
      <c r="C3" s="211" t="s">
        <v>794</v>
      </c>
      <c r="D3" s="211" t="s">
        <v>795</v>
      </c>
      <c r="E3" s="211" t="s">
        <v>796</v>
      </c>
      <c r="F3" s="211" t="s">
        <v>797</v>
      </c>
      <c r="G3" s="211" t="s">
        <v>799</v>
      </c>
      <c r="H3" s="211" t="s">
        <v>801</v>
      </c>
      <c r="I3" s="211" t="s">
        <v>802</v>
      </c>
      <c r="J3" s="211" t="s">
        <v>841</v>
      </c>
      <c r="K3" s="211" t="s">
        <v>842</v>
      </c>
      <c r="L3" s="211" t="s">
        <v>843</v>
      </c>
      <c r="M3" s="211" t="s">
        <v>844</v>
      </c>
      <c r="N3" s="211" t="s">
        <v>845</v>
      </c>
      <c r="O3" s="211" t="s">
        <v>846</v>
      </c>
      <c r="P3" s="211" t="s">
        <v>856</v>
      </c>
      <c r="Q3" s="211" t="s">
        <v>847</v>
      </c>
      <c r="R3" s="211" t="s">
        <v>857</v>
      </c>
      <c r="S3" s="211" t="s">
        <v>858</v>
      </c>
      <c r="T3" s="211" t="s">
        <v>859</v>
      </c>
      <c r="U3" s="211" t="s">
        <v>860</v>
      </c>
      <c r="V3" s="211" t="s">
        <v>861</v>
      </c>
      <c r="W3" s="211" t="s">
        <v>853</v>
      </c>
      <c r="X3" s="211" t="s">
        <v>854</v>
      </c>
      <c r="Y3" s="211" t="s">
        <v>855</v>
      </c>
    </row>
    <row r="4" spans="1:26" s="195" customFormat="1" ht="54" x14ac:dyDescent="0.15">
      <c r="A4" s="208"/>
      <c r="B4" s="191"/>
      <c r="C4" s="191"/>
      <c r="D4" s="191"/>
      <c r="E4" s="191"/>
      <c r="F4" s="192"/>
      <c r="G4" s="192"/>
      <c r="H4" s="192"/>
      <c r="I4" s="193" t="s">
        <v>775</v>
      </c>
      <c r="J4" s="193" t="s">
        <v>776</v>
      </c>
      <c r="K4" s="193" t="s">
        <v>777</v>
      </c>
      <c r="L4" s="193" t="s">
        <v>778</v>
      </c>
      <c r="M4" s="193" t="s">
        <v>779</v>
      </c>
      <c r="N4" s="193" t="s">
        <v>780</v>
      </c>
      <c r="O4" s="193" t="s">
        <v>781</v>
      </c>
      <c r="P4" s="193" t="s">
        <v>782</v>
      </c>
      <c r="Q4" s="193" t="s">
        <v>783</v>
      </c>
      <c r="R4" s="193" t="s">
        <v>784</v>
      </c>
      <c r="S4" s="193" t="s">
        <v>785</v>
      </c>
      <c r="T4" s="193" t="s">
        <v>786</v>
      </c>
      <c r="U4" s="193" t="s">
        <v>787</v>
      </c>
      <c r="V4" s="193" t="s">
        <v>788</v>
      </c>
      <c r="W4" s="193" t="s">
        <v>850</v>
      </c>
      <c r="X4" s="193" t="s">
        <v>848</v>
      </c>
      <c r="Y4" s="193" t="s">
        <v>849</v>
      </c>
      <c r="Z4" s="194"/>
    </row>
    <row r="5" spans="1:26" s="203" customFormat="1" ht="5.0999999999999996" customHeight="1" x14ac:dyDescent="0.15">
      <c r="A5" s="196"/>
      <c r="B5" s="196"/>
      <c r="C5" s="197"/>
      <c r="D5" s="197"/>
      <c r="E5" s="197"/>
      <c r="F5" s="198"/>
      <c r="G5" s="198"/>
      <c r="H5" s="199"/>
      <c r="I5" s="200"/>
      <c r="J5" s="200"/>
      <c r="K5" s="200"/>
      <c r="L5" s="200"/>
      <c r="M5" s="200"/>
      <c r="N5" s="200"/>
      <c r="O5" s="200"/>
      <c r="P5" s="200"/>
      <c r="Q5" s="200"/>
      <c r="R5" s="200"/>
      <c r="S5" s="200"/>
      <c r="T5" s="200"/>
      <c r="U5" s="200"/>
      <c r="V5" s="200"/>
      <c r="W5" s="278"/>
      <c r="X5" s="201"/>
      <c r="Y5" s="201"/>
      <c r="Z5" s="202"/>
    </row>
    <row r="6" spans="1:26" ht="27.75" thickBot="1" x14ac:dyDescent="0.2">
      <c r="A6" s="204" t="s">
        <v>744</v>
      </c>
      <c r="B6" s="204" t="s">
        <v>737</v>
      </c>
      <c r="C6" s="204" t="s">
        <v>789</v>
      </c>
      <c r="D6" s="204" t="s">
        <v>739</v>
      </c>
      <c r="E6" s="204" t="s">
        <v>747</v>
      </c>
      <c r="F6" s="204" t="s">
        <v>743</v>
      </c>
      <c r="G6" s="204" t="s">
        <v>790</v>
      </c>
      <c r="H6" s="204" t="s">
        <v>746</v>
      </c>
      <c r="I6" s="205" t="s">
        <v>791</v>
      </c>
      <c r="J6" s="205" t="s">
        <v>791</v>
      </c>
      <c r="K6" s="205" t="s">
        <v>791</v>
      </c>
      <c r="L6" s="205" t="s">
        <v>791</v>
      </c>
      <c r="M6" s="205" t="s">
        <v>791</v>
      </c>
      <c r="N6" s="205" t="s">
        <v>791</v>
      </c>
      <c r="O6" s="205" t="s">
        <v>791</v>
      </c>
      <c r="P6" s="205" t="s">
        <v>791</v>
      </c>
      <c r="Q6" s="205" t="s">
        <v>791</v>
      </c>
      <c r="R6" s="205" t="s">
        <v>791</v>
      </c>
      <c r="S6" s="205" t="s">
        <v>791</v>
      </c>
      <c r="T6" s="205" t="s">
        <v>791</v>
      </c>
      <c r="U6" s="205" t="s">
        <v>791</v>
      </c>
      <c r="V6" s="205" t="s">
        <v>791</v>
      </c>
      <c r="W6" s="205" t="s">
        <v>791</v>
      </c>
      <c r="X6" s="205" t="s">
        <v>791</v>
      </c>
      <c r="Y6" s="205" t="s">
        <v>791</v>
      </c>
    </row>
    <row r="7" spans="1:26" x14ac:dyDescent="0.15">
      <c r="A7" s="214" t="str">
        <f ca="1">IF(B7=0,"",B7)&amp;"　"&amp;IF(C7=0,"",C7)&amp;"　"&amp;IF(D7=0,"",D7)&amp;"　"&amp;IF(E7=0,"",E7)</f>
        <v>　　　</v>
      </c>
      <c r="B7" s="212">
        <f ca="1">INDIRECT("'"&amp;B2&amp;"'!"&amp;B3)</f>
        <v>0</v>
      </c>
      <c r="C7" s="212">
        <f t="shared" ref="C7:Y7" ca="1" si="1">INDIRECT("'"&amp;C2&amp;"'!"&amp;C3)</f>
        <v>0</v>
      </c>
      <c r="D7" s="212">
        <f t="shared" ca="1" si="1"/>
        <v>0</v>
      </c>
      <c r="E7" s="212">
        <f t="shared" ca="1" si="1"/>
        <v>0</v>
      </c>
      <c r="F7" s="212">
        <f t="shared" ca="1" si="1"/>
        <v>0</v>
      </c>
      <c r="G7" s="212" t="e">
        <f t="shared" ca="1" si="1"/>
        <v>#REF!</v>
      </c>
      <c r="H7" s="212" t="e">
        <f t="shared" ca="1" si="1"/>
        <v>#REF!</v>
      </c>
      <c r="I7" s="212" t="e">
        <f t="shared" ca="1" si="1"/>
        <v>#REF!</v>
      </c>
      <c r="J7" s="212" t="e">
        <f t="shared" ca="1" si="1"/>
        <v>#REF!</v>
      </c>
      <c r="K7" s="212" t="e">
        <f t="shared" ca="1" si="1"/>
        <v>#REF!</v>
      </c>
      <c r="L7" s="212" t="e">
        <f t="shared" ca="1" si="1"/>
        <v>#REF!</v>
      </c>
      <c r="M7" s="212" t="e">
        <f ca="1">INDIRECT("'"&amp;M2&amp;"'!"&amp;M3)</f>
        <v>#REF!</v>
      </c>
      <c r="N7" s="212" t="e">
        <f t="shared" ca="1" si="1"/>
        <v>#REF!</v>
      </c>
      <c r="O7" s="212" t="e">
        <f t="shared" ca="1" si="1"/>
        <v>#REF!</v>
      </c>
      <c r="P7" s="212" t="e">
        <f t="shared" ca="1" si="1"/>
        <v>#REF!</v>
      </c>
      <c r="Q7" s="212" t="e">
        <f t="shared" ca="1" si="1"/>
        <v>#REF!</v>
      </c>
      <c r="R7" s="212" t="e">
        <f t="shared" ca="1" si="1"/>
        <v>#REF!</v>
      </c>
      <c r="S7" s="212" t="e">
        <f t="shared" ca="1" si="1"/>
        <v>#REF!</v>
      </c>
      <c r="T7" s="212" t="e">
        <f t="shared" ca="1" si="1"/>
        <v>#REF!</v>
      </c>
      <c r="U7" s="212" t="e">
        <f t="shared" ca="1" si="1"/>
        <v>#REF!</v>
      </c>
      <c r="V7" s="212" t="e">
        <f ca="1">INDIRECT("'"&amp;V2&amp;"'!"&amp;V3)</f>
        <v>#REF!</v>
      </c>
      <c r="W7" s="212" t="e">
        <f ca="1">INDIRECT("'"&amp;W2&amp;"'!"&amp;W3)</f>
        <v>#REF!</v>
      </c>
      <c r="X7" s="212" t="e">
        <f t="shared" ca="1" si="1"/>
        <v>#REF!</v>
      </c>
      <c r="Y7" s="212" t="e">
        <f t="shared" ca="1" si="1"/>
        <v>#REF!</v>
      </c>
    </row>
  </sheetData>
  <phoneticPr fontId="8"/>
  <conditionalFormatting sqref="A7:Y1048576">
    <cfRule type="expression" dxfId="0" priority="2">
      <formula>$A7&lt;&gt;""</formula>
    </cfRule>
  </conditionalFormatting>
  <printOptions horizontalCentered="1" headings="1"/>
  <pageMargins left="0" right="0" top="0.74803149606299213" bottom="0.74803149606299213" header="0.31496062992125984" footer="0.31496062992125984"/>
  <pageSetup paperSize="9" scale="68" orientation="landscape" r:id="rId1"/>
  <headerFooter scaleWithDoc="0" alignWithMargins="0">
    <oddHeader>&amp;L&amp;F　　　　&amp;A　ワークシート</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f1c0b01a0056fe45ab1ae258a153f01c">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0128479f4b62af9226533c35c105e61"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F23048-01C6-48F6-9D29-B3BB30BB5D16}">
  <ds:schemaRefs>
    <ds:schemaRef ds:uri="85e6e18b-26c1-4122-9e79-e6c53ac26d53"/>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0d08088d-5390-484d-8b3a-e28c518d54ac"/>
  </ds:schemaRefs>
</ds:datastoreItem>
</file>

<file path=customXml/itemProps2.xml><?xml version="1.0" encoding="utf-8"?>
<ds:datastoreItem xmlns:ds="http://schemas.openxmlformats.org/officeDocument/2006/customXml" ds:itemID="{6070FEEF-8510-40A7-9FBD-0FD14E435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DB3EC6-64A0-412D-A354-6CE58A0F7D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01（学校名入力）</vt:lpstr>
      <vt:lpstr>02（様式１）令18条第３号の協議申請書</vt:lpstr>
      <vt:lpstr>03（様式2）令18条第４号の協議申請書 </vt:lpstr>
      <vt:lpstr>04（様式３）履修証明書</vt:lpstr>
      <vt:lpstr>05（様式４）単位数の新旧対照表 </vt:lpstr>
      <vt:lpstr>06（様式５）教科内容対比表</vt:lpstr>
      <vt:lpstr>07（様式６）臨地実習確認表</vt:lpstr>
      <vt:lpstr>1行化シート</vt:lpstr>
      <vt:lpstr>'01（学校名入力）'!Print_Area</vt:lpstr>
      <vt:lpstr>'02（様式１）令18条第３号の協議申請書'!Print_Area</vt:lpstr>
      <vt:lpstr>'03（様式2）令18条第４号の協議申請書 '!Print_Area</vt:lpstr>
      <vt:lpstr>'04（様式３）履修証明書'!Print_Area</vt:lpstr>
      <vt:lpstr>'05（様式４）単位数の新旧対照表 '!Print_Area</vt:lpstr>
      <vt:lpstr>'06（様式５）教科内容対比表'!Print_Area</vt:lpstr>
      <vt:lpstr>'07（様式６）臨地実習確認表'!Print_Area</vt:lpstr>
      <vt:lpstr>'06（様式５）教科内容対比表'!Print_Titles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