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filterPrivacy="1" codeName="ThisWorkbook"/>
  <xr:revisionPtr revIDLastSave="3" documentId="13_ncr:1_{11F33D6E-24B0-4A64-9146-2F99E2A601F9}" xr6:coauthVersionLast="47" xr6:coauthVersionMax="47" xr10:uidLastSave="{1D21E378-FE45-4A07-A34B-5367C4F5AAE1}"/>
  <bookViews>
    <workbookView xWindow="-108" yWindow="-108" windowWidth="23256" windowHeight="12456" tabRatio="1000" firstSheet="18" activeTab="18" xr2:uid="{00000000-000D-0000-FFFF-FFFF00000000}"/>
  </bookViews>
  <sheets>
    <sheet name="Sheet1" sheetId="459" state="hidden" r:id="rId1"/>
    <sheet name="様式リスト" sheetId="531" state="hidden" r:id="rId2"/>
    <sheet name="第1号様式 " sheetId="445" state="hidden" r:id="rId3"/>
    <sheet name="申請書様式⇒" sheetId="482" state="hidden" r:id="rId4"/>
    <sheet name="第2号様式" sheetId="362" state="hidden" r:id="rId5"/>
    <sheet name="第2号様式別紙1-1（所要額調書、対象経費内訳）" sheetId="523" state="hidden" r:id="rId6"/>
    <sheet name="第2号様式別紙1-2（所要額調書、対象経費内訳 ）（医師）" sheetId="524" state="hidden" r:id="rId7"/>
    <sheet name="【記載例】第2号様式別紙1（所要額調書、対象経費内訳）" sheetId="488" state="hidden" r:id="rId8"/>
    <sheet name="基準額算出（特定行為）" sheetId="335" state="hidden" r:id="rId9"/>
    <sheet name="第2号様式別紙2-1（臨床研修（医師）事業計画書）" sheetId="528" state="hidden" r:id="rId10"/>
    <sheet name="第2号様式別紙2-1（臨床研修（医師）事業計画書）附表A1" sheetId="525" state="hidden" r:id="rId11"/>
    <sheet name="第2号様式別紙2-1（臨床研修（医師）事業計画書）附表A2" sheetId="526" state="hidden" r:id="rId12"/>
    <sheet name="第2号様式別紙2-2（臨床研修（医師）事業計画書）" sheetId="355" state="hidden" r:id="rId13"/>
    <sheet name="第2号様式別紙2-3（臨床研修（医師）事業計画書）" sheetId="356" state="hidden" r:id="rId14"/>
    <sheet name="基準額算出（臨床研修（医師））" sheetId="353" state="hidden" r:id="rId15"/>
    <sheet name="第2号様式別紙2-4（臨床研修（医師）事業計画書）" sheetId="529" state="hidden" r:id="rId16"/>
    <sheet name="第2号様式別紙2-5（臨床研修（医師）事業計画書）" sheetId="530" state="hidden" r:id="rId17"/>
    <sheet name="基準額算出（臨床研修（歯科））" sheetId="337" state="hidden" r:id="rId18"/>
    <sheet name="第3号様式" sheetId="448" r:id="rId19"/>
    <sheet name="別紙様式 3-2" sheetId="450" state="hidden" r:id="rId20"/>
    <sheet name="別紙様式 3-３" sheetId="452" state="hidden" r:id="rId21"/>
    <sheet name="精算書様式⇒" sheetId="483" state="hidden" r:id="rId22"/>
    <sheet name="第4号様式" sheetId="429" state="hidden" r:id="rId23"/>
    <sheet name="第4号様式別紙1-1（精算書、対象経費内訳）" sheetId="481" state="hidden" r:id="rId24"/>
    <sheet name="第4号様式別紙1-2（精算書、対象経費内訳 ）（医師）" sheetId="532" state="hidden" r:id="rId25"/>
    <sheet name="【記載例】第4号様式別紙1（精算書、対象経費内訳）" sheetId="491" state="hidden" r:id="rId26"/>
    <sheet name="基準額算出（特定行為精算）" sheetId="390" state="hidden" r:id="rId27"/>
    <sheet name="第2号様式別紙2-1（臨床研修（医師）実績報告）" sheetId="537" state="hidden" r:id="rId28"/>
    <sheet name="第4号様式別紙2-1（臨床研修（医師）実績報告）附表 A1" sheetId="533" state="hidden" r:id="rId29"/>
    <sheet name="第4号様式別紙2-1（臨床研修（医師）実績報告）附表 A2" sheetId="534" state="hidden" r:id="rId30"/>
    <sheet name="第4号様式別紙2-2（臨床研修（医師）実績報告）" sheetId="403" state="hidden" r:id="rId31"/>
    <sheet name="第4号様式別紙2-3（臨床研修（医師）実績報告）" sheetId="404" state="hidden" r:id="rId32"/>
    <sheet name="基準額算出（臨床研修（医師）精算）" sheetId="401" state="hidden" r:id="rId33"/>
    <sheet name="第4号様式別紙2-4（臨床研修（医師）実績報告）" sheetId="535" state="hidden" r:id="rId34"/>
    <sheet name="第4号様式別紙2-5（臨床研修（医師）実績報告）" sheetId="536" state="hidden" r:id="rId35"/>
    <sheet name="★総括表(歯科)_交付決定転記用(非表示)" sheetId="522" state="hidden" r:id="rId36"/>
    <sheet name="★総括表(歯科)_確定転記用（非表示設定）" sheetId="520" state="hidden" r:id="rId37"/>
    <sheet name="基準額算出（臨床研修（歯科）精算）" sheetId="408" state="hidden" r:id="rId38"/>
  </sheets>
  <externalReferences>
    <externalReference r:id="rId39"/>
    <externalReference r:id="rId40"/>
    <externalReference r:id="rId41"/>
    <externalReference r:id="rId42"/>
    <externalReference r:id="rId43"/>
  </externalReferences>
  <definedNames>
    <definedName name="_xlnm._FilterDatabase" localSheetId="36" hidden="1">'★総括表(歯科)_確定転記用（非表示設定）'!$A$1:$AH$6</definedName>
    <definedName name="_xlnm._FilterDatabase" localSheetId="35" hidden="1">'★総括表(歯科)_交付決定転記用(非表示)'!$B$4:$AY$259</definedName>
    <definedName name="_Key1" localSheetId="7" hidden="1">#REF!</definedName>
    <definedName name="_Key1" localSheetId="25" hidden="1">#REF!</definedName>
    <definedName name="_Key1" localSheetId="5" hidden="1">#REF!</definedName>
    <definedName name="_Key1" localSheetId="6" hidden="1">#REF!</definedName>
    <definedName name="_Key1" localSheetId="9" hidden="1">#REF!</definedName>
    <definedName name="_Key1" localSheetId="10" hidden="1">#REF!</definedName>
    <definedName name="_Key1" localSheetId="11" hidden="1">#REF!</definedName>
    <definedName name="_Key1" localSheetId="27" hidden="1">#REF!</definedName>
    <definedName name="_Key1" localSheetId="15" hidden="1">#REF!</definedName>
    <definedName name="_Key1" localSheetId="16" hidden="1">#REF!</definedName>
    <definedName name="_Key1" localSheetId="24" hidden="1">#REF!</definedName>
    <definedName name="_Key1" localSheetId="28" hidden="1">#REF!</definedName>
    <definedName name="_Key1" localSheetId="29" hidden="1">#REF!</definedName>
    <definedName name="_Key1" localSheetId="33" hidden="1">#REF!</definedName>
    <definedName name="_Key1" localSheetId="34" hidden="1">#REF!</definedName>
    <definedName name="_Key1" localSheetId="19" hidden="1">#REF!</definedName>
    <definedName name="_Key1" localSheetId="20" hidden="1">#REF!</definedName>
    <definedName name="_Key1" localSheetId="1" hidden="1">#REF!</definedName>
    <definedName name="_Key1" hidden="1">#REF!</definedName>
    <definedName name="_Key2" localSheetId="7" hidden="1">#REF!</definedName>
    <definedName name="_Key2" localSheetId="25" hidden="1">#REF!</definedName>
    <definedName name="_Key2" localSheetId="5" hidden="1">#REF!</definedName>
    <definedName name="_Key2" localSheetId="6" hidden="1">#REF!</definedName>
    <definedName name="_Key2" localSheetId="9" hidden="1">#REF!</definedName>
    <definedName name="_Key2" localSheetId="10" hidden="1">#REF!</definedName>
    <definedName name="_Key2" localSheetId="11" hidden="1">#REF!</definedName>
    <definedName name="_Key2" localSheetId="27" hidden="1">#REF!</definedName>
    <definedName name="_Key2" localSheetId="15" hidden="1">#REF!</definedName>
    <definedName name="_Key2" localSheetId="16" hidden="1">#REF!</definedName>
    <definedName name="_Key2" localSheetId="24" hidden="1">#REF!</definedName>
    <definedName name="_Key2" localSheetId="28" hidden="1">#REF!</definedName>
    <definedName name="_Key2" localSheetId="29" hidden="1">#REF!</definedName>
    <definedName name="_Key2" localSheetId="33" hidden="1">#REF!</definedName>
    <definedName name="_Key2" localSheetId="34" hidden="1">#REF!</definedName>
    <definedName name="_Key2" localSheetId="19" hidden="1">#REF!</definedName>
    <definedName name="_Key2" localSheetId="20" hidden="1">#REF!</definedName>
    <definedName name="_Key2" localSheetId="1" hidden="1">#REF!</definedName>
    <definedName name="_Key2" hidden="1">#REF!</definedName>
    <definedName name="_Order1" hidden="1">255</definedName>
    <definedName name="_Order2" hidden="1">255</definedName>
    <definedName name="_Sort" localSheetId="7" hidden="1">#REF!</definedName>
    <definedName name="_Sort" localSheetId="25" hidden="1">#REF!</definedName>
    <definedName name="_Sort" localSheetId="5" hidden="1">#REF!</definedName>
    <definedName name="_Sort" localSheetId="6" hidden="1">#REF!</definedName>
    <definedName name="_Sort" localSheetId="9" hidden="1">#REF!</definedName>
    <definedName name="_Sort" localSheetId="10" hidden="1">#REF!</definedName>
    <definedName name="_Sort" localSheetId="11" hidden="1">#REF!</definedName>
    <definedName name="_Sort" localSheetId="27" hidden="1">#REF!</definedName>
    <definedName name="_Sort" localSheetId="15" hidden="1">#REF!</definedName>
    <definedName name="_Sort" localSheetId="16" hidden="1">#REF!</definedName>
    <definedName name="_Sort" localSheetId="24" hidden="1">#REF!</definedName>
    <definedName name="_Sort" localSheetId="28" hidden="1">#REF!</definedName>
    <definedName name="_Sort" localSheetId="29" hidden="1">#REF!</definedName>
    <definedName name="_Sort" localSheetId="33" hidden="1">#REF!</definedName>
    <definedName name="_Sort" localSheetId="34" hidden="1">#REF!</definedName>
    <definedName name="_Sort" localSheetId="19" hidden="1">#REF!</definedName>
    <definedName name="_Sort" localSheetId="20" hidden="1">#REF!</definedName>
    <definedName name="_Sort" localSheetId="1" hidden="1">#REF!</definedName>
    <definedName name="_Sort" hidden="1">#REF!</definedName>
    <definedName name="a" hidden="1">#REF!</definedName>
    <definedName name="aa" hidden="1">#REF!</definedName>
    <definedName name="aaa" localSheetId="5" hidden="1">#REF!</definedName>
    <definedName name="aaa" localSheetId="6" hidden="1">#REF!</definedName>
    <definedName name="aaa" localSheetId="9" hidden="1">#REF!</definedName>
    <definedName name="aaa" localSheetId="10" hidden="1">#REF!</definedName>
    <definedName name="aaa" localSheetId="11" hidden="1">#REF!</definedName>
    <definedName name="aaa" localSheetId="27" hidden="1">#REF!</definedName>
    <definedName name="aaa" localSheetId="15" hidden="1">#REF!</definedName>
    <definedName name="aaa" localSheetId="16" hidden="1">#REF!</definedName>
    <definedName name="aaa" localSheetId="24" hidden="1">#REF!</definedName>
    <definedName name="aaa" localSheetId="28" hidden="1">#REF!</definedName>
    <definedName name="aaa" localSheetId="29" hidden="1">#REF!</definedName>
    <definedName name="aaa" localSheetId="33" hidden="1">#REF!</definedName>
    <definedName name="aaa" localSheetId="34" hidden="1">#REF!</definedName>
    <definedName name="aaa" localSheetId="1" hidden="1">#REF!</definedName>
    <definedName name="aaa" hidden="1">#REF!</definedName>
    <definedName name="aaaa" hidden="1">#REF!</definedName>
    <definedName name="aaaaa" hidden="1">#REF!</definedName>
    <definedName name="aaaaaa" hidden="1">#REF!</definedName>
    <definedName name="aaaaaaa" hidden="1">#REF!</definedName>
    <definedName name="aaaaaaaa" hidden="1">#REF!</definedName>
    <definedName name="aaaaaaaaa" hidden="1">#REF!</definedName>
    <definedName name="aaaaaaaaaaaaaaaaaa" localSheetId="7" hidden="1">#REF!</definedName>
    <definedName name="aaaaaaaaaaaaaaaaaa" localSheetId="25" hidden="1">#REF!</definedName>
    <definedName name="aaaaaaaaaaaaaaaaaa" localSheetId="5" hidden="1">#REF!</definedName>
    <definedName name="aaaaaaaaaaaaaaaaaa" localSheetId="6" hidden="1">#REF!</definedName>
    <definedName name="aaaaaaaaaaaaaaaaaa" localSheetId="9" hidden="1">#REF!</definedName>
    <definedName name="aaaaaaaaaaaaaaaaaa" localSheetId="10" hidden="1">#REF!</definedName>
    <definedName name="aaaaaaaaaaaaaaaaaa" localSheetId="11" hidden="1">#REF!</definedName>
    <definedName name="aaaaaaaaaaaaaaaaaa" localSheetId="27" hidden="1">#REF!</definedName>
    <definedName name="aaaaaaaaaaaaaaaaaa" localSheetId="15" hidden="1">#REF!</definedName>
    <definedName name="aaaaaaaaaaaaaaaaaa" localSheetId="16" hidden="1">#REF!</definedName>
    <definedName name="aaaaaaaaaaaaaaaaaa" localSheetId="24" hidden="1">#REF!</definedName>
    <definedName name="aaaaaaaaaaaaaaaaaa" localSheetId="28" hidden="1">#REF!</definedName>
    <definedName name="aaaaaaaaaaaaaaaaaa" localSheetId="29" hidden="1">#REF!</definedName>
    <definedName name="aaaaaaaaaaaaaaaaaa" localSheetId="33" hidden="1">#REF!</definedName>
    <definedName name="aaaaaaaaaaaaaaaaaa" localSheetId="34" hidden="1">#REF!</definedName>
    <definedName name="aaaaaaaaaaaaaaaaaa" localSheetId="19" hidden="1">#REF!</definedName>
    <definedName name="aaaaaaaaaaaaaaaaaa" localSheetId="20" hidden="1">#REF!</definedName>
    <definedName name="aaaaaaaaaaaaaaaaaa" localSheetId="1" hidden="1">#REF!</definedName>
    <definedName name="aaaaaaaaaaaaaaaaaa" hidden="1">#REF!</definedName>
    <definedName name="d" hidden="1">#REF!</definedName>
    <definedName name="dd" hidden="1">#REF!</definedName>
    <definedName name="ddd" hidden="1">#REF!</definedName>
    <definedName name="dddd" hidden="1">#REF!</definedName>
    <definedName name="ddddd" hidden="1">#REF!</definedName>
    <definedName name="dddddd" hidden="1">#REF!</definedName>
    <definedName name="ddddddd" hidden="1">#REF!</definedName>
    <definedName name="ddddddddd" hidden="1">#REF!</definedName>
    <definedName name="dddddddddd" hidden="1">#REF!</definedName>
    <definedName name="f" hidden="1">#REF!</definedName>
    <definedName name="ff" hidden="1">#REF!</definedName>
    <definedName name="fff" hidden="1">#REF!</definedName>
    <definedName name="ffff" hidden="1">#REF!</definedName>
    <definedName name="fffff" hidden="1">#REF!</definedName>
    <definedName name="ffffff" hidden="1">#REF!</definedName>
    <definedName name="fffffff" hidden="1">#REF!</definedName>
    <definedName name="fffffffff" hidden="1">#REF!</definedName>
    <definedName name="ffffffffff" hidden="1">#REF!</definedName>
    <definedName name="ggg" hidden="1">#REF!</definedName>
    <definedName name="ｌ" localSheetId="7" hidden="1">#REF!</definedName>
    <definedName name="ｌ" localSheetId="25" hidden="1">#REF!</definedName>
    <definedName name="ｌ" localSheetId="5" hidden="1">#REF!</definedName>
    <definedName name="ｌ" localSheetId="6" hidden="1">#REF!</definedName>
    <definedName name="ｌ" localSheetId="9" hidden="1">#REF!</definedName>
    <definedName name="ｌ" localSheetId="10" hidden="1">#REF!</definedName>
    <definedName name="ｌ" localSheetId="11" hidden="1">#REF!</definedName>
    <definedName name="ｌ" localSheetId="27" hidden="1">#REF!</definedName>
    <definedName name="ｌ" localSheetId="15" hidden="1">#REF!</definedName>
    <definedName name="ｌ" localSheetId="16" hidden="1">#REF!</definedName>
    <definedName name="ｌ" localSheetId="24" hidden="1">#REF!</definedName>
    <definedName name="ｌ" localSheetId="28" hidden="1">#REF!</definedName>
    <definedName name="ｌ" localSheetId="29" hidden="1">#REF!</definedName>
    <definedName name="ｌ" localSheetId="33" hidden="1">#REF!</definedName>
    <definedName name="ｌ" localSheetId="34" hidden="1">#REF!</definedName>
    <definedName name="ｌ" localSheetId="19" hidden="1">#REF!</definedName>
    <definedName name="ｌ" localSheetId="20" hidden="1">#REF!</definedName>
    <definedName name="ｌ" localSheetId="1" hidden="1">#REF!</definedName>
    <definedName name="ｌ" hidden="1">#REF!</definedName>
    <definedName name="_xlnm.Print_Area" localSheetId="7">'【記載例】第2号様式別紙1（所要額調書、対象経費内訳）'!$A$1:$O$50</definedName>
    <definedName name="_xlnm.Print_Area" localSheetId="25">'【記載例】第4号様式別紙1（精算書、対象経費内訳）'!$A$1:$L$90</definedName>
    <definedName name="_xlnm.Print_Area" localSheetId="36">'★総括表(歯科)_確定転記用（非表示設定）'!$A$1:$AC$14</definedName>
    <definedName name="_xlnm.Print_Area" localSheetId="35">'★総括表(歯科)_交付決定転記用(非表示)'!$B$1:$AM$267</definedName>
    <definedName name="_xlnm.Print_Area" localSheetId="8">'基準額算出（特定行為）'!$A$1:$Y$46</definedName>
    <definedName name="_xlnm.Print_Area" localSheetId="26">'基準額算出（特定行為精算）'!$A$1:$Y$49</definedName>
    <definedName name="_xlnm.Print_Area" localSheetId="14">'基準額算出（臨床研修（医師））'!$A$1:$Y$166</definedName>
    <definedName name="_xlnm.Print_Area" localSheetId="32">'基準額算出（臨床研修（医師）精算）'!$A$1:$Z$166</definedName>
    <definedName name="_xlnm.Print_Area" localSheetId="17">'基準額算出（臨床研修（歯科））'!$A$1:$X$59</definedName>
    <definedName name="_xlnm.Print_Area" localSheetId="37">'基準額算出（臨床研修（歯科）精算）'!$A$1:$X$59</definedName>
    <definedName name="_xlnm.Print_Area" localSheetId="2">'第1号様式 '!$A$1:$N$27</definedName>
    <definedName name="_xlnm.Print_Area" localSheetId="4">第2号様式!$A$1:$I$34</definedName>
    <definedName name="_xlnm.Print_Area" localSheetId="5">'第2号様式別紙1-1（所要額調書、対象経費内訳）'!$B$1:$N$92</definedName>
    <definedName name="_xlnm.Print_Area" localSheetId="6">'第2号様式別紙1-2（所要額調書、対象経費内訳 ）（医師）'!$B$1:$P$93</definedName>
    <definedName name="_xlnm.Print_Area" localSheetId="9">'第2号様式別紙2-1（臨床研修（医師）事業計画書）'!$A$1:$W$44</definedName>
    <definedName name="_xlnm.Print_Area" localSheetId="10">'第2号様式別紙2-1（臨床研修（医師）事業計画書）附表A1'!$A$1:$AE$29</definedName>
    <definedName name="_xlnm.Print_Area" localSheetId="11">'第2号様式別紙2-1（臨床研修（医師）事業計画書）附表A2'!$A$1:$AE$45</definedName>
    <definedName name="_xlnm.Print_Area" localSheetId="27">'第2号様式別紙2-1（臨床研修（医師）実績報告）'!$A$1:$W$44</definedName>
    <definedName name="_xlnm.Print_Area" localSheetId="12">'第2号様式別紙2-2（臨床研修（医師）事業計画書）'!$A$1:$G$37</definedName>
    <definedName name="_xlnm.Print_Area" localSheetId="13">'第2号様式別紙2-3（臨床研修（医師）事業計画書）'!$A$1:$G$27</definedName>
    <definedName name="_xlnm.Print_Area" localSheetId="15">'第2号様式別紙2-4（臨床研修（医師）事業計画書）'!$A$1:$Y$162</definedName>
    <definedName name="_xlnm.Print_Area" localSheetId="16">'第2号様式別紙2-5（臨床研修（医師）事業計画書）'!$A$1:$Y$162</definedName>
    <definedName name="_xlnm.Print_Area" localSheetId="18">第3号様式!$A$1:$T$57</definedName>
    <definedName name="_xlnm.Print_Area" localSheetId="22">第4号様式!$A$1:$I$33</definedName>
    <definedName name="_xlnm.Print_Area" localSheetId="23">'第4号様式別紙1-1（精算書、対象経費内訳）'!$A$1:$N$90</definedName>
    <definedName name="_xlnm.Print_Area" localSheetId="24">'第4号様式別紙1-2（精算書、対象経費内訳 ）（医師）'!$A$1:$Q$91</definedName>
    <definedName name="_xlnm.Print_Area" localSheetId="28">'第4号様式別紙2-1（臨床研修（医師）実績報告）附表 A1'!$A$1:$AE$29</definedName>
    <definedName name="_xlnm.Print_Area" localSheetId="29">'第4号様式別紙2-1（臨床研修（医師）実績報告）附表 A2'!$A$1:$AE$45</definedName>
    <definedName name="_xlnm.Print_Area" localSheetId="30">'第4号様式別紙2-2（臨床研修（医師）実績報告）'!$A$1:$G$35</definedName>
    <definedName name="_xlnm.Print_Area" localSheetId="31">'第4号様式別紙2-3（臨床研修（医師）実績報告）'!$A$1:$G$27</definedName>
    <definedName name="_xlnm.Print_Area" localSheetId="33">'第4号様式別紙2-4（臨床研修（医師）実績報告）'!$A$1:$Y$162</definedName>
    <definedName name="_xlnm.Print_Area" localSheetId="34">'第4号様式別紙2-5（臨床研修（医師）実績報告）'!$A$1:$Y$162</definedName>
    <definedName name="_xlnm.Print_Area" localSheetId="19">'別紙様式 3-2'!$A$1:$T$48</definedName>
    <definedName name="_xlnm.Print_Area" localSheetId="20">'別紙様式 3-３'!$A$1:$T$48</definedName>
    <definedName name="_xlnm.Print_Titles" localSheetId="36">'★総括表(歯科)_確定転記用（非表示設定）'!$B:$J,'★総括表(歯科)_確定転記用（非表示設定）'!$3:$4</definedName>
    <definedName name="_xlnm.Print_Titles" localSheetId="35">'★総括表(歯科)_交付決定転記用(非表示)'!$B:$H,'★総括表(歯科)_交付決定転記用(非表示)'!$3:$4</definedName>
    <definedName name="s" hidden="1">#REF!</definedName>
    <definedName name="ss" hidden="1">#REF!</definedName>
    <definedName name="sss" hidden="1">#REF!</definedName>
    <definedName name="ssss" hidden="1">#REF!</definedName>
    <definedName name="sssss" hidden="1">#REF!</definedName>
    <definedName name="ssssss" hidden="1">#REF!</definedName>
    <definedName name="sssssss" hidden="1">#REF!</definedName>
    <definedName name="ssssssss" hidden="1">#REF!</definedName>
    <definedName name="sssssssss" hidden="1">#REF!</definedName>
    <definedName name="ｗ" localSheetId="5" hidden="1">#REF!</definedName>
    <definedName name="ｗ" localSheetId="6" hidden="1">#REF!</definedName>
    <definedName name="ｗ" localSheetId="9" hidden="1">#REF!</definedName>
    <definedName name="ｗ" localSheetId="10" hidden="1">#REF!</definedName>
    <definedName name="ｗ" localSheetId="11" hidden="1">#REF!</definedName>
    <definedName name="ｗ" localSheetId="27" hidden="1">#REF!</definedName>
    <definedName name="ｗ" localSheetId="15" hidden="1">#REF!</definedName>
    <definedName name="ｗ" localSheetId="16" hidden="1">#REF!</definedName>
    <definedName name="ｗ" localSheetId="24" hidden="1">#REF!</definedName>
    <definedName name="ｗ" localSheetId="28" hidden="1">#REF!</definedName>
    <definedName name="ｗ" localSheetId="29" hidden="1">#REF!</definedName>
    <definedName name="ｗ" localSheetId="33" hidden="1">#REF!</definedName>
    <definedName name="ｗ" localSheetId="34" hidden="1">#REF!</definedName>
    <definedName name="ｗ" localSheetId="1" hidden="1">#REF!</definedName>
    <definedName name="ｗ" hidden="1">#REF!</definedName>
    <definedName name="Z_3B354CA7_5DDB_486E_B190_D1AF122751B8_.wvu.PrintArea" localSheetId="18" hidden="1">第3号様式!$A$1:$T$48</definedName>
    <definedName name="Z_3B354CA7_5DDB_486E_B190_D1AF122751B8_.wvu.PrintArea" localSheetId="19" hidden="1">'別紙様式 3-2'!$A$1:$T$48</definedName>
    <definedName name="Z_3B354CA7_5DDB_486E_B190_D1AF122751B8_.wvu.PrintArea" localSheetId="20" hidden="1">'別紙様式 3-３'!$A$1:$T$48</definedName>
    <definedName name="あ" localSheetId="7" hidden="1">#REF!</definedName>
    <definedName name="あ" localSheetId="25" hidden="1">#REF!</definedName>
    <definedName name="あ" localSheetId="5" hidden="1">#REF!</definedName>
    <definedName name="あ" localSheetId="6" hidden="1">#REF!</definedName>
    <definedName name="あ" localSheetId="9" hidden="1">#REF!</definedName>
    <definedName name="あ" localSheetId="10" hidden="1">#REF!</definedName>
    <definedName name="あ" localSheetId="11" hidden="1">#REF!</definedName>
    <definedName name="あ" localSheetId="27" hidden="1">#REF!</definedName>
    <definedName name="あ" localSheetId="15" hidden="1">#REF!</definedName>
    <definedName name="あ" localSheetId="16" hidden="1">#REF!</definedName>
    <definedName name="あ" localSheetId="24" hidden="1">#REF!</definedName>
    <definedName name="あ" localSheetId="28" hidden="1">#REF!</definedName>
    <definedName name="あ" localSheetId="29" hidden="1">#REF!</definedName>
    <definedName name="あ" localSheetId="33" hidden="1">#REF!</definedName>
    <definedName name="あ" localSheetId="34" hidden="1">#REF!</definedName>
    <definedName name="あ" localSheetId="19" hidden="1">#REF!</definedName>
    <definedName name="あ" localSheetId="20" hidden="1">#REF!</definedName>
    <definedName name="あ" localSheetId="1" hidden="1">#REF!</definedName>
    <definedName name="あ" hidden="1">#REF!</definedName>
    <definedName name="き" localSheetId="7" hidden="1">#REF!</definedName>
    <definedName name="き" localSheetId="25" hidden="1">#REF!</definedName>
    <definedName name="き" localSheetId="5" hidden="1">#REF!</definedName>
    <definedName name="き" localSheetId="6" hidden="1">#REF!</definedName>
    <definedName name="き" localSheetId="9" hidden="1">#REF!</definedName>
    <definedName name="き" localSheetId="10" hidden="1">#REF!</definedName>
    <definedName name="き" localSheetId="11" hidden="1">#REF!</definedName>
    <definedName name="き" localSheetId="27" hidden="1">#REF!</definedName>
    <definedName name="き" localSheetId="15" hidden="1">#REF!</definedName>
    <definedName name="き" localSheetId="16" hidden="1">#REF!</definedName>
    <definedName name="き" localSheetId="24" hidden="1">#REF!</definedName>
    <definedName name="き" localSheetId="28" hidden="1">#REF!</definedName>
    <definedName name="き" localSheetId="29" hidden="1">#REF!</definedName>
    <definedName name="き" localSheetId="33" hidden="1">#REF!</definedName>
    <definedName name="き" localSheetId="34" hidden="1">#REF!</definedName>
    <definedName name="き" localSheetId="1" hidden="1">#REF!</definedName>
    <definedName name="き" hidden="1">#REF!</definedName>
    <definedName name="さいとう" localSheetId="5" hidden="1">#REF!</definedName>
    <definedName name="さいとう" localSheetId="6" hidden="1">#REF!</definedName>
    <definedName name="さいとう" localSheetId="9" hidden="1">#REF!</definedName>
    <definedName name="さいとう" localSheetId="10" hidden="1">#REF!</definedName>
    <definedName name="さいとう" localSheetId="11" hidden="1">#REF!</definedName>
    <definedName name="さいとう" localSheetId="27" hidden="1">#REF!</definedName>
    <definedName name="さいとう" localSheetId="15" hidden="1">#REF!</definedName>
    <definedName name="さいとう" localSheetId="16" hidden="1">#REF!</definedName>
    <definedName name="さいとう" localSheetId="24" hidden="1">#REF!</definedName>
    <definedName name="さいとう" localSheetId="28" hidden="1">#REF!</definedName>
    <definedName name="さいとう" localSheetId="29" hidden="1">#REF!</definedName>
    <definedName name="さいとう" localSheetId="33" hidden="1">#REF!</definedName>
    <definedName name="さいとう" localSheetId="34" hidden="1">#REF!</definedName>
    <definedName name="さいとう" localSheetId="1" hidden="1">#REF!</definedName>
    <definedName name="さいとう" hidden="1">#REF!</definedName>
    <definedName name="っｓ" localSheetId="10" hidden="1">#REF!</definedName>
    <definedName name="っｓ" localSheetId="11" hidden="1">#REF!</definedName>
    <definedName name="っｓ" localSheetId="16" hidden="1">#REF!</definedName>
    <definedName name="っｓ" localSheetId="28" hidden="1">#REF!</definedName>
    <definedName name="っｓ" localSheetId="29" hidden="1">#REF!</definedName>
    <definedName name="っｓ" localSheetId="34" hidden="1">#REF!</definedName>
    <definedName name="っｓ" hidden="1">#REF!</definedName>
    <definedName name="っっっっっｇ" localSheetId="10" hidden="1">#REF!</definedName>
    <definedName name="っっっっっｇ" localSheetId="11" hidden="1">#REF!</definedName>
    <definedName name="っっっっっｇ" localSheetId="16" hidden="1">#REF!</definedName>
    <definedName name="っっっっっｇ" localSheetId="28" hidden="1">#REF!</definedName>
    <definedName name="っっっっっｇ" localSheetId="29" hidden="1">#REF!</definedName>
    <definedName name="っっっっっｇ" localSheetId="34" hidden="1">#REF!</definedName>
    <definedName name="っっっっっｇ" hidden="1">#REF!</definedName>
    <definedName name="別紙１７" localSheetId="7" hidden="1">#REF!</definedName>
    <definedName name="別紙１７" localSheetId="25" hidden="1">#REF!</definedName>
    <definedName name="別紙１７" localSheetId="5" hidden="1">#REF!</definedName>
    <definedName name="別紙１７" localSheetId="6" hidden="1">#REF!</definedName>
    <definedName name="別紙１７" localSheetId="9" hidden="1">#REF!</definedName>
    <definedName name="別紙１７" localSheetId="10" hidden="1">#REF!</definedName>
    <definedName name="別紙１７" localSheetId="11" hidden="1">#REF!</definedName>
    <definedName name="別紙１７" localSheetId="27" hidden="1">#REF!</definedName>
    <definedName name="別紙１７" localSheetId="15" hidden="1">#REF!</definedName>
    <definedName name="別紙１７" localSheetId="16" hidden="1">#REF!</definedName>
    <definedName name="別紙１７" localSheetId="24" hidden="1">#REF!</definedName>
    <definedName name="別紙１７" localSheetId="28" hidden="1">#REF!</definedName>
    <definedName name="別紙１７" localSheetId="29" hidden="1">#REF!</definedName>
    <definedName name="別紙１７" localSheetId="33" hidden="1">#REF!</definedName>
    <definedName name="別紙１７" localSheetId="34" hidden="1">#REF!</definedName>
    <definedName name="別紙１７" localSheetId="19" hidden="1">#REF!</definedName>
    <definedName name="別紙１７" localSheetId="20" hidden="1">#REF!</definedName>
    <definedName name="別紙１７" localSheetId="1" hidden="1">#REF!</definedName>
    <definedName name="別紙１７"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32" l="1"/>
  <c r="A1" i="481"/>
  <c r="A12" i="481" l="1"/>
  <c r="A19" i="481"/>
  <c r="A20" i="481"/>
  <c r="A21" i="481"/>
  <c r="A22" i="481"/>
  <c r="A23" i="481"/>
  <c r="A24" i="481"/>
  <c r="A25" i="481"/>
  <c r="A26" i="481"/>
  <c r="A27" i="481"/>
  <c r="A28" i="481"/>
  <c r="A29" i="481"/>
  <c r="A30" i="481"/>
  <c r="A31" i="481"/>
  <c r="A32" i="481"/>
  <c r="A33" i="481"/>
  <c r="A34" i="481"/>
  <c r="A35" i="481"/>
  <c r="A36" i="481"/>
  <c r="A37" i="481"/>
  <c r="A38" i="481"/>
  <c r="A39" i="481"/>
  <c r="A40" i="481"/>
  <c r="A41" i="481"/>
  <c r="A42" i="481"/>
  <c r="A43" i="481"/>
  <c r="A44" i="481"/>
  <c r="A45" i="481"/>
  <c r="A46" i="481"/>
  <c r="A47" i="481"/>
  <c r="A48" i="481"/>
  <c r="A49" i="481"/>
  <c r="A50" i="481"/>
  <c r="A51" i="481"/>
  <c r="A52" i="481"/>
  <c r="A53" i="481"/>
  <c r="A54" i="481"/>
  <c r="A55" i="481"/>
  <c r="A56" i="481"/>
  <c r="A57" i="481"/>
  <c r="A58" i="481"/>
  <c r="A59" i="481"/>
  <c r="A60" i="481"/>
  <c r="A61" i="481"/>
  <c r="A62" i="481"/>
  <c r="A63" i="481"/>
  <c r="A64" i="481"/>
  <c r="A65" i="481"/>
  <c r="A66" i="481"/>
  <c r="A67" i="481"/>
  <c r="A68" i="481"/>
  <c r="A69" i="481"/>
  <c r="A70" i="481"/>
  <c r="A71" i="481"/>
  <c r="A72" i="481"/>
  <c r="A73" i="481"/>
  <c r="A74" i="481"/>
  <c r="A75" i="481"/>
  <c r="A76" i="481"/>
  <c r="A77" i="481"/>
  <c r="A78" i="481"/>
  <c r="A79" i="481"/>
  <c r="A80" i="481"/>
  <c r="A81" i="481"/>
  <c r="A82" i="481"/>
  <c r="A83" i="481"/>
  <c r="A84" i="481"/>
  <c r="A85" i="481"/>
  <c r="A86" i="481"/>
  <c r="A87" i="481"/>
  <c r="A88" i="481"/>
  <c r="A89" i="481"/>
  <c r="A18" i="481"/>
  <c r="A11" i="481"/>
  <c r="A7" i="448"/>
  <c r="B24" i="448"/>
  <c r="U130" i="530" l="1"/>
  <c r="U133" i="530"/>
  <c r="U137" i="530"/>
  <c r="U142" i="530"/>
  <c r="U146" i="530"/>
  <c r="U148" i="530"/>
  <c r="U147" i="530"/>
  <c r="U144" i="530"/>
  <c r="U143" i="530"/>
  <c r="U139" i="530"/>
  <c r="U138" i="530"/>
  <c r="U135" i="530"/>
  <c r="U134" i="530"/>
  <c r="U146" i="529"/>
  <c r="U142" i="529"/>
  <c r="U137" i="529"/>
  <c r="U133" i="529"/>
  <c r="U134" i="529"/>
  <c r="Q27" i="537"/>
  <c r="U29" i="537"/>
  <c r="U44" i="537" s="1"/>
  <c r="Q29" i="537"/>
  <c r="Q44" i="537" s="1"/>
  <c r="I29" i="537"/>
  <c r="E29" i="537"/>
  <c r="U27" i="537"/>
  <c r="I27" i="537"/>
  <c r="E27" i="537"/>
  <c r="M24" i="537"/>
  <c r="L24" i="537"/>
  <c r="K24" i="537"/>
  <c r="J24" i="537"/>
  <c r="I24" i="537"/>
  <c r="H24" i="537"/>
  <c r="G24" i="537"/>
  <c r="F24" i="537"/>
  <c r="E23" i="537"/>
  <c r="E38" i="537" s="1"/>
  <c r="D23" i="537"/>
  <c r="D38" i="537" s="1"/>
  <c r="C23" i="537"/>
  <c r="C38" i="537" s="1"/>
  <c r="M22" i="537"/>
  <c r="L22" i="537"/>
  <c r="K22" i="537"/>
  <c r="J22" i="537"/>
  <c r="J37" i="537" s="1"/>
  <c r="I22" i="537"/>
  <c r="H22" i="537"/>
  <c r="H37" i="537" s="1"/>
  <c r="G22" i="537"/>
  <c r="F22" i="537"/>
  <c r="E22" i="537"/>
  <c r="D22" i="537"/>
  <c r="C22" i="537"/>
  <c r="E21" i="537"/>
  <c r="D21" i="537"/>
  <c r="C21" i="537"/>
  <c r="I14" i="537"/>
  <c r="E14" i="537"/>
  <c r="I12" i="537"/>
  <c r="E12" i="537"/>
  <c r="D8" i="537"/>
  <c r="D36" i="537" s="1"/>
  <c r="E8" i="537"/>
  <c r="C8" i="537"/>
  <c r="D9" i="537"/>
  <c r="D37" i="537" s="1"/>
  <c r="E9" i="537"/>
  <c r="F9" i="537"/>
  <c r="F37" i="537" s="1"/>
  <c r="G9" i="537"/>
  <c r="H9" i="537"/>
  <c r="I9" i="537"/>
  <c r="J9" i="537"/>
  <c r="K9" i="537"/>
  <c r="L9" i="537"/>
  <c r="L37" i="537" s="1"/>
  <c r="M9" i="537"/>
  <c r="C9" i="537"/>
  <c r="C37" i="537" s="1"/>
  <c r="F39" i="537"/>
  <c r="I37" i="537"/>
  <c r="E42" i="537" s="1"/>
  <c r="M39" i="537"/>
  <c r="U42" i="537" s="1"/>
  <c r="L39" i="537"/>
  <c r="K39" i="537"/>
  <c r="J39" i="537"/>
  <c r="I39" i="537"/>
  <c r="Q42" i="537" s="1"/>
  <c r="H39" i="537"/>
  <c r="G39" i="537"/>
  <c r="E44" i="537"/>
  <c r="K37" i="537"/>
  <c r="E36" i="537"/>
  <c r="D16" i="362"/>
  <c r="A5" i="429"/>
  <c r="D16" i="429"/>
  <c r="B1" i="523"/>
  <c r="U155" i="536"/>
  <c r="AB155" i="536" s="1"/>
  <c r="N154" i="536"/>
  <c r="U158" i="536" s="1"/>
  <c r="AB156" i="536" s="1"/>
  <c r="Q148" i="536"/>
  <c r="U148" i="536" s="1"/>
  <c r="Q134" i="536"/>
  <c r="U134" i="536" s="1"/>
  <c r="U130" i="536"/>
  <c r="Q130" i="536"/>
  <c r="U127" i="536"/>
  <c r="U125" i="536"/>
  <c r="U124" i="536" s="1"/>
  <c r="U121" i="536"/>
  <c r="U114" i="536"/>
  <c r="Q101" i="536"/>
  <c r="U101" i="536" s="1"/>
  <c r="Q99" i="536"/>
  <c r="Q87" i="536"/>
  <c r="Q83" i="536"/>
  <c r="Q81" i="536"/>
  <c r="AB78" i="536"/>
  <c r="Q85" i="536" s="1"/>
  <c r="U71" i="536"/>
  <c r="U70" i="536"/>
  <c r="Q147" i="536" s="1"/>
  <c r="U147" i="536" s="1"/>
  <c r="U69" i="536"/>
  <c r="Q144" i="536" s="1"/>
  <c r="U144" i="536" s="1"/>
  <c r="U68" i="536"/>
  <c r="Q143" i="536" s="1"/>
  <c r="U143" i="536" s="1"/>
  <c r="U66" i="536"/>
  <c r="Q139" i="536" s="1"/>
  <c r="U139" i="536" s="1"/>
  <c r="U65" i="536"/>
  <c r="Q138" i="536" s="1"/>
  <c r="U138" i="536" s="1"/>
  <c r="U64" i="536"/>
  <c r="Q135" i="536" s="1"/>
  <c r="U135" i="536" s="1"/>
  <c r="U63" i="536"/>
  <c r="K48" i="536"/>
  <c r="U41" i="536"/>
  <c r="U42" i="536" s="1"/>
  <c r="AH38" i="536"/>
  <c r="J31" i="536"/>
  <c r="T31" i="536" s="1"/>
  <c r="Q16" i="536"/>
  <c r="Q17" i="536" s="1"/>
  <c r="J26" i="536" s="1"/>
  <c r="T26" i="536" s="1"/>
  <c r="M16" i="536"/>
  <c r="V15" i="536"/>
  <c r="M115" i="536" s="1"/>
  <c r="Q15" i="536"/>
  <c r="J32" i="536" s="1"/>
  <c r="T32" i="536" s="1"/>
  <c r="M15" i="536"/>
  <c r="M17" i="536" s="1"/>
  <c r="J25" i="536" s="1"/>
  <c r="T25" i="536" s="1"/>
  <c r="N6" i="536"/>
  <c r="U158" i="535"/>
  <c r="AB156" i="535" s="1"/>
  <c r="U155" i="535"/>
  <c r="AB155" i="535" s="1"/>
  <c r="N154" i="535"/>
  <c r="Q147" i="535"/>
  <c r="U147" i="535" s="1"/>
  <c r="Q143" i="535"/>
  <c r="U143" i="535" s="1"/>
  <c r="Q139" i="535"/>
  <c r="U139" i="535" s="1"/>
  <c r="Q135" i="535"/>
  <c r="U135" i="535" s="1"/>
  <c r="Q130" i="535"/>
  <c r="U130" i="535" s="1"/>
  <c r="U127" i="535"/>
  <c r="U125" i="535"/>
  <c r="U124" i="535"/>
  <c r="U121" i="535"/>
  <c r="U114" i="535"/>
  <c r="Q99" i="535"/>
  <c r="Q91" i="535"/>
  <c r="Q87" i="535"/>
  <c r="Q81" i="535"/>
  <c r="AB78" i="535"/>
  <c r="Q85" i="535" s="1"/>
  <c r="Z76" i="535"/>
  <c r="U71" i="535"/>
  <c r="Q148" i="535" s="1"/>
  <c r="U148" i="535" s="1"/>
  <c r="U70" i="535"/>
  <c r="U69" i="535"/>
  <c r="Q144" i="535" s="1"/>
  <c r="U144" i="535" s="1"/>
  <c r="U68" i="535"/>
  <c r="U66" i="535"/>
  <c r="U65" i="535"/>
  <c r="Q138" i="535" s="1"/>
  <c r="U138" i="535" s="1"/>
  <c r="U64" i="535"/>
  <c r="U63" i="535"/>
  <c r="Q134" i="535" s="1"/>
  <c r="U134" i="535" s="1"/>
  <c r="K48" i="535"/>
  <c r="U41" i="535"/>
  <c r="U42" i="535" s="1"/>
  <c r="AH33" i="535"/>
  <c r="J31" i="535"/>
  <c r="T31" i="535" s="1"/>
  <c r="Q17" i="535"/>
  <c r="J26" i="535" s="1"/>
  <c r="T26" i="535" s="1"/>
  <c r="Q16" i="535"/>
  <c r="M16" i="535"/>
  <c r="V16" i="535" s="1"/>
  <c r="Q15" i="535"/>
  <c r="J32" i="535" s="1"/>
  <c r="T32" i="535" s="1"/>
  <c r="M15" i="535"/>
  <c r="M17" i="535" s="1"/>
  <c r="J25" i="535" s="1"/>
  <c r="T25" i="535" s="1"/>
  <c r="N6" i="535"/>
  <c r="AH44" i="534"/>
  <c r="X43" i="534"/>
  <c r="X40" i="534"/>
  <c r="AH39" i="534" s="1"/>
  <c r="AB38" i="534"/>
  <c r="AI37" i="534" s="1"/>
  <c r="X38" i="534"/>
  <c r="AH37" i="534" s="1"/>
  <c r="AD35" i="534"/>
  <c r="AB43" i="534" s="1"/>
  <c r="AI44" i="534" s="1"/>
  <c r="AC35" i="534"/>
  <c r="AB35" i="534"/>
  <c r="AA35" i="534"/>
  <c r="AB45" i="534" s="1"/>
  <c r="AI46" i="534" s="1"/>
  <c r="Z35" i="534"/>
  <c r="Y35" i="534"/>
  <c r="X35" i="534"/>
  <c r="W35" i="534"/>
  <c r="X45" i="534" s="1"/>
  <c r="AH46" i="534" s="1"/>
  <c r="V34" i="534"/>
  <c r="AK33" i="534" s="1"/>
  <c r="U34" i="534"/>
  <c r="AJ33" i="534" s="1"/>
  <c r="AD33" i="534"/>
  <c r="AC33" i="534"/>
  <c r="AB33" i="534"/>
  <c r="AA33" i="534"/>
  <c r="AB40" i="534" s="1"/>
  <c r="AI39" i="534" s="1"/>
  <c r="Z33" i="534"/>
  <c r="Y33" i="534"/>
  <c r="X33" i="534"/>
  <c r="W33" i="534"/>
  <c r="V33" i="534"/>
  <c r="U33" i="534"/>
  <c r="T33" i="534"/>
  <c r="V32" i="534"/>
  <c r="U32" i="534"/>
  <c r="S31" i="534"/>
  <c r="R31" i="534"/>
  <c r="Q31" i="534"/>
  <c r="P31" i="534"/>
  <c r="O31" i="534"/>
  <c r="N31" i="534"/>
  <c r="M31" i="534"/>
  <c r="L31" i="534"/>
  <c r="K31" i="534"/>
  <c r="J31" i="534"/>
  <c r="I31" i="534"/>
  <c r="H31" i="534"/>
  <c r="T31" i="534" s="1"/>
  <c r="T30" i="534"/>
  <c r="T29" i="534"/>
  <c r="T28" i="534"/>
  <c r="S27" i="534"/>
  <c r="R27" i="534"/>
  <c r="Q27" i="534"/>
  <c r="P27" i="534"/>
  <c r="O27" i="534"/>
  <c r="N27" i="534"/>
  <c r="M27" i="534"/>
  <c r="L27" i="534"/>
  <c r="K27" i="534"/>
  <c r="J27" i="534"/>
  <c r="I27" i="534"/>
  <c r="T27" i="534" s="1"/>
  <c r="H27" i="534"/>
  <c r="T26" i="534"/>
  <c r="T25" i="534"/>
  <c r="T24" i="534"/>
  <c r="S23" i="534"/>
  <c r="R23" i="534"/>
  <c r="Q23" i="534"/>
  <c r="P23" i="534"/>
  <c r="O23" i="534"/>
  <c r="N23" i="534"/>
  <c r="M23" i="534"/>
  <c r="L23" i="534"/>
  <c r="K23" i="534"/>
  <c r="J23" i="534"/>
  <c r="I23" i="534"/>
  <c r="T23" i="534" s="1"/>
  <c r="H23" i="534"/>
  <c r="T22" i="534"/>
  <c r="T21" i="534"/>
  <c r="T20" i="534"/>
  <c r="S19" i="534"/>
  <c r="R19" i="534"/>
  <c r="Q19" i="534"/>
  <c r="P19" i="534"/>
  <c r="O19" i="534"/>
  <c r="N19" i="534"/>
  <c r="M19" i="534"/>
  <c r="L19" i="534"/>
  <c r="K19" i="534"/>
  <c r="J19" i="534"/>
  <c r="I19" i="534"/>
  <c r="T19" i="534" s="1"/>
  <c r="H19" i="534"/>
  <c r="T18" i="534"/>
  <c r="T34" i="534" s="1"/>
  <c r="AI33" i="534" s="1"/>
  <c r="AI17" i="534"/>
  <c r="T17" i="534"/>
  <c r="T16" i="534"/>
  <c r="T32" i="534" s="1"/>
  <c r="AJ15" i="534"/>
  <c r="AI15" i="534"/>
  <c r="AH15" i="534"/>
  <c r="B8" i="534"/>
  <c r="AD25" i="533"/>
  <c r="AB27" i="533" s="1"/>
  <c r="AJ21" i="533" s="1"/>
  <c r="AC25" i="533"/>
  <c r="AB25" i="533"/>
  <c r="AA25" i="533"/>
  <c r="AB29" i="533" s="1"/>
  <c r="AJ23" i="533" s="1"/>
  <c r="Z25" i="533"/>
  <c r="X27" i="533" s="1"/>
  <c r="AI21" i="533" s="1"/>
  <c r="Y25" i="533"/>
  <c r="X25" i="533"/>
  <c r="W25" i="533"/>
  <c r="X29" i="533" s="1"/>
  <c r="AI23" i="533" s="1"/>
  <c r="V25" i="533"/>
  <c r="U25" i="533"/>
  <c r="V24" i="533"/>
  <c r="U24" i="533"/>
  <c r="T23" i="533"/>
  <c r="T22" i="533"/>
  <c r="T21" i="533"/>
  <c r="T20" i="533"/>
  <c r="T19" i="533"/>
  <c r="T18" i="533"/>
  <c r="AJ17" i="533"/>
  <c r="T17" i="533"/>
  <c r="T25" i="533" s="1"/>
  <c r="T16" i="533"/>
  <c r="T24" i="533" s="1"/>
  <c r="AK15" i="533"/>
  <c r="AJ15" i="533"/>
  <c r="AI15" i="533"/>
  <c r="B8" i="533"/>
  <c r="U137" i="536" l="1"/>
  <c r="U133" i="535"/>
  <c r="M37" i="537"/>
  <c r="I42" i="537" s="1"/>
  <c r="C36" i="537"/>
  <c r="I44" i="537"/>
  <c r="E37" i="537"/>
  <c r="G37" i="537"/>
  <c r="U142" i="536"/>
  <c r="U133" i="536"/>
  <c r="Q109" i="536"/>
  <c r="U109" i="536" s="1"/>
  <c r="AB105" i="536"/>
  <c r="Q105" i="536"/>
  <c r="U105" i="536" s="1"/>
  <c r="AB109" i="536"/>
  <c r="U146" i="536"/>
  <c r="U28" i="536"/>
  <c r="U27" i="536"/>
  <c r="V16" i="536"/>
  <c r="V17" i="536"/>
  <c r="Q115" i="536" s="1"/>
  <c r="Z76" i="536"/>
  <c r="Q91" i="536"/>
  <c r="U77" i="536"/>
  <c r="U76" i="536" s="1"/>
  <c r="Q93" i="536"/>
  <c r="Q95" i="536"/>
  <c r="Q79" i="536"/>
  <c r="Q97" i="536"/>
  <c r="U137" i="535"/>
  <c r="AB109" i="535"/>
  <c r="Q109" i="535"/>
  <c r="U109" i="535" s="1"/>
  <c r="AB105" i="535"/>
  <c r="Q105" i="535"/>
  <c r="U105" i="535" s="1"/>
  <c r="U142" i="535"/>
  <c r="U28" i="535"/>
  <c r="U27" i="535"/>
  <c r="U146" i="535"/>
  <c r="U77" i="535"/>
  <c r="Q93" i="535"/>
  <c r="V15" i="535"/>
  <c r="Q95" i="535"/>
  <c r="Q79" i="535"/>
  <c r="Q97" i="535"/>
  <c r="Q83" i="535"/>
  <c r="Q14" i="532"/>
  <c r="F91" i="532"/>
  <c r="F12" i="532" s="1"/>
  <c r="F14" i="532" s="1"/>
  <c r="P14" i="532"/>
  <c r="M14" i="532"/>
  <c r="D14" i="532"/>
  <c r="C14" i="532"/>
  <c r="J13" i="532"/>
  <c r="E13" i="532"/>
  <c r="K13" i="532" s="1"/>
  <c r="L13" i="532" s="1"/>
  <c r="I14" i="532"/>
  <c r="E12" i="532"/>
  <c r="K12" i="532" s="1"/>
  <c r="L12" i="532" s="1"/>
  <c r="T6" i="532"/>
  <c r="B12" i="523"/>
  <c r="B11" i="523"/>
  <c r="A5" i="362"/>
  <c r="B5" i="523"/>
  <c r="B20" i="524"/>
  <c r="B21" i="524"/>
  <c r="B22" i="524"/>
  <c r="B23" i="524"/>
  <c r="B24" i="524"/>
  <c r="B25" i="524"/>
  <c r="B26" i="524"/>
  <c r="B27" i="524"/>
  <c r="B28" i="524"/>
  <c r="B29" i="524"/>
  <c r="B30" i="524"/>
  <c r="B31" i="524"/>
  <c r="B19" i="524"/>
  <c r="B19" i="523"/>
  <c r="B20" i="523"/>
  <c r="B21" i="523"/>
  <c r="B22" i="523"/>
  <c r="B23" i="523"/>
  <c r="B24" i="523"/>
  <c r="B25" i="523"/>
  <c r="B26" i="523"/>
  <c r="B27" i="523"/>
  <c r="B28" i="523"/>
  <c r="B29" i="523"/>
  <c r="B30" i="523"/>
  <c r="B31" i="523"/>
  <c r="B32" i="523"/>
  <c r="B33" i="523"/>
  <c r="B34" i="523"/>
  <c r="B35" i="523"/>
  <c r="B36" i="523"/>
  <c r="B37" i="523"/>
  <c r="B38" i="523"/>
  <c r="B39" i="523"/>
  <c r="B40" i="523"/>
  <c r="B41" i="523"/>
  <c r="B42" i="523"/>
  <c r="B43" i="523"/>
  <c r="B44" i="523"/>
  <c r="B45" i="523"/>
  <c r="B46" i="523"/>
  <c r="B47" i="523"/>
  <c r="B48" i="523"/>
  <c r="B49" i="523"/>
  <c r="B50" i="523"/>
  <c r="B51" i="523"/>
  <c r="B52" i="523"/>
  <c r="B53" i="523"/>
  <c r="B54" i="523"/>
  <c r="B55" i="523"/>
  <c r="B56" i="523"/>
  <c r="B57" i="523"/>
  <c r="B58" i="523"/>
  <c r="B59" i="523"/>
  <c r="B60" i="523"/>
  <c r="B61" i="523"/>
  <c r="B62" i="523"/>
  <c r="B63" i="523"/>
  <c r="B64" i="523"/>
  <c r="B65" i="523"/>
  <c r="B66" i="523"/>
  <c r="B67" i="523"/>
  <c r="B68" i="523"/>
  <c r="B69" i="523"/>
  <c r="B70" i="523"/>
  <c r="B71" i="523"/>
  <c r="B72" i="523"/>
  <c r="B73" i="523"/>
  <c r="B74" i="523"/>
  <c r="B75" i="523"/>
  <c r="B76" i="523"/>
  <c r="B77" i="523"/>
  <c r="B78" i="523"/>
  <c r="B79" i="523"/>
  <c r="B80" i="523"/>
  <c r="B81" i="523"/>
  <c r="B82" i="523"/>
  <c r="B83" i="523"/>
  <c r="B84" i="523"/>
  <c r="B85" i="523"/>
  <c r="B86" i="523"/>
  <c r="B87" i="523"/>
  <c r="B88" i="523"/>
  <c r="B89" i="523"/>
  <c r="B18" i="523"/>
  <c r="Q114" i="536" l="1"/>
  <c r="AA114" i="536" s="1"/>
  <c r="Q112" i="536"/>
  <c r="U120" i="536"/>
  <c r="U151" i="536" s="1"/>
  <c r="Q114" i="535"/>
  <c r="AA114" i="535" s="1"/>
  <c r="U120" i="535"/>
  <c r="Q112" i="535"/>
  <c r="Q120" i="535"/>
  <c r="Q101" i="535"/>
  <c r="U101" i="535" s="1"/>
  <c r="V17" i="535"/>
  <c r="Q115" i="535" s="1"/>
  <c r="M115" i="535"/>
  <c r="U76" i="535"/>
  <c r="U151" i="535" s="1"/>
  <c r="L14" i="532"/>
  <c r="J12" i="532"/>
  <c r="J14" i="532" s="1"/>
  <c r="E14" i="532"/>
  <c r="K14" i="532"/>
  <c r="N154" i="530"/>
  <c r="U71" i="530"/>
  <c r="Q148" i="530" s="1"/>
  <c r="U70" i="530"/>
  <c r="U69" i="530"/>
  <c r="U68" i="530"/>
  <c r="U66" i="530"/>
  <c r="U65" i="530"/>
  <c r="U64" i="530"/>
  <c r="Q135" i="530" s="1"/>
  <c r="U63" i="530"/>
  <c r="AH38" i="530"/>
  <c r="Q16" i="530"/>
  <c r="M16" i="530"/>
  <c r="Q15" i="530"/>
  <c r="M15" i="530"/>
  <c r="V15" i="530" s="1"/>
  <c r="Q101" i="530" s="1"/>
  <c r="U101" i="530" s="1"/>
  <c r="N6" i="530"/>
  <c r="U158" i="530"/>
  <c r="AB156" i="530" s="1"/>
  <c r="U155" i="530"/>
  <c r="AB155" i="530" s="1"/>
  <c r="Q143" i="530"/>
  <c r="Q130" i="530"/>
  <c r="U127" i="530"/>
  <c r="U125" i="530"/>
  <c r="U124" i="530"/>
  <c r="U121" i="530"/>
  <c r="U114" i="530"/>
  <c r="Q87" i="530"/>
  <c r="Q85" i="530"/>
  <c r="AB78" i="530"/>
  <c r="Q83" i="530" s="1"/>
  <c r="Q147" i="530"/>
  <c r="Q144" i="530"/>
  <c r="Q139" i="530"/>
  <c r="Q138" i="530"/>
  <c r="Q134" i="530"/>
  <c r="K48" i="530"/>
  <c r="U41" i="530"/>
  <c r="U42" i="530" s="1"/>
  <c r="Q17" i="530"/>
  <c r="J26" i="530" s="1"/>
  <c r="T26" i="530" s="1"/>
  <c r="V16" i="530"/>
  <c r="J32" i="530"/>
  <c r="T32" i="530" s="1"/>
  <c r="B8" i="526"/>
  <c r="B8" i="525"/>
  <c r="B90" i="524"/>
  <c r="B89" i="524"/>
  <c r="B88" i="524"/>
  <c r="B87" i="524"/>
  <c r="B86" i="524"/>
  <c r="B85" i="524"/>
  <c r="B84" i="524"/>
  <c r="B83" i="524"/>
  <c r="B82" i="524"/>
  <c r="B81" i="524"/>
  <c r="B80" i="524"/>
  <c r="B79" i="524"/>
  <c r="B78" i="524"/>
  <c r="B77" i="524"/>
  <c r="B76" i="524"/>
  <c r="B75" i="524"/>
  <c r="B74" i="524"/>
  <c r="B73" i="524"/>
  <c r="B72" i="524"/>
  <c r="B71" i="524"/>
  <c r="B70" i="524"/>
  <c r="B69" i="524"/>
  <c r="B68" i="524"/>
  <c r="B67" i="524"/>
  <c r="B66" i="524"/>
  <c r="B65" i="524"/>
  <c r="B64" i="524"/>
  <c r="B63" i="524"/>
  <c r="B62" i="524"/>
  <c r="B61" i="524"/>
  <c r="B60" i="524"/>
  <c r="B59" i="524"/>
  <c r="B58" i="524"/>
  <c r="B57" i="524"/>
  <c r="B56" i="524"/>
  <c r="B55" i="524"/>
  <c r="B54" i="524"/>
  <c r="B53" i="524"/>
  <c r="B52" i="524"/>
  <c r="B51" i="524"/>
  <c r="B50" i="524"/>
  <c r="B49" i="524"/>
  <c r="B48" i="524"/>
  <c r="B47" i="524"/>
  <c r="B46" i="524"/>
  <c r="B45" i="524"/>
  <c r="B44" i="524"/>
  <c r="B43" i="524"/>
  <c r="B42" i="524"/>
  <c r="B41" i="524"/>
  <c r="B40" i="524"/>
  <c r="B39" i="524"/>
  <c r="B38" i="524"/>
  <c r="B37" i="524"/>
  <c r="B36" i="524"/>
  <c r="B35" i="524"/>
  <c r="B34" i="524"/>
  <c r="B33" i="524"/>
  <c r="B32" i="524"/>
  <c r="K13" i="524"/>
  <c r="S6" i="524"/>
  <c r="Q6" i="523"/>
  <c r="N6" i="529"/>
  <c r="N154" i="529"/>
  <c r="U158" i="529" s="1"/>
  <c r="AB156" i="529" s="1"/>
  <c r="U71" i="529"/>
  <c r="Q148" i="529" s="1"/>
  <c r="U148" i="529" s="1"/>
  <c r="U70" i="529"/>
  <c r="Q147" i="529" s="1"/>
  <c r="U147" i="529" s="1"/>
  <c r="U69" i="529"/>
  <c r="U68" i="529"/>
  <c r="U66" i="529"/>
  <c r="Q139" i="529" s="1"/>
  <c r="U139" i="529" s="1"/>
  <c r="U65" i="529"/>
  <c r="U64" i="529"/>
  <c r="U63" i="529"/>
  <c r="AH33" i="529"/>
  <c r="Q16" i="529"/>
  <c r="V16" i="529" s="1"/>
  <c r="M16" i="529"/>
  <c r="Q15" i="529"/>
  <c r="M15" i="529"/>
  <c r="J31" i="529" s="1"/>
  <c r="T31" i="529" s="1"/>
  <c r="U155" i="529"/>
  <c r="AB155" i="529" s="1"/>
  <c r="Q143" i="529"/>
  <c r="U143" i="529" s="1"/>
  <c r="Q138" i="529"/>
  <c r="U138" i="529" s="1"/>
  <c r="Q135" i="529"/>
  <c r="U135" i="529" s="1"/>
  <c r="Q130" i="529"/>
  <c r="U130" i="529" s="1"/>
  <c r="U127" i="529"/>
  <c r="U125" i="529"/>
  <c r="U124" i="529"/>
  <c r="U121" i="529"/>
  <c r="U114" i="529"/>
  <c r="Q87" i="529"/>
  <c r="AB78" i="529"/>
  <c r="Q85" i="529" s="1"/>
  <c r="Q144" i="529"/>
  <c r="U144" i="529" s="1"/>
  <c r="Q134" i="529"/>
  <c r="K48" i="529"/>
  <c r="U41" i="529"/>
  <c r="U42" i="529" s="1"/>
  <c r="J32" i="529"/>
  <c r="T32" i="529" s="1"/>
  <c r="U29" i="528"/>
  <c r="U44" i="528" s="1"/>
  <c r="Q29" i="528"/>
  <c r="I29" i="528"/>
  <c r="E29" i="528"/>
  <c r="U27" i="528"/>
  <c r="Q27" i="528"/>
  <c r="I27" i="528"/>
  <c r="E27" i="528"/>
  <c r="M24" i="528"/>
  <c r="L24" i="528"/>
  <c r="L39" i="528" s="1"/>
  <c r="K24" i="528"/>
  <c r="J24" i="528"/>
  <c r="I24" i="528"/>
  <c r="I39" i="528" s="1"/>
  <c r="Q42" i="528" s="1"/>
  <c r="H24" i="528"/>
  <c r="G24" i="528"/>
  <c r="F24" i="528"/>
  <c r="E23" i="528"/>
  <c r="E38" i="528" s="1"/>
  <c r="D23" i="528"/>
  <c r="D38" i="528" s="1"/>
  <c r="C23" i="528"/>
  <c r="M22" i="528"/>
  <c r="L22" i="528"/>
  <c r="L37" i="528" s="1"/>
  <c r="K22" i="528"/>
  <c r="J22" i="528"/>
  <c r="I22" i="528"/>
  <c r="H22" i="528"/>
  <c r="H37" i="528" s="1"/>
  <c r="G22" i="528"/>
  <c r="F22" i="528"/>
  <c r="E22" i="528"/>
  <c r="D22" i="528"/>
  <c r="D37" i="528" s="1"/>
  <c r="C22" i="528"/>
  <c r="E21" i="528"/>
  <c r="D21" i="528"/>
  <c r="C21" i="528"/>
  <c r="I14" i="528"/>
  <c r="I44" i="528" s="1"/>
  <c r="E14" i="528"/>
  <c r="I12" i="528"/>
  <c r="E12" i="528"/>
  <c r="M9" i="528"/>
  <c r="L9" i="528"/>
  <c r="K9" i="528"/>
  <c r="K37" i="528" s="1"/>
  <c r="J9" i="528"/>
  <c r="J37" i="528" s="1"/>
  <c r="I9" i="528"/>
  <c r="I37" i="528" s="1"/>
  <c r="E42" i="528" s="1"/>
  <c r="H9" i="528"/>
  <c r="G9" i="528"/>
  <c r="F9" i="528"/>
  <c r="F37" i="528" s="1"/>
  <c r="E9" i="528"/>
  <c r="D9" i="528"/>
  <c r="C9" i="528"/>
  <c r="C37" i="528" s="1"/>
  <c r="E8" i="528"/>
  <c r="E36" i="528" s="1"/>
  <c r="D8" i="528"/>
  <c r="D36" i="528" s="1"/>
  <c r="C8" i="528"/>
  <c r="M39" i="528"/>
  <c r="U42" i="528" s="1"/>
  <c r="H39" i="528"/>
  <c r="C36" i="528"/>
  <c r="Q44" i="528"/>
  <c r="K39" i="528"/>
  <c r="J39" i="528"/>
  <c r="G39" i="528"/>
  <c r="F39" i="528"/>
  <c r="C38" i="528"/>
  <c r="E44" i="528"/>
  <c r="M37" i="528"/>
  <c r="I42" i="528" s="1"/>
  <c r="G37" i="528"/>
  <c r="E37" i="528"/>
  <c r="AB38" i="526"/>
  <c r="AI37" i="526" s="1"/>
  <c r="X38" i="526"/>
  <c r="AH37" i="526" s="1"/>
  <c r="AD35" i="526"/>
  <c r="AB43" i="526" s="1"/>
  <c r="AI44" i="526" s="1"/>
  <c r="AC35" i="526"/>
  <c r="AB35" i="526"/>
  <c r="AA35" i="526"/>
  <c r="AB45" i="526" s="1"/>
  <c r="AI46" i="526" s="1"/>
  <c r="Z35" i="526"/>
  <c r="X43" i="526" s="1"/>
  <c r="AH44" i="526" s="1"/>
  <c r="Y35" i="526"/>
  <c r="X35" i="526"/>
  <c r="W35" i="526"/>
  <c r="X45" i="526" s="1"/>
  <c r="AH46" i="526" s="1"/>
  <c r="V34" i="526"/>
  <c r="AK33" i="526" s="1"/>
  <c r="U34" i="526"/>
  <c r="AJ33" i="526"/>
  <c r="AD33" i="526"/>
  <c r="AC33" i="526"/>
  <c r="AB33" i="526"/>
  <c r="AB40" i="526" s="1"/>
  <c r="AI39" i="526" s="1"/>
  <c r="AA33" i="526"/>
  <c r="Z33" i="526"/>
  <c r="Y33" i="526"/>
  <c r="X33" i="526"/>
  <c r="W33" i="526"/>
  <c r="X40" i="526" s="1"/>
  <c r="AH39" i="526" s="1"/>
  <c r="V33" i="526"/>
  <c r="U33" i="526"/>
  <c r="T33" i="526"/>
  <c r="V32" i="526"/>
  <c r="U32" i="526"/>
  <c r="S31" i="526"/>
  <c r="R31" i="526"/>
  <c r="Q31" i="526"/>
  <c r="P31" i="526"/>
  <c r="O31" i="526"/>
  <c r="N31" i="526"/>
  <c r="M31" i="526"/>
  <c r="L31" i="526"/>
  <c r="K31" i="526"/>
  <c r="J31" i="526"/>
  <c r="I31" i="526"/>
  <c r="H31" i="526"/>
  <c r="T31" i="526" s="1"/>
  <c r="T30" i="526"/>
  <c r="T29" i="526"/>
  <c r="T28" i="526"/>
  <c r="S27" i="526"/>
  <c r="R27" i="526"/>
  <c r="Q27" i="526"/>
  <c r="P27" i="526"/>
  <c r="O27" i="526"/>
  <c r="N27" i="526"/>
  <c r="M27" i="526"/>
  <c r="L27" i="526"/>
  <c r="K27" i="526"/>
  <c r="J27" i="526"/>
  <c r="I27" i="526"/>
  <c r="H27" i="526"/>
  <c r="T27" i="526" s="1"/>
  <c r="T26" i="526"/>
  <c r="T25" i="526"/>
  <c r="T24" i="526"/>
  <c r="S23" i="526"/>
  <c r="R23" i="526"/>
  <c r="Q23" i="526"/>
  <c r="P23" i="526"/>
  <c r="O23" i="526"/>
  <c r="N23" i="526"/>
  <c r="M23" i="526"/>
  <c r="L23" i="526"/>
  <c r="K23" i="526"/>
  <c r="J23" i="526"/>
  <c r="I23" i="526"/>
  <c r="H23" i="526"/>
  <c r="T23" i="526" s="1"/>
  <c r="T22" i="526"/>
  <c r="T21" i="526"/>
  <c r="T20" i="526"/>
  <c r="S19" i="526"/>
  <c r="R19" i="526"/>
  <c r="Q19" i="526"/>
  <c r="P19" i="526"/>
  <c r="O19" i="526"/>
  <c r="N19" i="526"/>
  <c r="M19" i="526"/>
  <c r="L19" i="526"/>
  <c r="K19" i="526"/>
  <c r="J19" i="526"/>
  <c r="I19" i="526"/>
  <c r="H19" i="526"/>
  <c r="T19" i="526" s="1"/>
  <c r="T18" i="526"/>
  <c r="T34" i="526" s="1"/>
  <c r="AI33" i="526" s="1"/>
  <c r="AI17" i="526"/>
  <c r="T17" i="526"/>
  <c r="T16" i="526"/>
  <c r="T32" i="526" s="1"/>
  <c r="AJ15" i="526"/>
  <c r="AI15" i="526"/>
  <c r="AH15" i="526"/>
  <c r="AD25" i="525"/>
  <c r="AB27" i="525" s="1"/>
  <c r="AJ21" i="525" s="1"/>
  <c r="AC25" i="525"/>
  <c r="AB25" i="525"/>
  <c r="AA25" i="525"/>
  <c r="AB29" i="525" s="1"/>
  <c r="AJ23" i="525" s="1"/>
  <c r="Z25" i="525"/>
  <c r="X27" i="525" s="1"/>
  <c r="AI21" i="525" s="1"/>
  <c r="Y25" i="525"/>
  <c r="X25" i="525"/>
  <c r="W25" i="525"/>
  <c r="X29" i="525" s="1"/>
  <c r="AI23" i="525" s="1"/>
  <c r="V25" i="525"/>
  <c r="U25" i="525"/>
  <c r="V24" i="525"/>
  <c r="U24" i="525"/>
  <c r="T23" i="525"/>
  <c r="T22" i="525"/>
  <c r="T21" i="525"/>
  <c r="T20" i="525"/>
  <c r="T19" i="525"/>
  <c r="T18" i="525"/>
  <c r="AJ17" i="525"/>
  <c r="T17" i="525"/>
  <c r="T25" i="525" s="1"/>
  <c r="T16" i="525"/>
  <c r="T24" i="525" s="1"/>
  <c r="AK15" i="525"/>
  <c r="AJ15" i="525"/>
  <c r="AI15" i="525"/>
  <c r="F91" i="524"/>
  <c r="P14" i="524"/>
  <c r="O14" i="524"/>
  <c r="I14" i="524"/>
  <c r="E14" i="524"/>
  <c r="D14" i="524"/>
  <c r="C14" i="524"/>
  <c r="J13" i="524"/>
  <c r="E13" i="524"/>
  <c r="I12" i="524"/>
  <c r="F12" i="524"/>
  <c r="F14" i="524" s="1"/>
  <c r="E12" i="524"/>
  <c r="K12" i="524" s="1"/>
  <c r="F90" i="523"/>
  <c r="F13" i="523" s="1"/>
  <c r="N13" i="523"/>
  <c r="M13" i="523"/>
  <c r="G13" i="523"/>
  <c r="D13" i="523"/>
  <c r="C13" i="523"/>
  <c r="E13" i="523"/>
  <c r="J12" i="524" l="1"/>
  <c r="J14" i="524" s="1"/>
  <c r="H13" i="523"/>
  <c r="AB154" i="536"/>
  <c r="AB151" i="536"/>
  <c r="AA115" i="536"/>
  <c r="AB154" i="535"/>
  <c r="AB151" i="535"/>
  <c r="AA115" i="535"/>
  <c r="L13" i="524"/>
  <c r="M17" i="530"/>
  <c r="J25" i="530" s="1"/>
  <c r="T25" i="530" s="1"/>
  <c r="U27" i="530" s="1"/>
  <c r="J31" i="530"/>
  <c r="T31" i="530" s="1"/>
  <c r="AB109" i="530"/>
  <c r="Q105" i="530"/>
  <c r="U105" i="530" s="1"/>
  <c r="Q109" i="530"/>
  <c r="U109" i="530" s="1"/>
  <c r="AB105" i="530"/>
  <c r="V17" i="530"/>
  <c r="Q115" i="530" s="1"/>
  <c r="Z76" i="530"/>
  <c r="Q91" i="530"/>
  <c r="U77" i="530"/>
  <c r="U76" i="530" s="1"/>
  <c r="Q93" i="530"/>
  <c r="M115" i="530"/>
  <c r="Q95" i="530"/>
  <c r="Q79" i="530"/>
  <c r="Q97" i="530"/>
  <c r="Q81" i="530"/>
  <c r="Q99" i="530"/>
  <c r="M17" i="529"/>
  <c r="J25" i="529" s="1"/>
  <c r="T25" i="529" s="1"/>
  <c r="U28" i="529" s="1"/>
  <c r="Q17" i="529"/>
  <c r="J26" i="529" s="1"/>
  <c r="T26" i="529" s="1"/>
  <c r="U27" i="529" s="1"/>
  <c r="Q109" i="529"/>
  <c r="U109" i="529" s="1"/>
  <c r="AB109" i="529"/>
  <c r="Q105" i="529"/>
  <c r="U105" i="529" s="1"/>
  <c r="AB105" i="529"/>
  <c r="Z76" i="529"/>
  <c r="Q91" i="529"/>
  <c r="U77" i="529"/>
  <c r="Q93" i="529"/>
  <c r="Q79" i="529"/>
  <c r="Q97" i="529"/>
  <c r="Q95" i="529"/>
  <c r="Q81" i="529"/>
  <c r="Q99" i="529"/>
  <c r="Q83" i="529"/>
  <c r="V15" i="529"/>
  <c r="K14" i="524"/>
  <c r="L12" i="524"/>
  <c r="L13" i="488"/>
  <c r="K13" i="488"/>
  <c r="L14" i="524" l="1"/>
  <c r="U28" i="530"/>
  <c r="Q112" i="530"/>
  <c r="U120" i="530"/>
  <c r="U151" i="530" s="1"/>
  <c r="Q114" i="530"/>
  <c r="AA114" i="530" s="1"/>
  <c r="AA115" i="530"/>
  <c r="Q101" i="529"/>
  <c r="U101" i="529" s="1"/>
  <c r="U76" i="529" s="1"/>
  <c r="V17" i="529"/>
  <c r="Q115" i="529" s="1"/>
  <c r="M115" i="529"/>
  <c r="Q114" i="529"/>
  <c r="AA114" i="529" s="1"/>
  <c r="U120" i="529"/>
  <c r="Q112" i="529"/>
  <c r="Q120" i="529"/>
  <c r="I13" i="523"/>
  <c r="J13" i="523"/>
  <c r="O5" i="520"/>
  <c r="N5" i="520"/>
  <c r="G5" i="522"/>
  <c r="K5" i="522"/>
  <c r="J5" i="522"/>
  <c r="L5" i="522" s="1"/>
  <c r="H5" i="522"/>
  <c r="I5" i="522"/>
  <c r="AG5" i="522"/>
  <c r="AG259" i="522" s="1"/>
  <c r="AF5" i="522"/>
  <c r="AK220" i="522"/>
  <c r="AO265" i="522"/>
  <c r="AN265" i="522"/>
  <c r="AK258" i="522"/>
  <c r="AH258" i="522"/>
  <c r="AL258" i="522" s="1"/>
  <c r="AM258" i="522" s="1"/>
  <c r="AN258" i="522" s="1"/>
  <c r="AO258" i="522" s="1"/>
  <c r="AO259" i="522" s="1"/>
  <c r="AO266" i="522" s="1"/>
  <c r="AO267" i="522" s="1"/>
  <c r="L258" i="522"/>
  <c r="M258" i="522" s="1"/>
  <c r="F258" i="522"/>
  <c r="G258" i="522" s="1"/>
  <c r="B258" i="522"/>
  <c r="AK257" i="522"/>
  <c r="AH257" i="522"/>
  <c r="B257" i="522"/>
  <c r="AV256" i="522"/>
  <c r="AK256" i="522"/>
  <c r="AH256" i="522"/>
  <c r="B256" i="522"/>
  <c r="AV255" i="522"/>
  <c r="AK255" i="522"/>
  <c r="AH255" i="522"/>
  <c r="B255" i="522"/>
  <c r="AV254" i="522"/>
  <c r="AK254" i="522"/>
  <c r="AH254" i="522"/>
  <c r="B254" i="522"/>
  <c r="AV253" i="522"/>
  <c r="AU253" i="522"/>
  <c r="AT253" i="522"/>
  <c r="AK253" i="522"/>
  <c r="AH253" i="522"/>
  <c r="B253" i="522"/>
  <c r="AV252" i="522"/>
  <c r="AK252" i="522"/>
  <c r="AH252" i="522"/>
  <c r="B252" i="522"/>
  <c r="AV251" i="522"/>
  <c r="AK251" i="522"/>
  <c r="AH251" i="522"/>
  <c r="B251" i="522"/>
  <c r="AV250" i="522"/>
  <c r="AU250" i="522"/>
  <c r="AT250" i="522"/>
  <c r="AK250" i="522"/>
  <c r="AL250" i="522" s="1"/>
  <c r="AM250" i="522" s="1"/>
  <c r="AH250" i="522"/>
  <c r="B250" i="522"/>
  <c r="AV249" i="522"/>
  <c r="AK249" i="522"/>
  <c r="AH249" i="522"/>
  <c r="B249" i="522"/>
  <c r="AV248" i="522"/>
  <c r="AU248" i="522"/>
  <c r="AT248" i="522"/>
  <c r="AK248" i="522"/>
  <c r="AH248" i="522"/>
  <c r="B248" i="522"/>
  <c r="AV247" i="522"/>
  <c r="AT247" i="522"/>
  <c r="AK247" i="522"/>
  <c r="AH247" i="522"/>
  <c r="B247" i="522"/>
  <c r="AV246" i="522"/>
  <c r="AK246" i="522"/>
  <c r="AH246" i="522"/>
  <c r="B246" i="522"/>
  <c r="AV245" i="522"/>
  <c r="AK245" i="522"/>
  <c r="AH245" i="522"/>
  <c r="B245" i="522"/>
  <c r="AV244" i="522"/>
  <c r="AK244" i="522"/>
  <c r="AH244" i="522"/>
  <c r="B244" i="522"/>
  <c r="AV243" i="522"/>
  <c r="AK243" i="522"/>
  <c r="AH243" i="522"/>
  <c r="B243" i="522"/>
  <c r="AV242" i="522"/>
  <c r="AK242" i="522"/>
  <c r="AH242" i="522"/>
  <c r="B242" i="522"/>
  <c r="AV241" i="522"/>
  <c r="AK241" i="522"/>
  <c r="AH241" i="522"/>
  <c r="B241" i="522"/>
  <c r="AV240" i="522"/>
  <c r="AU240" i="522"/>
  <c r="AT240" i="522"/>
  <c r="AK240" i="522"/>
  <c r="AH240" i="522"/>
  <c r="B240" i="522"/>
  <c r="AV239" i="522"/>
  <c r="AK239" i="522"/>
  <c r="AH239" i="522"/>
  <c r="B239" i="522"/>
  <c r="AV238" i="522"/>
  <c r="AU238" i="522"/>
  <c r="AT238" i="522"/>
  <c r="AK238" i="522"/>
  <c r="AH238" i="522"/>
  <c r="B238" i="522"/>
  <c r="AV237" i="522"/>
  <c r="AK237" i="522"/>
  <c r="AH237" i="522"/>
  <c r="AL237" i="522" s="1"/>
  <c r="AM237" i="522" s="1"/>
  <c r="AN237" i="522" s="1"/>
  <c r="B237" i="522"/>
  <c r="AV236" i="522"/>
  <c r="AK236" i="522"/>
  <c r="AH236" i="522"/>
  <c r="B236" i="522"/>
  <c r="AV235" i="522"/>
  <c r="AK235" i="522"/>
  <c r="AH235" i="522"/>
  <c r="B235" i="522"/>
  <c r="AV234" i="522"/>
  <c r="AK234" i="522"/>
  <c r="AH234" i="522"/>
  <c r="B234" i="522"/>
  <c r="AV233" i="522"/>
  <c r="AK233" i="522"/>
  <c r="AH233" i="522"/>
  <c r="B233" i="522"/>
  <c r="AV232" i="522"/>
  <c r="AK232" i="522"/>
  <c r="AH232" i="522"/>
  <c r="B232" i="522"/>
  <c r="AV231" i="522"/>
  <c r="AK231" i="522"/>
  <c r="AH231" i="522"/>
  <c r="B231" i="522"/>
  <c r="AV230" i="522"/>
  <c r="AK230" i="522"/>
  <c r="AH230" i="522"/>
  <c r="B230" i="522"/>
  <c r="AV229" i="522"/>
  <c r="AK229" i="522"/>
  <c r="AH229" i="522"/>
  <c r="B229" i="522"/>
  <c r="AV228" i="522"/>
  <c r="AK228" i="522"/>
  <c r="AH228" i="522"/>
  <c r="B228" i="522"/>
  <c r="AV227" i="522"/>
  <c r="AU227" i="522"/>
  <c r="AT227" i="522"/>
  <c r="AK227" i="522"/>
  <c r="AH227" i="522"/>
  <c r="B227" i="522"/>
  <c r="AV226" i="522"/>
  <c r="AK226" i="522"/>
  <c r="AH226" i="522"/>
  <c r="B226" i="522"/>
  <c r="AV225" i="522"/>
  <c r="AU225" i="522"/>
  <c r="AT225" i="522"/>
  <c r="AK225" i="522"/>
  <c r="AH225" i="522"/>
  <c r="B225" i="522"/>
  <c r="AV224" i="522"/>
  <c r="AK224" i="522"/>
  <c r="AH224" i="522"/>
  <c r="B224" i="522"/>
  <c r="AV223" i="522"/>
  <c r="AK223" i="522"/>
  <c r="AH223" i="522"/>
  <c r="B223" i="522"/>
  <c r="AV222" i="522"/>
  <c r="AK222" i="522"/>
  <c r="AH222" i="522"/>
  <c r="AL222" i="522" s="1"/>
  <c r="AM222" i="522" s="1"/>
  <c r="AN222" i="522" s="1"/>
  <c r="B222" i="522"/>
  <c r="AV221" i="522"/>
  <c r="AK221" i="522"/>
  <c r="AH221" i="522"/>
  <c r="AL221" i="522" s="1"/>
  <c r="AM221" i="522" s="1"/>
  <c r="B221" i="522"/>
  <c r="AH220" i="522"/>
  <c r="B220" i="522"/>
  <c r="AV219" i="522"/>
  <c r="AK219" i="522"/>
  <c r="AH219" i="522"/>
  <c r="B219" i="522"/>
  <c r="AV218" i="522"/>
  <c r="AK218" i="522"/>
  <c r="AH218" i="522"/>
  <c r="B218" i="522"/>
  <c r="AV217" i="522"/>
  <c r="AK217" i="522"/>
  <c r="AH217" i="522"/>
  <c r="B217" i="522"/>
  <c r="AV216" i="522"/>
  <c r="AK216" i="522"/>
  <c r="AH216" i="522"/>
  <c r="B216" i="522"/>
  <c r="AV215" i="522"/>
  <c r="AK215" i="522"/>
  <c r="AH215" i="522"/>
  <c r="B215" i="522"/>
  <c r="AV214" i="522"/>
  <c r="AK214" i="522"/>
  <c r="AH214" i="522"/>
  <c r="B214" i="522"/>
  <c r="AV213" i="522"/>
  <c r="AU213" i="522"/>
  <c r="AT213" i="522"/>
  <c r="AK213" i="522"/>
  <c r="AH213" i="522"/>
  <c r="B213" i="522"/>
  <c r="AV212" i="522"/>
  <c r="AK212" i="522"/>
  <c r="AH212" i="522"/>
  <c r="AL212" i="522" s="1"/>
  <c r="AM212" i="522" s="1"/>
  <c r="AN212" i="522" s="1"/>
  <c r="B212" i="522"/>
  <c r="AV211" i="522"/>
  <c r="AK211" i="522"/>
  <c r="AH211" i="522"/>
  <c r="AL211" i="522" s="1"/>
  <c r="AM211" i="522" s="1"/>
  <c r="AN211" i="522" s="1"/>
  <c r="B211" i="522"/>
  <c r="AV210" i="522"/>
  <c r="AU210" i="522"/>
  <c r="AT210" i="522"/>
  <c r="AK210" i="522"/>
  <c r="AH210" i="522"/>
  <c r="B210" i="522"/>
  <c r="AV209" i="522"/>
  <c r="AK209" i="522"/>
  <c r="AH209" i="522"/>
  <c r="B209" i="522"/>
  <c r="AK208" i="522"/>
  <c r="AH208" i="522"/>
  <c r="B208" i="522"/>
  <c r="AK207" i="522"/>
  <c r="AH207" i="522"/>
  <c r="AL207" i="522" s="1"/>
  <c r="AM207" i="522" s="1"/>
  <c r="AN207" i="522" s="1"/>
  <c r="B207" i="522"/>
  <c r="AK206" i="522"/>
  <c r="AH206" i="522"/>
  <c r="B206" i="522"/>
  <c r="AK205" i="522"/>
  <c r="AH205" i="522"/>
  <c r="AL205" i="522" s="1"/>
  <c r="AM205" i="522" s="1"/>
  <c r="B205" i="522"/>
  <c r="AK204" i="522"/>
  <c r="AL204" i="522" s="1"/>
  <c r="AM204" i="522" s="1"/>
  <c r="AN204" i="522" s="1"/>
  <c r="AH204" i="522"/>
  <c r="B204" i="522"/>
  <c r="AK203" i="522"/>
  <c r="AH203" i="522"/>
  <c r="B203" i="522"/>
  <c r="AK202" i="522"/>
  <c r="AH202" i="522"/>
  <c r="B202" i="522"/>
  <c r="AK201" i="522"/>
  <c r="AH201" i="522"/>
  <c r="AL201" i="522" s="1"/>
  <c r="AM201" i="522" s="1"/>
  <c r="AN201" i="522" s="1"/>
  <c r="B201" i="522"/>
  <c r="AK200" i="522"/>
  <c r="AH200" i="522"/>
  <c r="B200" i="522"/>
  <c r="AK199" i="522"/>
  <c r="AH199" i="522"/>
  <c r="AL199" i="522" s="1"/>
  <c r="AM199" i="522" s="1"/>
  <c r="AN199" i="522" s="1"/>
  <c r="B199" i="522"/>
  <c r="AK198" i="522"/>
  <c r="AH198" i="522"/>
  <c r="B198" i="522"/>
  <c r="AK197" i="522"/>
  <c r="AH197" i="522"/>
  <c r="AL197" i="522" s="1"/>
  <c r="AM197" i="522" s="1"/>
  <c r="AN197" i="522" s="1"/>
  <c r="B197" i="522"/>
  <c r="AK196" i="522"/>
  <c r="AL196" i="522" s="1"/>
  <c r="AM196" i="522" s="1"/>
  <c r="AN196" i="522" s="1"/>
  <c r="AH196" i="522"/>
  <c r="B196" i="522"/>
  <c r="AK195" i="522"/>
  <c r="AH195" i="522"/>
  <c r="B195" i="522"/>
  <c r="AK194" i="522"/>
  <c r="AH194" i="522"/>
  <c r="B194" i="522"/>
  <c r="AK193" i="522"/>
  <c r="AH193" i="522"/>
  <c r="AL193" i="522" s="1"/>
  <c r="AM193" i="522" s="1"/>
  <c r="AN193" i="522" s="1"/>
  <c r="B193" i="522"/>
  <c r="AK192" i="522"/>
  <c r="AH192" i="522"/>
  <c r="AL192" i="522" s="1"/>
  <c r="AM192" i="522" s="1"/>
  <c r="AN192" i="522" s="1"/>
  <c r="B192" i="522"/>
  <c r="AK191" i="522"/>
  <c r="AH191" i="522"/>
  <c r="B191" i="522"/>
  <c r="AK190" i="522"/>
  <c r="AH190" i="522"/>
  <c r="AL190" i="522" s="1"/>
  <c r="AM190" i="522" s="1"/>
  <c r="AN190" i="522" s="1"/>
  <c r="B190" i="522"/>
  <c r="AK189" i="522"/>
  <c r="AH189" i="522"/>
  <c r="B189" i="522"/>
  <c r="AK188" i="522"/>
  <c r="AH188" i="522"/>
  <c r="B188" i="522"/>
  <c r="AK187" i="522"/>
  <c r="AH187" i="522"/>
  <c r="B187" i="522"/>
  <c r="AK186" i="522"/>
  <c r="AH186" i="522"/>
  <c r="AL186" i="522" s="1"/>
  <c r="AM186" i="522" s="1"/>
  <c r="B186" i="522"/>
  <c r="AK185" i="522"/>
  <c r="AH185" i="522"/>
  <c r="B185" i="522"/>
  <c r="AK184" i="522"/>
  <c r="AH184" i="522"/>
  <c r="AL184" i="522" s="1"/>
  <c r="AM184" i="522" s="1"/>
  <c r="AN184" i="522" s="1"/>
  <c r="B184" i="522"/>
  <c r="AK183" i="522"/>
  <c r="AH183" i="522"/>
  <c r="B183" i="522"/>
  <c r="AK182" i="522"/>
  <c r="AH182" i="522"/>
  <c r="AL182" i="522" s="1"/>
  <c r="AM182" i="522" s="1"/>
  <c r="AN182" i="522" s="1"/>
  <c r="B182" i="522"/>
  <c r="AK181" i="522"/>
  <c r="AH181" i="522"/>
  <c r="AL181" i="522" s="1"/>
  <c r="AM181" i="522" s="1"/>
  <c r="AN181" i="522" s="1"/>
  <c r="B181" i="522"/>
  <c r="AK180" i="522"/>
  <c r="AH180" i="522"/>
  <c r="B180" i="522"/>
  <c r="AK179" i="522"/>
  <c r="AH179" i="522"/>
  <c r="B179" i="522"/>
  <c r="AK178" i="522"/>
  <c r="AH178" i="522"/>
  <c r="B178" i="522"/>
  <c r="AK177" i="522"/>
  <c r="AH177" i="522"/>
  <c r="B177" i="522"/>
  <c r="AK176" i="522"/>
  <c r="AH176" i="522"/>
  <c r="AL176" i="522" s="1"/>
  <c r="AM176" i="522" s="1"/>
  <c r="AN176" i="522" s="1"/>
  <c r="B176" i="522"/>
  <c r="AK175" i="522"/>
  <c r="AH175" i="522"/>
  <c r="B175" i="522"/>
  <c r="AK174" i="522"/>
  <c r="AH174" i="522"/>
  <c r="B174" i="522"/>
  <c r="AK173" i="522"/>
  <c r="AH173" i="522"/>
  <c r="B173" i="522"/>
  <c r="AK172" i="522"/>
  <c r="AH172" i="522"/>
  <c r="B172" i="522"/>
  <c r="AK171" i="522"/>
  <c r="AH171" i="522"/>
  <c r="B171" i="522"/>
  <c r="AK170" i="522"/>
  <c r="AH170" i="522"/>
  <c r="B170" i="522"/>
  <c r="AK169" i="522"/>
  <c r="AH169" i="522"/>
  <c r="B169" i="522"/>
  <c r="AK168" i="522"/>
  <c r="AH168" i="522"/>
  <c r="AL168" i="522" s="1"/>
  <c r="AM168" i="522" s="1"/>
  <c r="AN168" i="522" s="1"/>
  <c r="B168" i="522"/>
  <c r="AK167" i="522"/>
  <c r="AH167" i="522"/>
  <c r="B167" i="522"/>
  <c r="AK166" i="522"/>
  <c r="AH166" i="522"/>
  <c r="B166" i="522"/>
  <c r="AK165" i="522"/>
  <c r="AH165" i="522"/>
  <c r="B165" i="522"/>
  <c r="AK164" i="522"/>
  <c r="AH164" i="522"/>
  <c r="B164" i="522"/>
  <c r="AK163" i="522"/>
  <c r="AH163" i="522"/>
  <c r="B163" i="522"/>
  <c r="AK162" i="522"/>
  <c r="AH162" i="522"/>
  <c r="AL162" i="522" s="1"/>
  <c r="AM162" i="522" s="1"/>
  <c r="AN162" i="522" s="1"/>
  <c r="B162" i="522"/>
  <c r="AL161" i="522"/>
  <c r="AM161" i="522" s="1"/>
  <c r="AN161" i="522" s="1"/>
  <c r="AK161" i="522"/>
  <c r="AH161" i="522"/>
  <c r="B161" i="522"/>
  <c r="AK160" i="522"/>
  <c r="AH160" i="522"/>
  <c r="B160" i="522"/>
  <c r="AK159" i="522"/>
  <c r="AH159" i="522"/>
  <c r="AL159" i="522" s="1"/>
  <c r="AM159" i="522" s="1"/>
  <c r="AN159" i="522" s="1"/>
  <c r="B159" i="522"/>
  <c r="AK158" i="522"/>
  <c r="AH158" i="522"/>
  <c r="B158" i="522"/>
  <c r="AK157" i="522"/>
  <c r="AH157" i="522"/>
  <c r="B157" i="522"/>
  <c r="AK156" i="522"/>
  <c r="AL156" i="522" s="1"/>
  <c r="AM156" i="522" s="1"/>
  <c r="AN156" i="522" s="1"/>
  <c r="AH156" i="522"/>
  <c r="B156" i="522"/>
  <c r="AK155" i="522"/>
  <c r="AH155" i="522"/>
  <c r="AL155" i="522" s="1"/>
  <c r="AM155" i="522" s="1"/>
  <c r="AN155" i="522" s="1"/>
  <c r="B155" i="522"/>
  <c r="AK154" i="522"/>
  <c r="AH154" i="522"/>
  <c r="B154" i="522"/>
  <c r="AK153" i="522"/>
  <c r="AH153" i="522"/>
  <c r="AL153" i="522" s="1"/>
  <c r="AM153" i="522" s="1"/>
  <c r="AN153" i="522" s="1"/>
  <c r="B153" i="522"/>
  <c r="AK152" i="522"/>
  <c r="AH152" i="522"/>
  <c r="B152" i="522"/>
  <c r="AK151" i="522"/>
  <c r="AH151" i="522"/>
  <c r="AL151" i="522" s="1"/>
  <c r="AM151" i="522" s="1"/>
  <c r="AN151" i="522" s="1"/>
  <c r="B151" i="522"/>
  <c r="AK150" i="522"/>
  <c r="AH150" i="522"/>
  <c r="B150" i="522"/>
  <c r="AK149" i="522"/>
  <c r="AH149" i="522"/>
  <c r="AL149" i="522" s="1"/>
  <c r="AM149" i="522" s="1"/>
  <c r="AN149" i="522" s="1"/>
  <c r="B149" i="522"/>
  <c r="AK148" i="522"/>
  <c r="AH148" i="522"/>
  <c r="B148" i="522"/>
  <c r="AK147" i="522"/>
  <c r="AH147" i="522"/>
  <c r="B147" i="522"/>
  <c r="AK146" i="522"/>
  <c r="AH146" i="522"/>
  <c r="B146" i="522"/>
  <c r="AK145" i="522"/>
  <c r="AH145" i="522"/>
  <c r="AL145" i="522" s="1"/>
  <c r="AM145" i="522" s="1"/>
  <c r="AN145" i="522" s="1"/>
  <c r="B145" i="522"/>
  <c r="AK144" i="522"/>
  <c r="AH144" i="522"/>
  <c r="B144" i="522"/>
  <c r="AK143" i="522"/>
  <c r="AH143" i="522"/>
  <c r="B143" i="522"/>
  <c r="AK142" i="522"/>
  <c r="AH142" i="522"/>
  <c r="B142" i="522"/>
  <c r="AK141" i="522"/>
  <c r="AH141" i="522"/>
  <c r="B141" i="522"/>
  <c r="AK140" i="522"/>
  <c r="AH140" i="522"/>
  <c r="B140" i="522"/>
  <c r="AK139" i="522"/>
  <c r="AH139" i="522"/>
  <c r="B139" i="522"/>
  <c r="AK138" i="522"/>
  <c r="AH138" i="522"/>
  <c r="B138" i="522"/>
  <c r="AK137" i="522"/>
  <c r="AH137" i="522"/>
  <c r="B137" i="522"/>
  <c r="AK136" i="522"/>
  <c r="AH136" i="522"/>
  <c r="B136" i="522"/>
  <c r="AK135" i="522"/>
  <c r="AH135" i="522"/>
  <c r="B135" i="522"/>
  <c r="AK134" i="522"/>
  <c r="AH134" i="522"/>
  <c r="B134" i="522"/>
  <c r="AK133" i="522"/>
  <c r="AH133" i="522"/>
  <c r="AL133" i="522" s="1"/>
  <c r="AM133" i="522" s="1"/>
  <c r="AN133" i="522" s="1"/>
  <c r="B133" i="522"/>
  <c r="AK132" i="522"/>
  <c r="AH132" i="522"/>
  <c r="B132" i="522"/>
  <c r="AK131" i="522"/>
  <c r="AH131" i="522"/>
  <c r="B131" i="522"/>
  <c r="AK130" i="522"/>
  <c r="AH130" i="522"/>
  <c r="B130" i="522"/>
  <c r="AK129" i="522"/>
  <c r="AH129" i="522"/>
  <c r="B129" i="522"/>
  <c r="AK128" i="522"/>
  <c r="AH128" i="522"/>
  <c r="AL128" i="522" s="1"/>
  <c r="AM128" i="522" s="1"/>
  <c r="AN128" i="522" s="1"/>
  <c r="B128" i="522"/>
  <c r="AK127" i="522"/>
  <c r="AH127" i="522"/>
  <c r="AL127" i="522" s="1"/>
  <c r="AM127" i="522" s="1"/>
  <c r="AN127" i="522" s="1"/>
  <c r="B127" i="522"/>
  <c r="AK126" i="522"/>
  <c r="AH126" i="522"/>
  <c r="B126" i="522"/>
  <c r="AK125" i="522"/>
  <c r="AH125" i="522"/>
  <c r="B125" i="522"/>
  <c r="AK124" i="522"/>
  <c r="AH124" i="522"/>
  <c r="B124" i="522"/>
  <c r="AK123" i="522"/>
  <c r="AH123" i="522"/>
  <c r="AL123" i="522" s="1"/>
  <c r="AM123" i="522" s="1"/>
  <c r="B123" i="522"/>
  <c r="AK122" i="522"/>
  <c r="AH122" i="522"/>
  <c r="B122" i="522"/>
  <c r="AK121" i="522"/>
  <c r="AH121" i="522"/>
  <c r="B121" i="522"/>
  <c r="AK120" i="522"/>
  <c r="AH120" i="522"/>
  <c r="B120" i="522"/>
  <c r="AK119" i="522"/>
  <c r="AH119" i="522"/>
  <c r="B119" i="522"/>
  <c r="AK118" i="522"/>
  <c r="AH118" i="522"/>
  <c r="B118" i="522"/>
  <c r="AK117" i="522"/>
  <c r="AH117" i="522"/>
  <c r="B117" i="522"/>
  <c r="AK116" i="522"/>
  <c r="AH116" i="522"/>
  <c r="B116" i="522"/>
  <c r="AK115" i="522"/>
  <c r="AH115" i="522"/>
  <c r="B115" i="522"/>
  <c r="AK114" i="522"/>
  <c r="AH114" i="522"/>
  <c r="B114" i="522"/>
  <c r="AK113" i="522"/>
  <c r="AH113" i="522"/>
  <c r="B113" i="522"/>
  <c r="AK112" i="522"/>
  <c r="AH112" i="522"/>
  <c r="B112" i="522"/>
  <c r="AK111" i="522"/>
  <c r="AH111" i="522"/>
  <c r="AL111" i="522" s="1"/>
  <c r="AM111" i="522" s="1"/>
  <c r="AN111" i="522" s="1"/>
  <c r="B111" i="522"/>
  <c r="AK110" i="522"/>
  <c r="AH110" i="522"/>
  <c r="B110" i="522"/>
  <c r="AK109" i="522"/>
  <c r="AH109" i="522"/>
  <c r="AL109" i="522" s="1"/>
  <c r="AM109" i="522" s="1"/>
  <c r="AN109" i="522" s="1"/>
  <c r="B109" i="522"/>
  <c r="AK108" i="522"/>
  <c r="AH108" i="522"/>
  <c r="B108" i="522"/>
  <c r="AK107" i="522"/>
  <c r="AH107" i="522"/>
  <c r="AL107" i="522" s="1"/>
  <c r="AM107" i="522" s="1"/>
  <c r="AN107" i="522" s="1"/>
  <c r="B107" i="522"/>
  <c r="AK106" i="522"/>
  <c r="AH106" i="522"/>
  <c r="B106" i="522"/>
  <c r="AK105" i="522"/>
  <c r="AH105" i="522"/>
  <c r="B105" i="522"/>
  <c r="AK104" i="522"/>
  <c r="AH104" i="522"/>
  <c r="B104" i="522"/>
  <c r="AK103" i="522"/>
  <c r="AH103" i="522"/>
  <c r="AL103" i="522" s="1"/>
  <c r="AM103" i="522" s="1"/>
  <c r="AN103" i="522" s="1"/>
  <c r="B103" i="522"/>
  <c r="AK102" i="522"/>
  <c r="AH102" i="522"/>
  <c r="B102" i="522"/>
  <c r="AK101" i="522"/>
  <c r="AH101" i="522"/>
  <c r="AL101" i="522" s="1"/>
  <c r="AM101" i="522" s="1"/>
  <c r="AN101" i="522" s="1"/>
  <c r="B101" i="522"/>
  <c r="AK100" i="522"/>
  <c r="AH100" i="522"/>
  <c r="B100" i="522"/>
  <c r="AK99" i="522"/>
  <c r="AH99" i="522"/>
  <c r="AL99" i="522" s="1"/>
  <c r="AM99" i="522" s="1"/>
  <c r="AN99" i="522" s="1"/>
  <c r="B99" i="522"/>
  <c r="AK98" i="522"/>
  <c r="AH98" i="522"/>
  <c r="B98" i="522"/>
  <c r="AK97" i="522"/>
  <c r="AH97" i="522"/>
  <c r="B97" i="522"/>
  <c r="AK96" i="522"/>
  <c r="AH96" i="522"/>
  <c r="AL96" i="522" s="1"/>
  <c r="AM96" i="522" s="1"/>
  <c r="AN96" i="522" s="1"/>
  <c r="B96" i="522"/>
  <c r="AL95" i="522"/>
  <c r="AM95" i="522" s="1"/>
  <c r="AN95" i="522" s="1"/>
  <c r="AK95" i="522"/>
  <c r="AH95" i="522"/>
  <c r="B95" i="522"/>
  <c r="AK94" i="522"/>
  <c r="AH94" i="522"/>
  <c r="B94" i="522"/>
  <c r="AK93" i="522"/>
  <c r="AH93" i="522"/>
  <c r="AL93" i="522" s="1"/>
  <c r="AM93" i="522" s="1"/>
  <c r="AN93" i="522" s="1"/>
  <c r="B93" i="522"/>
  <c r="AK92" i="522"/>
  <c r="AH92" i="522"/>
  <c r="B92" i="522"/>
  <c r="AK91" i="522"/>
  <c r="AH91" i="522"/>
  <c r="AL91" i="522" s="1"/>
  <c r="AM91" i="522" s="1"/>
  <c r="AN91" i="522" s="1"/>
  <c r="B91" i="522"/>
  <c r="AL90" i="522"/>
  <c r="AM90" i="522" s="1"/>
  <c r="AN90" i="522" s="1"/>
  <c r="AK90" i="522"/>
  <c r="AH90" i="522"/>
  <c r="B90" i="522"/>
  <c r="AK89" i="522"/>
  <c r="AH89" i="522"/>
  <c r="B89" i="522"/>
  <c r="AK88" i="522"/>
  <c r="AH88" i="522"/>
  <c r="B88" i="522"/>
  <c r="AK87" i="522"/>
  <c r="AH87" i="522"/>
  <c r="B87" i="522"/>
  <c r="AK86" i="522"/>
  <c r="AH86" i="522"/>
  <c r="AL86" i="522" s="1"/>
  <c r="AM86" i="522" s="1"/>
  <c r="AN86" i="522" s="1"/>
  <c r="B86" i="522"/>
  <c r="AK85" i="522"/>
  <c r="AH85" i="522"/>
  <c r="B85" i="522"/>
  <c r="AK84" i="522"/>
  <c r="AH84" i="522"/>
  <c r="AL84" i="522" s="1"/>
  <c r="AM84" i="522" s="1"/>
  <c r="AN84" i="522" s="1"/>
  <c r="B84" i="522"/>
  <c r="AK83" i="522"/>
  <c r="AH83" i="522"/>
  <c r="B83" i="522"/>
  <c r="AK82" i="522"/>
  <c r="AH82" i="522"/>
  <c r="B82" i="522"/>
  <c r="AK81" i="522"/>
  <c r="AH81" i="522"/>
  <c r="B81" i="522"/>
  <c r="AK80" i="522"/>
  <c r="AH80" i="522"/>
  <c r="B80" i="522"/>
  <c r="AK79" i="522"/>
  <c r="AH79" i="522"/>
  <c r="AL79" i="522" s="1"/>
  <c r="AM79" i="522" s="1"/>
  <c r="AN79" i="522" s="1"/>
  <c r="B79" i="522"/>
  <c r="AK78" i="522"/>
  <c r="AH78" i="522"/>
  <c r="B78" i="522"/>
  <c r="AK77" i="522"/>
  <c r="AH77" i="522"/>
  <c r="B77" i="522"/>
  <c r="AK76" i="522"/>
  <c r="AH76" i="522"/>
  <c r="B76" i="522"/>
  <c r="AK75" i="522"/>
  <c r="AH75" i="522"/>
  <c r="B75" i="522"/>
  <c r="AK74" i="522"/>
  <c r="AH74" i="522"/>
  <c r="B74" i="522"/>
  <c r="AK73" i="522"/>
  <c r="AH73" i="522"/>
  <c r="B73" i="522"/>
  <c r="AK72" i="522"/>
  <c r="AH72" i="522"/>
  <c r="B72" i="522"/>
  <c r="AK71" i="522"/>
  <c r="AH71" i="522"/>
  <c r="AL71" i="522" s="1"/>
  <c r="AM71" i="522" s="1"/>
  <c r="AN71" i="522" s="1"/>
  <c r="B71" i="522"/>
  <c r="AK70" i="522"/>
  <c r="AH70" i="522"/>
  <c r="B70" i="522"/>
  <c r="AK69" i="522"/>
  <c r="AH69" i="522"/>
  <c r="B69" i="522"/>
  <c r="AK68" i="522"/>
  <c r="AH68" i="522"/>
  <c r="B68" i="522"/>
  <c r="AK67" i="522"/>
  <c r="AH67" i="522"/>
  <c r="B67" i="522"/>
  <c r="AK66" i="522"/>
  <c r="AH66" i="522"/>
  <c r="B66" i="522"/>
  <c r="AK65" i="522"/>
  <c r="AH65" i="522"/>
  <c r="B65" i="522"/>
  <c r="AK64" i="522"/>
  <c r="AH64" i="522"/>
  <c r="B64" i="522"/>
  <c r="AK63" i="522"/>
  <c r="AH63" i="522"/>
  <c r="B63" i="522"/>
  <c r="AK62" i="522"/>
  <c r="AH62" i="522"/>
  <c r="AL62" i="522" s="1"/>
  <c r="AM62" i="522" s="1"/>
  <c r="AN62" i="522" s="1"/>
  <c r="B62" i="522"/>
  <c r="AK61" i="522"/>
  <c r="AH61" i="522"/>
  <c r="B61" i="522"/>
  <c r="AK60" i="522"/>
  <c r="AH60" i="522"/>
  <c r="AL60" i="522" s="1"/>
  <c r="AM60" i="522" s="1"/>
  <c r="AN60" i="522" s="1"/>
  <c r="B60" i="522"/>
  <c r="AK59" i="522"/>
  <c r="AH59" i="522"/>
  <c r="B59" i="522"/>
  <c r="AK58" i="522"/>
  <c r="AH58" i="522"/>
  <c r="AL58" i="522" s="1"/>
  <c r="AM58" i="522" s="1"/>
  <c r="AN58" i="522" s="1"/>
  <c r="B58" i="522"/>
  <c r="AK57" i="522"/>
  <c r="AH57" i="522"/>
  <c r="B57" i="522"/>
  <c r="AK56" i="522"/>
  <c r="AH56" i="522"/>
  <c r="B56" i="522"/>
  <c r="AK55" i="522"/>
  <c r="AH55" i="522"/>
  <c r="B55" i="522"/>
  <c r="AK54" i="522"/>
  <c r="AH54" i="522"/>
  <c r="B54" i="522"/>
  <c r="AK53" i="522"/>
  <c r="AH53" i="522"/>
  <c r="B53" i="522"/>
  <c r="AK52" i="522"/>
  <c r="AH52" i="522"/>
  <c r="AL52" i="522" s="1"/>
  <c r="AM52" i="522" s="1"/>
  <c r="AN52" i="522" s="1"/>
  <c r="B52" i="522"/>
  <c r="AF259" i="522"/>
  <c r="B51" i="522"/>
  <c r="AK50" i="522"/>
  <c r="AH50" i="522"/>
  <c r="B50" i="522"/>
  <c r="AK49" i="522"/>
  <c r="AH49" i="522"/>
  <c r="AL49" i="522" s="1"/>
  <c r="AM49" i="522" s="1"/>
  <c r="AN49" i="522" s="1"/>
  <c r="B49" i="522"/>
  <c r="AK48" i="522"/>
  <c r="AH48" i="522"/>
  <c r="B48" i="522"/>
  <c r="AK47" i="522"/>
  <c r="AH47" i="522"/>
  <c r="B47" i="522"/>
  <c r="AK46" i="522"/>
  <c r="AH46" i="522"/>
  <c r="B46" i="522"/>
  <c r="AK45" i="522"/>
  <c r="AH45" i="522"/>
  <c r="B45" i="522"/>
  <c r="AK44" i="522"/>
  <c r="AH44" i="522"/>
  <c r="B44" i="522"/>
  <c r="AK43" i="522"/>
  <c r="AH43" i="522"/>
  <c r="AL43" i="522" s="1"/>
  <c r="AM43" i="522" s="1"/>
  <c r="AN43" i="522" s="1"/>
  <c r="B43" i="522"/>
  <c r="AK42" i="522"/>
  <c r="AH42" i="522"/>
  <c r="B42" i="522"/>
  <c r="AK41" i="522"/>
  <c r="AH41" i="522"/>
  <c r="B41" i="522"/>
  <c r="AK40" i="522"/>
  <c r="AH40" i="522"/>
  <c r="B40" i="522"/>
  <c r="AK39" i="522"/>
  <c r="AH39" i="522"/>
  <c r="AL39" i="522" s="1"/>
  <c r="AM39" i="522" s="1"/>
  <c r="AN39" i="522" s="1"/>
  <c r="B39" i="522"/>
  <c r="AK38" i="522"/>
  <c r="AH38" i="522"/>
  <c r="B38" i="522"/>
  <c r="AK37" i="522"/>
  <c r="AH37" i="522"/>
  <c r="B37" i="522"/>
  <c r="AK36" i="522"/>
  <c r="AH36" i="522"/>
  <c r="B36" i="522"/>
  <c r="AK35" i="522"/>
  <c r="AH35" i="522"/>
  <c r="AL35" i="522" s="1"/>
  <c r="AM35" i="522" s="1"/>
  <c r="B35" i="522"/>
  <c r="AK34" i="522"/>
  <c r="AH34" i="522"/>
  <c r="B34" i="522"/>
  <c r="AK33" i="522"/>
  <c r="AH33" i="522"/>
  <c r="B33" i="522"/>
  <c r="AK32" i="522"/>
  <c r="AH32" i="522"/>
  <c r="B32" i="522"/>
  <c r="AK31" i="522"/>
  <c r="AH31" i="522"/>
  <c r="AL31" i="522" s="1"/>
  <c r="AM31" i="522" s="1"/>
  <c r="AN31" i="522" s="1"/>
  <c r="B31" i="522"/>
  <c r="AK30" i="522"/>
  <c r="AH30" i="522"/>
  <c r="B30" i="522"/>
  <c r="AK29" i="522"/>
  <c r="AH29" i="522"/>
  <c r="B29" i="522"/>
  <c r="AK28" i="522"/>
  <c r="AH28" i="522"/>
  <c r="B28" i="522"/>
  <c r="AK27" i="522"/>
  <c r="AH27" i="522"/>
  <c r="AL27" i="522" s="1"/>
  <c r="AM27" i="522" s="1"/>
  <c r="AN27" i="522" s="1"/>
  <c r="B27" i="522"/>
  <c r="AK26" i="522"/>
  <c r="AH26" i="522"/>
  <c r="B26" i="522"/>
  <c r="AK25" i="522"/>
  <c r="AH25" i="522"/>
  <c r="B25" i="522"/>
  <c r="AK24" i="522"/>
  <c r="AH24" i="522"/>
  <c r="B24" i="522"/>
  <c r="AK23" i="522"/>
  <c r="AH23" i="522"/>
  <c r="B23" i="522"/>
  <c r="AK22" i="522"/>
  <c r="AH22" i="522"/>
  <c r="B22" i="522"/>
  <c r="AK21" i="522"/>
  <c r="AH21" i="522"/>
  <c r="B21" i="522"/>
  <c r="AK20" i="522"/>
  <c r="AH20" i="522"/>
  <c r="B20" i="522"/>
  <c r="AK19" i="522"/>
  <c r="AH19" i="522"/>
  <c r="AL19" i="522" s="1"/>
  <c r="AM19" i="522" s="1"/>
  <c r="B19" i="522"/>
  <c r="AK18" i="522"/>
  <c r="AH18" i="522"/>
  <c r="B18" i="522"/>
  <c r="AK17" i="522"/>
  <c r="AH17" i="522"/>
  <c r="B17" i="522"/>
  <c r="AK16" i="522"/>
  <c r="AH16" i="522"/>
  <c r="B16" i="522"/>
  <c r="AK15" i="522"/>
  <c r="AH15" i="522"/>
  <c r="AL15" i="522" s="1"/>
  <c r="AM15" i="522" s="1"/>
  <c r="AN15" i="522" s="1"/>
  <c r="B15" i="522"/>
  <c r="AK14" i="522"/>
  <c r="AH14" i="522"/>
  <c r="AL14" i="522" s="1"/>
  <c r="AM14" i="522" s="1"/>
  <c r="AN14" i="522" s="1"/>
  <c r="B14" i="522"/>
  <c r="AK13" i="522"/>
  <c r="AH13" i="522"/>
  <c r="AL13" i="522" s="1"/>
  <c r="AM13" i="522" s="1"/>
  <c r="AN13" i="522" s="1"/>
  <c r="B13" i="522"/>
  <c r="AK12" i="522"/>
  <c r="AH12" i="522"/>
  <c r="B12" i="522"/>
  <c r="AK11" i="522"/>
  <c r="AH11" i="522"/>
  <c r="B11" i="522"/>
  <c r="AK10" i="522"/>
  <c r="AH10" i="522"/>
  <c r="B10" i="522"/>
  <c r="AK9" i="522"/>
  <c r="AH9" i="522"/>
  <c r="AL9" i="522" s="1"/>
  <c r="AM9" i="522" s="1"/>
  <c r="AN9" i="522" s="1"/>
  <c r="B9" i="522"/>
  <c r="AK8" i="522"/>
  <c r="AH8" i="522"/>
  <c r="B8" i="522"/>
  <c r="AK7" i="522"/>
  <c r="AH7" i="522"/>
  <c r="B7" i="522"/>
  <c r="AK6" i="522"/>
  <c r="AH6" i="522"/>
  <c r="B6" i="522"/>
  <c r="AH5" i="522"/>
  <c r="B5" i="522"/>
  <c r="AB154" i="530" l="1"/>
  <c r="AB151" i="530"/>
  <c r="U151" i="529"/>
  <c r="AB154" i="529" s="1"/>
  <c r="AA115" i="529"/>
  <c r="AL257" i="522"/>
  <c r="AM257" i="522" s="1"/>
  <c r="AN257" i="522" s="1"/>
  <c r="AL46" i="522"/>
  <c r="AM46" i="522" s="1"/>
  <c r="AN46" i="522" s="1"/>
  <c r="AL89" i="522"/>
  <c r="AM89" i="522" s="1"/>
  <c r="AN89" i="522" s="1"/>
  <c r="AL120" i="522"/>
  <c r="AM120" i="522" s="1"/>
  <c r="AN120" i="522" s="1"/>
  <c r="AL165" i="522"/>
  <c r="AM165" i="522" s="1"/>
  <c r="AN165" i="522" s="1"/>
  <c r="AL118" i="522"/>
  <c r="AM118" i="522" s="1"/>
  <c r="AL142" i="522"/>
  <c r="AM142" i="522" s="1"/>
  <c r="AN142" i="522" s="1"/>
  <c r="AL217" i="522"/>
  <c r="AM217" i="522" s="1"/>
  <c r="AN217" i="522" s="1"/>
  <c r="AL54" i="522"/>
  <c r="AM54" i="522" s="1"/>
  <c r="AN54" i="522" s="1"/>
  <c r="AL178" i="522"/>
  <c r="AM178" i="522" s="1"/>
  <c r="AL243" i="522"/>
  <c r="AM243" i="522" s="1"/>
  <c r="AN243" i="522" s="1"/>
  <c r="AL247" i="522"/>
  <c r="AM247" i="522" s="1"/>
  <c r="AN247" i="522" s="1"/>
  <c r="AL22" i="522"/>
  <c r="AM22" i="522" s="1"/>
  <c r="AN22" i="522" s="1"/>
  <c r="AL63" i="522"/>
  <c r="AM63" i="522" s="1"/>
  <c r="AN63" i="522" s="1"/>
  <c r="AL242" i="522"/>
  <c r="AM242" i="522" s="1"/>
  <c r="AN242" i="522" s="1"/>
  <c r="AL248" i="522"/>
  <c r="AM248" i="522" s="1"/>
  <c r="AN248" i="522" s="1"/>
  <c r="AU252" i="522" s="1"/>
  <c r="AL29" i="522"/>
  <c r="AM29" i="522" s="1"/>
  <c r="AT216" i="522" s="1"/>
  <c r="AL45" i="522"/>
  <c r="AM45" i="522" s="1"/>
  <c r="AN45" i="522" s="1"/>
  <c r="AL64" i="522"/>
  <c r="AM64" i="522" s="1"/>
  <c r="AN64" i="522" s="1"/>
  <c r="AL67" i="522"/>
  <c r="AM67" i="522" s="1"/>
  <c r="AN67" i="522" s="1"/>
  <c r="AL75" i="522"/>
  <c r="AM75" i="522" s="1"/>
  <c r="AN75" i="522" s="1"/>
  <c r="AL122" i="522"/>
  <c r="AM122" i="522" s="1"/>
  <c r="AN122" i="522" s="1"/>
  <c r="AL167" i="522"/>
  <c r="AM167" i="522" s="1"/>
  <c r="AN167" i="522" s="1"/>
  <c r="M5" i="522"/>
  <c r="AL227" i="522"/>
  <c r="AM227" i="522" s="1"/>
  <c r="AN227" i="522" s="1"/>
  <c r="AL239" i="522"/>
  <c r="AM239" i="522" s="1"/>
  <c r="AN239" i="522" s="1"/>
  <c r="AL28" i="522"/>
  <c r="AM28" i="522" s="1"/>
  <c r="AN28" i="522" s="1"/>
  <c r="AL88" i="522"/>
  <c r="AM88" i="522" s="1"/>
  <c r="AN88" i="522" s="1"/>
  <c r="AL119" i="522"/>
  <c r="AM119" i="522" s="1"/>
  <c r="AN119" i="522" s="1"/>
  <c r="AL195" i="522"/>
  <c r="AM195" i="522" s="1"/>
  <c r="AN195" i="522" s="1"/>
  <c r="AL203" i="522"/>
  <c r="AM203" i="522" s="1"/>
  <c r="AN203" i="522" s="1"/>
  <c r="AL23" i="522"/>
  <c r="AM23" i="522" s="1"/>
  <c r="AN23" i="522" s="1"/>
  <c r="AL87" i="522"/>
  <c r="AM87" i="522" s="1"/>
  <c r="AN87" i="522" s="1"/>
  <c r="AL114" i="522"/>
  <c r="AM114" i="522" s="1"/>
  <c r="AN114" i="522" s="1"/>
  <c r="AL180" i="522"/>
  <c r="AM180" i="522" s="1"/>
  <c r="AN180" i="522" s="1"/>
  <c r="AL194" i="522"/>
  <c r="AM194" i="522" s="1"/>
  <c r="AN194" i="522" s="1"/>
  <c r="AL202" i="522"/>
  <c r="AM202" i="522" s="1"/>
  <c r="AN202" i="522" s="1"/>
  <c r="AL213" i="522"/>
  <c r="AM213" i="522" s="1"/>
  <c r="AN213" i="522" s="1"/>
  <c r="AL244" i="522"/>
  <c r="AM244" i="522" s="1"/>
  <c r="AN244" i="522" s="1"/>
  <c r="AL249" i="522"/>
  <c r="AM249" i="522" s="1"/>
  <c r="AN249" i="522" s="1"/>
  <c r="AL7" i="522"/>
  <c r="AM7" i="522" s="1"/>
  <c r="AN7" i="522" s="1"/>
  <c r="AL11" i="522"/>
  <c r="AM11" i="522" s="1"/>
  <c r="AN11" i="522" s="1"/>
  <c r="AL17" i="522"/>
  <c r="AM17" i="522" s="1"/>
  <c r="AN17" i="522" s="1"/>
  <c r="AL21" i="522"/>
  <c r="AM21" i="522" s="1"/>
  <c r="AN21" i="522" s="1"/>
  <c r="AL25" i="522"/>
  <c r="AM25" i="522" s="1"/>
  <c r="AN25" i="522" s="1"/>
  <c r="AL33" i="522"/>
  <c r="AM33" i="522" s="1"/>
  <c r="AL37" i="522"/>
  <c r="AM37" i="522" s="1"/>
  <c r="AN37" i="522" s="1"/>
  <c r="AL41" i="522"/>
  <c r="AM41" i="522" s="1"/>
  <c r="AN41" i="522" s="1"/>
  <c r="AL47" i="522"/>
  <c r="AM47" i="522" s="1"/>
  <c r="AN47" i="522" s="1"/>
  <c r="AL55" i="522"/>
  <c r="AM55" i="522" s="1"/>
  <c r="AN55" i="522" s="1"/>
  <c r="AL56" i="522"/>
  <c r="AM56" i="522" s="1"/>
  <c r="AN56" i="522" s="1"/>
  <c r="AL69" i="522"/>
  <c r="AM69" i="522" s="1"/>
  <c r="AN69" i="522" s="1"/>
  <c r="AL77" i="522"/>
  <c r="AM77" i="522" s="1"/>
  <c r="AN77" i="522" s="1"/>
  <c r="AL82" i="522"/>
  <c r="AM82" i="522" s="1"/>
  <c r="AN82" i="522" s="1"/>
  <c r="AL116" i="522"/>
  <c r="AM116" i="522" s="1"/>
  <c r="AL121" i="522"/>
  <c r="AM121" i="522" s="1"/>
  <c r="AN121" i="522" s="1"/>
  <c r="AL125" i="522"/>
  <c r="AM125" i="522" s="1"/>
  <c r="AN125" i="522" s="1"/>
  <c r="AL131" i="522"/>
  <c r="AM131" i="522" s="1"/>
  <c r="AN131" i="522" s="1"/>
  <c r="AL135" i="522"/>
  <c r="AM135" i="522" s="1"/>
  <c r="AN135" i="522" s="1"/>
  <c r="AL139" i="522"/>
  <c r="AM139" i="522" s="1"/>
  <c r="AN139" i="522" s="1"/>
  <c r="AL140" i="522"/>
  <c r="AM140" i="522" s="1"/>
  <c r="AN140" i="522" s="1"/>
  <c r="AL170" i="522"/>
  <c r="AM170" i="522" s="1"/>
  <c r="AN170" i="522" s="1"/>
  <c r="AL174" i="522"/>
  <c r="AM174" i="522" s="1"/>
  <c r="AN174" i="522" s="1"/>
  <c r="AL179" i="522"/>
  <c r="AM179" i="522" s="1"/>
  <c r="AN179" i="522" s="1"/>
  <c r="AL209" i="522"/>
  <c r="AM209" i="522" s="1"/>
  <c r="AN209" i="522" s="1"/>
  <c r="AL223" i="522"/>
  <c r="AM223" i="522" s="1"/>
  <c r="AL235" i="522"/>
  <c r="AM235" i="522" s="1"/>
  <c r="AL220" i="522"/>
  <c r="AM220" i="522" s="1"/>
  <c r="AN220" i="522" s="1"/>
  <c r="AL8" i="522"/>
  <c r="AM8" i="522" s="1"/>
  <c r="AN8" i="522" s="1"/>
  <c r="AL12" i="522"/>
  <c r="AM12" i="522" s="1"/>
  <c r="AN12" i="522" s="1"/>
  <c r="AL18" i="522"/>
  <c r="AM18" i="522" s="1"/>
  <c r="AN18" i="522" s="1"/>
  <c r="AL24" i="522"/>
  <c r="AM24" i="522" s="1"/>
  <c r="AN24" i="522" s="1"/>
  <c r="AU215" i="522" s="1"/>
  <c r="AL30" i="522"/>
  <c r="AM30" i="522" s="1"/>
  <c r="AN30" i="522" s="1"/>
  <c r="AU217" i="522" s="1"/>
  <c r="AL34" i="522"/>
  <c r="AM34" i="522" s="1"/>
  <c r="AN34" i="522" s="1"/>
  <c r="AL38" i="522"/>
  <c r="AM38" i="522" s="1"/>
  <c r="AN38" i="522" s="1"/>
  <c r="AL42" i="522"/>
  <c r="AM42" i="522" s="1"/>
  <c r="AN42" i="522" s="1"/>
  <c r="AL48" i="522"/>
  <c r="AM48" i="522" s="1"/>
  <c r="AN48" i="522" s="1"/>
  <c r="AL57" i="522"/>
  <c r="AM57" i="522" s="1"/>
  <c r="AN57" i="522" s="1"/>
  <c r="AL61" i="522"/>
  <c r="AM61" i="522" s="1"/>
  <c r="AN61" i="522" s="1"/>
  <c r="AU222" i="522" s="1"/>
  <c r="AL68" i="522"/>
  <c r="AM68" i="522" s="1"/>
  <c r="AN68" i="522" s="1"/>
  <c r="AL72" i="522"/>
  <c r="AM72" i="522" s="1"/>
  <c r="AN72" i="522" s="1"/>
  <c r="AL76" i="522"/>
  <c r="AM76" i="522" s="1"/>
  <c r="AN76" i="522" s="1"/>
  <c r="AL80" i="522"/>
  <c r="AM80" i="522" s="1"/>
  <c r="AN80" i="522" s="1"/>
  <c r="AL85" i="522"/>
  <c r="AM85" i="522" s="1"/>
  <c r="AN85" i="522" s="1"/>
  <c r="AL92" i="522"/>
  <c r="AM92" i="522" s="1"/>
  <c r="AN92" i="522" s="1"/>
  <c r="AL98" i="522"/>
  <c r="AM98" i="522" s="1"/>
  <c r="AN98" i="522" s="1"/>
  <c r="AL102" i="522"/>
  <c r="AM102" i="522" s="1"/>
  <c r="AN102" i="522" s="1"/>
  <c r="AL106" i="522"/>
  <c r="AM106" i="522" s="1"/>
  <c r="AN106" i="522" s="1"/>
  <c r="AL110" i="522"/>
  <c r="AM110" i="522" s="1"/>
  <c r="AN110" i="522" s="1"/>
  <c r="AL115" i="522"/>
  <c r="AM115" i="522" s="1"/>
  <c r="AL126" i="522"/>
  <c r="AM126" i="522" s="1"/>
  <c r="AN126" i="522" s="1"/>
  <c r="AL132" i="522"/>
  <c r="AM132" i="522" s="1"/>
  <c r="AN132" i="522" s="1"/>
  <c r="AL136" i="522"/>
  <c r="AM136" i="522" s="1"/>
  <c r="AL146" i="522"/>
  <c r="AM146" i="522" s="1"/>
  <c r="AN146" i="522" s="1"/>
  <c r="AL150" i="522"/>
  <c r="AM150" i="522" s="1"/>
  <c r="AN150" i="522" s="1"/>
  <c r="AL163" i="522"/>
  <c r="AM163" i="522" s="1"/>
  <c r="AN163" i="522" s="1"/>
  <c r="AL169" i="522"/>
  <c r="AM169" i="522" s="1"/>
  <c r="AN169" i="522" s="1"/>
  <c r="AL173" i="522"/>
  <c r="AM173" i="522" s="1"/>
  <c r="AL177" i="522"/>
  <c r="AM177" i="522" s="1"/>
  <c r="AN177" i="522" s="1"/>
  <c r="AL185" i="522"/>
  <c r="AM185" i="522" s="1"/>
  <c r="AN185" i="522" s="1"/>
  <c r="AL189" i="522"/>
  <c r="AM189" i="522" s="1"/>
  <c r="AN189" i="522" s="1"/>
  <c r="AL200" i="522"/>
  <c r="AM200" i="522" s="1"/>
  <c r="AN200" i="522" s="1"/>
  <c r="AL206" i="522"/>
  <c r="AM206" i="522" s="1"/>
  <c r="AN206" i="522" s="1"/>
  <c r="AL226" i="522"/>
  <c r="AM226" i="522" s="1"/>
  <c r="AN226" i="522" s="1"/>
  <c r="AL238" i="522"/>
  <c r="AM238" i="522" s="1"/>
  <c r="AN238" i="522" s="1"/>
  <c r="AL241" i="522"/>
  <c r="AM241" i="522" s="1"/>
  <c r="AN241" i="522" s="1"/>
  <c r="AL252" i="522"/>
  <c r="AM252" i="522" s="1"/>
  <c r="AN252" i="522" s="1"/>
  <c r="AL253" i="522"/>
  <c r="AM253" i="522" s="1"/>
  <c r="AN253" i="522" s="1"/>
  <c r="AU255" i="522" s="1"/>
  <c r="AL6" i="522"/>
  <c r="AM6" i="522" s="1"/>
  <c r="AN6" i="522" s="1"/>
  <c r="AL10" i="522"/>
  <c r="AM10" i="522" s="1"/>
  <c r="AN10" i="522" s="1"/>
  <c r="AL16" i="522"/>
  <c r="AM16" i="522" s="1"/>
  <c r="AN16" i="522" s="1"/>
  <c r="AL20" i="522"/>
  <c r="AM20" i="522" s="1"/>
  <c r="AN20" i="522" s="1"/>
  <c r="AL26" i="522"/>
  <c r="AM26" i="522" s="1"/>
  <c r="AN26" i="522" s="1"/>
  <c r="AL32" i="522"/>
  <c r="AM32" i="522" s="1"/>
  <c r="AN32" i="522" s="1"/>
  <c r="AL36" i="522"/>
  <c r="AM36" i="522" s="1"/>
  <c r="AN36" i="522" s="1"/>
  <c r="AL40" i="522"/>
  <c r="AM40" i="522" s="1"/>
  <c r="AN40" i="522" s="1"/>
  <c r="AL44" i="522"/>
  <c r="AM44" i="522" s="1"/>
  <c r="AN44" i="522" s="1"/>
  <c r="AL50" i="522"/>
  <c r="AM50" i="522" s="1"/>
  <c r="AN50" i="522" s="1"/>
  <c r="AL53" i="522"/>
  <c r="AM53" i="522" s="1"/>
  <c r="AN53" i="522" s="1"/>
  <c r="AL59" i="522"/>
  <c r="AM59" i="522" s="1"/>
  <c r="AN59" i="522" s="1"/>
  <c r="AL66" i="522"/>
  <c r="AM66" i="522" s="1"/>
  <c r="AN66" i="522" s="1"/>
  <c r="AL70" i="522"/>
  <c r="AM70" i="522" s="1"/>
  <c r="AN70" i="522" s="1"/>
  <c r="AL74" i="522"/>
  <c r="AM74" i="522" s="1"/>
  <c r="AN74" i="522" s="1"/>
  <c r="AL78" i="522"/>
  <c r="AM78" i="522" s="1"/>
  <c r="AN78" i="522" s="1"/>
  <c r="AL83" i="522"/>
  <c r="AM83" i="522" s="1"/>
  <c r="AN83" i="522" s="1"/>
  <c r="AL94" i="522"/>
  <c r="AM94" i="522" s="1"/>
  <c r="AL100" i="522"/>
  <c r="AM100" i="522" s="1"/>
  <c r="AN100" i="522" s="1"/>
  <c r="AL104" i="522"/>
  <c r="AM104" i="522" s="1"/>
  <c r="AN104" i="522" s="1"/>
  <c r="AL108" i="522"/>
  <c r="AM108" i="522" s="1"/>
  <c r="AN108" i="522" s="1"/>
  <c r="AL112" i="522"/>
  <c r="AM112" i="522" s="1"/>
  <c r="AL117" i="522"/>
  <c r="AM117" i="522" s="1"/>
  <c r="AN117" i="522" s="1"/>
  <c r="AL124" i="522"/>
  <c r="AM124" i="522" s="1"/>
  <c r="AN124" i="522" s="1"/>
  <c r="AL130" i="522"/>
  <c r="AM130" i="522" s="1"/>
  <c r="AN130" i="522" s="1"/>
  <c r="AL134" i="522"/>
  <c r="AM134" i="522" s="1"/>
  <c r="AN134" i="522" s="1"/>
  <c r="AU231" i="522" s="1"/>
  <c r="AL138" i="522"/>
  <c r="AM138" i="522" s="1"/>
  <c r="AN138" i="522" s="1"/>
  <c r="AL144" i="522"/>
  <c r="AM144" i="522" s="1"/>
  <c r="AN144" i="522" s="1"/>
  <c r="AL148" i="522"/>
  <c r="AM148" i="522" s="1"/>
  <c r="AN148" i="522" s="1"/>
  <c r="AL152" i="522"/>
  <c r="AM152" i="522" s="1"/>
  <c r="AN152" i="522" s="1"/>
  <c r="AL166" i="522"/>
  <c r="AM166" i="522" s="1"/>
  <c r="AN166" i="522" s="1"/>
  <c r="AL171" i="522"/>
  <c r="AM171" i="522" s="1"/>
  <c r="AN171" i="522" s="1"/>
  <c r="AU233" i="522" s="1"/>
  <c r="AL175" i="522"/>
  <c r="AM175" i="522" s="1"/>
  <c r="AN175" i="522" s="1"/>
  <c r="AL183" i="522"/>
  <c r="AM183" i="522" s="1"/>
  <c r="AN183" i="522" s="1"/>
  <c r="AL187" i="522"/>
  <c r="AM187" i="522" s="1"/>
  <c r="AN187" i="522" s="1"/>
  <c r="AL191" i="522"/>
  <c r="AM191" i="522" s="1"/>
  <c r="AN191" i="522" s="1"/>
  <c r="AL198" i="522"/>
  <c r="AM198" i="522" s="1"/>
  <c r="AN198" i="522" s="1"/>
  <c r="AL208" i="522"/>
  <c r="AM208" i="522" s="1"/>
  <c r="AN208" i="522" s="1"/>
  <c r="AL214" i="522"/>
  <c r="AM214" i="522" s="1"/>
  <c r="AN214" i="522" s="1"/>
  <c r="AL215" i="522"/>
  <c r="AM215" i="522" s="1"/>
  <c r="AN215" i="522" s="1"/>
  <c r="AL216" i="522"/>
  <c r="AM216" i="522" s="1"/>
  <c r="AN216" i="522" s="1"/>
  <c r="AL218" i="522"/>
  <c r="AM218" i="522" s="1"/>
  <c r="AN218" i="522" s="1"/>
  <c r="AL219" i="522"/>
  <c r="AM219" i="522" s="1"/>
  <c r="AN219" i="522" s="1"/>
  <c r="AL224" i="522"/>
  <c r="AM224" i="522" s="1"/>
  <c r="AN224" i="522" s="1"/>
  <c r="AU242" i="522" s="1"/>
  <c r="AL225" i="522"/>
  <c r="AM225" i="522" s="1"/>
  <c r="AL228" i="522"/>
  <c r="AM228" i="522" s="1"/>
  <c r="AN228" i="522" s="1"/>
  <c r="AL229" i="522"/>
  <c r="AM229" i="522" s="1"/>
  <c r="AN229" i="522" s="1"/>
  <c r="AL230" i="522"/>
  <c r="AM230" i="522" s="1"/>
  <c r="AN230" i="522" s="1"/>
  <c r="AU244" i="522" s="1"/>
  <c r="AL232" i="522"/>
  <c r="AM232" i="522" s="1"/>
  <c r="AL233" i="522"/>
  <c r="AM233" i="522" s="1"/>
  <c r="AN233" i="522" s="1"/>
  <c r="AL234" i="522"/>
  <c r="AM234" i="522" s="1"/>
  <c r="AN234" i="522" s="1"/>
  <c r="AU247" i="522" s="1"/>
  <c r="AL236" i="522"/>
  <c r="AM236" i="522" s="1"/>
  <c r="AN236" i="522" s="1"/>
  <c r="AL240" i="522"/>
  <c r="AM240" i="522" s="1"/>
  <c r="AN240" i="522" s="1"/>
  <c r="AL245" i="522"/>
  <c r="AM245" i="522" s="1"/>
  <c r="AN245" i="522" s="1"/>
  <c r="AL246" i="522"/>
  <c r="AM246" i="522" s="1"/>
  <c r="AN246" i="522" s="1"/>
  <c r="AU251" i="522" s="1"/>
  <c r="AL254" i="522"/>
  <c r="AM254" i="522" s="1"/>
  <c r="AN254" i="522" s="1"/>
  <c r="AL255" i="522"/>
  <c r="AM255" i="522" s="1"/>
  <c r="AN255" i="522" s="1"/>
  <c r="AL256" i="522"/>
  <c r="AM256" i="522" s="1"/>
  <c r="AV257" i="522"/>
  <c r="AL81" i="522"/>
  <c r="AM81" i="522" s="1"/>
  <c r="AN81" i="522" s="1"/>
  <c r="AL164" i="522"/>
  <c r="AM164" i="522" s="1"/>
  <c r="AN164" i="522" s="1"/>
  <c r="AL73" i="522"/>
  <c r="AM73" i="522" s="1"/>
  <c r="AN73" i="522" s="1"/>
  <c r="AL105" i="522"/>
  <c r="AM105" i="522" s="1"/>
  <c r="AN105" i="522" s="1"/>
  <c r="AL137" i="522"/>
  <c r="AM137" i="522" s="1"/>
  <c r="AN137" i="522" s="1"/>
  <c r="AL154" i="522"/>
  <c r="AM154" i="522" s="1"/>
  <c r="AN154" i="522" s="1"/>
  <c r="AL158" i="522"/>
  <c r="AM158" i="522" s="1"/>
  <c r="AN158" i="522" s="1"/>
  <c r="AL172" i="522"/>
  <c r="AM172" i="522" s="1"/>
  <c r="AN172" i="522" s="1"/>
  <c r="AL188" i="522"/>
  <c r="AM188" i="522" s="1"/>
  <c r="AN188" i="522" s="1"/>
  <c r="AL231" i="522"/>
  <c r="AM231" i="522" s="1"/>
  <c r="AL251" i="522"/>
  <c r="AM251" i="522" s="1"/>
  <c r="AN251" i="522" s="1"/>
  <c r="AL113" i="522"/>
  <c r="AM113" i="522" s="1"/>
  <c r="AN113" i="522" s="1"/>
  <c r="AL160" i="522"/>
  <c r="AM160" i="522" s="1"/>
  <c r="AN160" i="522" s="1"/>
  <c r="AL65" i="522"/>
  <c r="AM65" i="522" s="1"/>
  <c r="AN65" i="522" s="1"/>
  <c r="AL97" i="522"/>
  <c r="AM97" i="522" s="1"/>
  <c r="AN97" i="522" s="1"/>
  <c r="AL129" i="522"/>
  <c r="AM129" i="522" s="1"/>
  <c r="AN129" i="522" s="1"/>
  <c r="AU214" i="522"/>
  <c r="AT215" i="522"/>
  <c r="AT218" i="522"/>
  <c r="AN33" i="522"/>
  <c r="AU218" i="522" s="1"/>
  <c r="AT219" i="522"/>
  <c r="AN35" i="522"/>
  <c r="AU219" i="522" s="1"/>
  <c r="AT211" i="522"/>
  <c r="AN19" i="522"/>
  <c r="AU211" i="522" s="1"/>
  <c r="AN29" i="522"/>
  <c r="AU216" i="522" s="1"/>
  <c r="AT231" i="522"/>
  <c r="AK51" i="522"/>
  <c r="AT226" i="522"/>
  <c r="AN115" i="522"/>
  <c r="AU226" i="522" s="1"/>
  <c r="AT212" i="522"/>
  <c r="AT224" i="522"/>
  <c r="AN112" i="522"/>
  <c r="AU224" i="522" s="1"/>
  <c r="AT228" i="522"/>
  <c r="AN116" i="522"/>
  <c r="AU228" i="522" s="1"/>
  <c r="AT229" i="522"/>
  <c r="AN118" i="522"/>
  <c r="AU229" i="522" s="1"/>
  <c r="AN136" i="522"/>
  <c r="AU212" i="522"/>
  <c r="AT214" i="522"/>
  <c r="AT217" i="522"/>
  <c r="AT222" i="522"/>
  <c r="AT223" i="522"/>
  <c r="AN94" i="522"/>
  <c r="AU223" i="522" s="1"/>
  <c r="AT230" i="522"/>
  <c r="AN123" i="522"/>
  <c r="AU230" i="522" s="1"/>
  <c r="AT235" i="522"/>
  <c r="AN178" i="522"/>
  <c r="AU235" i="522" s="1"/>
  <c r="AL143" i="522"/>
  <c r="AM143" i="522" s="1"/>
  <c r="AN143" i="522" s="1"/>
  <c r="AH51" i="522"/>
  <c r="AL141" i="522"/>
  <c r="AM141" i="522" s="1"/>
  <c r="AN141" i="522" s="1"/>
  <c r="AL147" i="522"/>
  <c r="AM147" i="522" s="1"/>
  <c r="AN147" i="522" s="1"/>
  <c r="AL157" i="522"/>
  <c r="AM157" i="522" s="1"/>
  <c r="AN157" i="522" s="1"/>
  <c r="AT233" i="522"/>
  <c r="AT236" i="522"/>
  <c r="AN186" i="522"/>
  <c r="AU236" i="522" s="1"/>
  <c r="AT254" i="522"/>
  <c r="AN250" i="522"/>
  <c r="AU254" i="522" s="1"/>
  <c r="AN223" i="522"/>
  <c r="AU241" i="522" s="1"/>
  <c r="AT241" i="522"/>
  <c r="AT252" i="522"/>
  <c r="AT234" i="522"/>
  <c r="AN221" i="522"/>
  <c r="AU239" i="522" s="1"/>
  <c r="AT239" i="522"/>
  <c r="AN225" i="522"/>
  <c r="AU243" i="522" s="1"/>
  <c r="AT243" i="522"/>
  <c r="AN173" i="522"/>
  <c r="AU234" i="522" s="1"/>
  <c r="AN205" i="522"/>
  <c r="AT242" i="522"/>
  <c r="AT246" i="522"/>
  <c r="AT244" i="522"/>
  <c r="AN231" i="522"/>
  <c r="AU245" i="522" s="1"/>
  <c r="AT245" i="522"/>
  <c r="AT251" i="522"/>
  <c r="AL210" i="522"/>
  <c r="AM210" i="522" s="1"/>
  <c r="AN210" i="522" s="1"/>
  <c r="AN232" i="522"/>
  <c r="AU246" i="522" s="1"/>
  <c r="AN235" i="522"/>
  <c r="AU249" i="522" s="1"/>
  <c r="AT249" i="522"/>
  <c r="AT255" i="522"/>
  <c r="AB151" i="529" l="1"/>
  <c r="AL51" i="522"/>
  <c r="AM51" i="522" s="1"/>
  <c r="AN51" i="522" s="1"/>
  <c r="AU221" i="522" s="1"/>
  <c r="AT256" i="522"/>
  <c r="AN256" i="522"/>
  <c r="AU256" i="522" s="1"/>
  <c r="AU237" i="522"/>
  <c r="AU232" i="522"/>
  <c r="AH259" i="522"/>
  <c r="AT237" i="522"/>
  <c r="AT232" i="522"/>
  <c r="AT221" i="522"/>
  <c r="AT209" i="522"/>
  <c r="AT257" i="522" l="1"/>
  <c r="AU209" i="522"/>
  <c r="AU257" i="522" s="1"/>
  <c r="D11" i="481" l="1"/>
  <c r="Z5" i="520" l="1"/>
  <c r="AA5" i="520"/>
  <c r="U5" i="520"/>
  <c r="S5" i="520"/>
  <c r="R5" i="520"/>
  <c r="M5" i="520"/>
  <c r="K5" i="520"/>
  <c r="J5" i="520"/>
  <c r="AG63" i="520"/>
  <c r="AG62" i="520"/>
  <c r="AG61" i="520"/>
  <c r="AG60" i="520"/>
  <c r="AF60" i="520"/>
  <c r="AE60" i="520"/>
  <c r="AG59" i="520"/>
  <c r="AG58" i="520"/>
  <c r="AG57" i="520"/>
  <c r="AF57" i="520"/>
  <c r="AE57" i="520"/>
  <c r="AG56" i="520"/>
  <c r="AG55" i="520"/>
  <c r="AF55" i="520"/>
  <c r="AE55" i="520"/>
  <c r="AG54" i="520"/>
  <c r="AG53" i="520"/>
  <c r="AG52" i="520"/>
  <c r="AG51" i="520"/>
  <c r="AF51" i="520"/>
  <c r="AG50" i="520"/>
  <c r="AG49" i="520"/>
  <c r="AG48" i="520"/>
  <c r="AG47" i="520"/>
  <c r="AF47" i="520"/>
  <c r="AE47" i="520"/>
  <c r="AG46" i="520"/>
  <c r="AG45" i="520"/>
  <c r="AE45" i="520"/>
  <c r="AG44" i="520"/>
  <c r="AG43" i="520"/>
  <c r="AG42" i="520"/>
  <c r="AG41" i="520"/>
  <c r="AG40" i="520"/>
  <c r="AG39" i="520"/>
  <c r="AG38" i="520"/>
  <c r="AG37" i="520"/>
  <c r="AG36" i="520"/>
  <c r="AG35" i="520"/>
  <c r="AG34" i="520"/>
  <c r="AF34" i="520"/>
  <c r="AE34" i="520"/>
  <c r="AG33" i="520"/>
  <c r="AG32" i="520"/>
  <c r="AF32" i="520"/>
  <c r="AE32" i="520"/>
  <c r="AG31" i="520"/>
  <c r="AG30" i="520"/>
  <c r="AG29" i="520"/>
  <c r="AG28" i="520"/>
  <c r="AG26" i="520"/>
  <c r="AG25" i="520"/>
  <c r="AG24" i="520"/>
  <c r="AG23" i="520"/>
  <c r="AG22" i="520"/>
  <c r="AG21" i="520"/>
  <c r="AG20" i="520"/>
  <c r="AF20" i="520"/>
  <c r="AE20" i="520"/>
  <c r="AG19" i="520"/>
  <c r="AG18" i="520"/>
  <c r="AG17" i="520"/>
  <c r="AF17" i="520"/>
  <c r="AE17" i="520"/>
  <c r="AG16" i="520"/>
  <c r="Z12" i="520"/>
  <c r="AA6" i="520"/>
  <c r="U6" i="520"/>
  <c r="S6" i="520"/>
  <c r="R6" i="520"/>
  <c r="AE25" i="520"/>
  <c r="AE24" i="520"/>
  <c r="AE23" i="520"/>
  <c r="T5" i="520"/>
  <c r="H5" i="520"/>
  <c r="I5" i="520" s="1"/>
  <c r="B5" i="520"/>
  <c r="Q5" i="520" l="1"/>
  <c r="P5" i="520" s="1"/>
  <c r="L5" i="520"/>
  <c r="T6" i="520"/>
  <c r="AE26" i="520"/>
  <c r="AE28" i="520"/>
  <c r="AE30" i="520"/>
  <c r="AE31" i="520"/>
  <c r="AE33" i="520"/>
  <c r="AE37" i="520"/>
  <c r="AE38" i="520"/>
  <c r="AE29" i="520"/>
  <c r="AE35" i="520"/>
  <c r="AE36" i="520"/>
  <c r="AE42" i="520"/>
  <c r="AE40" i="520"/>
  <c r="AE41" i="520"/>
  <c r="AE46" i="520"/>
  <c r="AF49" i="520"/>
  <c r="AE50" i="520"/>
  <c r="AE43" i="520"/>
  <c r="AE48" i="520"/>
  <c r="AE58" i="520"/>
  <c r="AE53" i="520"/>
  <c r="AF45" i="520"/>
  <c r="AE49" i="520"/>
  <c r="AE51" i="520"/>
  <c r="AE52" i="520"/>
  <c r="AF53" i="520"/>
  <c r="AE54" i="520"/>
  <c r="AG64" i="520"/>
  <c r="AE56" i="520"/>
  <c r="AE63" i="520" l="1"/>
  <c r="AF52" i="520"/>
  <c r="AE59" i="520"/>
  <c r="AF54" i="520"/>
  <c r="AE44" i="520"/>
  <c r="AF46" i="520"/>
  <c r="AF42" i="520"/>
  <c r="AF36" i="520"/>
  <c r="AF31" i="520"/>
  <c r="AE22" i="520"/>
  <c r="AE19" i="520"/>
  <c r="AF62" i="520"/>
  <c r="AF50" i="520"/>
  <c r="AF40" i="520"/>
  <c r="AF23" i="520"/>
  <c r="AF24" i="520"/>
  <c r="AE62" i="520"/>
  <c r="AF37" i="520"/>
  <c r="AF33" i="520"/>
  <c r="AF26" i="520"/>
  <c r="AE21" i="520"/>
  <c r="AE18" i="520"/>
  <c r="AE61" i="520"/>
  <c r="AF48" i="520"/>
  <c r="AF56" i="520"/>
  <c r="AF41" i="520"/>
  <c r="AE39" i="520"/>
  <c r="AF35" i="520"/>
  <c r="AF25" i="520"/>
  <c r="AF38" i="520"/>
  <c r="AF30" i="520"/>
  <c r="AF28" i="520"/>
  <c r="AE16" i="520" l="1"/>
  <c r="AE64" i="520" s="1"/>
  <c r="AF59" i="520"/>
  <c r="AF22" i="520"/>
  <c r="AF39" i="520"/>
  <c r="AF44" i="520"/>
  <c r="AF58" i="520"/>
  <c r="AF63" i="520"/>
  <c r="AF29" i="520"/>
  <c r="AF18" i="520"/>
  <c r="AF61" i="520"/>
  <c r="AF21" i="520"/>
  <c r="AF43" i="520"/>
  <c r="AF19" i="520"/>
  <c r="AF16" i="520" l="1"/>
  <c r="AF64" i="520" s="1"/>
  <c r="Z6" i="520"/>
  <c r="Z13" i="520" s="1"/>
  <c r="Z14" i="520" s="1"/>
  <c r="O5" i="522" l="1"/>
  <c r="N5" i="522" s="1"/>
  <c r="E90" i="481" l="1"/>
  <c r="AI5" i="522" l="1"/>
  <c r="AI259" i="522" s="1"/>
  <c r="P53" i="408" l="1"/>
  <c r="U53" i="408" s="1"/>
  <c r="U50" i="408"/>
  <c r="P50" i="408"/>
  <c r="P44" i="408"/>
  <c r="U44" i="408" s="1"/>
  <c r="P41" i="408"/>
  <c r="P37" i="408"/>
  <c r="U37" i="408" s="1"/>
  <c r="P35" i="408"/>
  <c r="U35" i="408" s="1"/>
  <c r="U59" i="408" s="1"/>
  <c r="R19" i="408"/>
  <c r="U163" i="401"/>
  <c r="AB161" i="401"/>
  <c r="U160" i="401"/>
  <c r="AB160" i="401" s="1"/>
  <c r="Q153" i="401"/>
  <c r="U153" i="401" s="1"/>
  <c r="Q152" i="401"/>
  <c r="U152" i="401" s="1"/>
  <c r="Q149" i="401"/>
  <c r="U149" i="401" s="1"/>
  <c r="U148" i="401"/>
  <c r="Q148" i="401"/>
  <c r="Q144" i="401"/>
  <c r="U144" i="401" s="1"/>
  <c r="Q143" i="401"/>
  <c r="U143" i="401" s="1"/>
  <c r="U142" i="401" s="1"/>
  <c r="U140" i="401"/>
  <c r="Q140" i="401"/>
  <c r="Q139" i="401"/>
  <c r="U139" i="401" s="1"/>
  <c r="U138" i="401" s="1"/>
  <c r="Q135" i="401"/>
  <c r="U135" i="401" s="1"/>
  <c r="U132" i="401"/>
  <c r="U130" i="401"/>
  <c r="U129" i="401" s="1"/>
  <c r="U126" i="401"/>
  <c r="U119" i="401"/>
  <c r="Q106" i="401"/>
  <c r="AB80" i="401"/>
  <c r="Q104" i="401" s="1"/>
  <c r="V49" i="401"/>
  <c r="Q48" i="401"/>
  <c r="M48" i="401"/>
  <c r="U40" i="401"/>
  <c r="U41" i="401" s="1"/>
  <c r="AB92" i="401" s="1"/>
  <c r="J31" i="401"/>
  <c r="T31" i="401" s="1"/>
  <c r="J30" i="401"/>
  <c r="T30" i="401" s="1"/>
  <c r="J25" i="401"/>
  <c r="T25" i="401" s="1"/>
  <c r="Q17" i="401"/>
  <c r="M17" i="401"/>
  <c r="J24" i="401" s="1"/>
  <c r="T24" i="401" s="1"/>
  <c r="V16" i="401"/>
  <c r="V15" i="401"/>
  <c r="V17" i="401" s="1"/>
  <c r="Q120" i="401" s="1"/>
  <c r="F34" i="403"/>
  <c r="U42" i="390"/>
  <c r="U39" i="390"/>
  <c r="U35" i="390"/>
  <c r="U31" i="390"/>
  <c r="U27" i="390"/>
  <c r="U12" i="390"/>
  <c r="U46" i="390" s="1"/>
  <c r="M13" i="481"/>
  <c r="L13" i="481"/>
  <c r="E13" i="481"/>
  <c r="C13" i="481"/>
  <c r="B13" i="481"/>
  <c r="N12" i="481"/>
  <c r="F12" i="481"/>
  <c r="G12" i="481" s="1"/>
  <c r="H12" i="481" s="1"/>
  <c r="D12" i="481"/>
  <c r="D13" i="481" s="1"/>
  <c r="F11" i="481"/>
  <c r="A5" i="481"/>
  <c r="O4" i="481"/>
  <c r="U53" i="337"/>
  <c r="P53" i="337"/>
  <c r="U50" i="337"/>
  <c r="P50" i="337"/>
  <c r="P37" i="337"/>
  <c r="U37" i="337" s="1"/>
  <c r="U35" i="337"/>
  <c r="P35" i="337"/>
  <c r="H19" i="337"/>
  <c r="R19" i="337" s="1"/>
  <c r="P41" i="337" s="1"/>
  <c r="P14" i="337"/>
  <c r="U163" i="353"/>
  <c r="AB161" i="353" s="1"/>
  <c r="U160" i="353"/>
  <c r="AB160" i="353" s="1"/>
  <c r="U153" i="353"/>
  <c r="Q153" i="353"/>
  <c r="U152" i="353"/>
  <c r="U151" i="353" s="1"/>
  <c r="Q152" i="353"/>
  <c r="Q149" i="353"/>
  <c r="U149" i="353" s="1"/>
  <c r="U148" i="353"/>
  <c r="Q148" i="353"/>
  <c r="U144" i="353"/>
  <c r="Q144" i="353"/>
  <c r="Q143" i="353"/>
  <c r="U143" i="353" s="1"/>
  <c r="U142" i="353" s="1"/>
  <c r="U140" i="353"/>
  <c r="Q140" i="353"/>
  <c r="Q139" i="353"/>
  <c r="U139" i="353" s="1"/>
  <c r="U138" i="353" s="1"/>
  <c r="Q135" i="353"/>
  <c r="U135" i="353" s="1"/>
  <c r="U132" i="353"/>
  <c r="U130" i="353"/>
  <c r="U129" i="353" s="1"/>
  <c r="U126" i="353"/>
  <c r="U119" i="353"/>
  <c r="AB80" i="353"/>
  <c r="Q106" i="353" s="1"/>
  <c r="V49" i="353"/>
  <c r="Q48" i="353"/>
  <c r="M48" i="353"/>
  <c r="U41" i="353"/>
  <c r="AB92" i="353" s="1"/>
  <c r="U40" i="353"/>
  <c r="J31" i="353"/>
  <c r="T31" i="353" s="1"/>
  <c r="T30" i="353"/>
  <c r="J30" i="353"/>
  <c r="T25" i="353"/>
  <c r="J25" i="353"/>
  <c r="Q17" i="353"/>
  <c r="M17" i="353"/>
  <c r="J24" i="353" s="1"/>
  <c r="T24" i="353" s="1"/>
  <c r="V16" i="353"/>
  <c r="V15" i="353"/>
  <c r="V17" i="353" s="1"/>
  <c r="Q120" i="353" s="1"/>
  <c r="F36" i="355"/>
  <c r="U40" i="335"/>
  <c r="U37" i="335"/>
  <c r="U33" i="335"/>
  <c r="U29" i="335"/>
  <c r="U25" i="335"/>
  <c r="U11" i="335"/>
  <c r="U44" i="335" s="1"/>
  <c r="AJ5" i="522"/>
  <c r="AC92" i="401" l="1"/>
  <c r="AD92" i="401"/>
  <c r="U147" i="401"/>
  <c r="U27" i="401"/>
  <c r="U26" i="401"/>
  <c r="U151" i="401"/>
  <c r="U26" i="353"/>
  <c r="U27" i="353"/>
  <c r="AC92" i="353"/>
  <c r="AD92" i="353"/>
  <c r="U147" i="353"/>
  <c r="Q83" i="353"/>
  <c r="Q95" i="353"/>
  <c r="Q114" i="353"/>
  <c r="U114" i="353" s="1"/>
  <c r="I12" i="481"/>
  <c r="Q81" i="401"/>
  <c r="Q112" i="401"/>
  <c r="Q109" i="401"/>
  <c r="M120" i="401"/>
  <c r="V48" i="353"/>
  <c r="Q85" i="353"/>
  <c r="Q98" i="353"/>
  <c r="P44" i="337"/>
  <c r="U44" i="337" s="1"/>
  <c r="U59" i="337" s="1"/>
  <c r="Q83" i="401"/>
  <c r="Q95" i="401"/>
  <c r="Q114" i="401"/>
  <c r="U114" i="401" s="1"/>
  <c r="M120" i="353"/>
  <c r="Q109" i="353"/>
  <c r="Q100" i="353"/>
  <c r="V48" i="401"/>
  <c r="Q89" i="353"/>
  <c r="Q102" i="353"/>
  <c r="Q87" i="401"/>
  <c r="Q100" i="401"/>
  <c r="Q112" i="353"/>
  <c r="Q85" i="401"/>
  <c r="Q98" i="401"/>
  <c r="U79" i="401" s="1"/>
  <c r="U78" i="401" s="1"/>
  <c r="Z78" i="353"/>
  <c r="Q92" i="353"/>
  <c r="Q104" i="353"/>
  <c r="Q89" i="401"/>
  <c r="Q102" i="401"/>
  <c r="Q81" i="353"/>
  <c r="Q87" i="353"/>
  <c r="U79" i="353"/>
  <c r="U78" i="353" s="1"/>
  <c r="Z78" i="401"/>
  <c r="Q92" i="401"/>
  <c r="AJ259" i="522"/>
  <c r="AK5" i="522"/>
  <c r="V5" i="520"/>
  <c r="V6" i="520" s="1"/>
  <c r="G11" i="481"/>
  <c r="F13" i="481"/>
  <c r="AA120" i="401" l="1"/>
  <c r="Q119" i="401"/>
  <c r="AA119" i="401" s="1"/>
  <c r="Q125" i="401"/>
  <c r="U125" i="401"/>
  <c r="Q117" i="401"/>
  <c r="AA120" i="353"/>
  <c r="U156" i="401"/>
  <c r="AB159" i="401" s="1"/>
  <c r="U156" i="353"/>
  <c r="AB159" i="353" s="1"/>
  <c r="U125" i="353"/>
  <c r="Q119" i="353"/>
  <c r="AA119" i="353" s="1"/>
  <c r="Q117" i="353"/>
  <c r="Q125" i="353"/>
  <c r="AL5" i="522"/>
  <c r="AK259" i="522"/>
  <c r="W5" i="520"/>
  <c r="X5" i="520" s="1"/>
  <c r="G13" i="481"/>
  <c r="H11" i="481"/>
  <c r="AM5" i="522" l="1"/>
  <c r="AL259" i="522"/>
  <c r="W6" i="520"/>
  <c r="H13" i="481"/>
  <c r="I11" i="481"/>
  <c r="Y5" i="520"/>
  <c r="X6" i="520"/>
  <c r="AN5" i="522" l="1"/>
  <c r="AN259" i="522" s="1"/>
  <c r="AM259" i="522"/>
  <c r="I13" i="481"/>
  <c r="N11" i="481"/>
  <c r="N13" i="481" s="1"/>
  <c r="Y6" i="520"/>
  <c r="Z11" i="520" s="1"/>
  <c r="AC5" i="520"/>
  <c r="AC6" i="520" s="1"/>
  <c r="AB5" i="520"/>
  <c r="AB6" i="520" s="1"/>
  <c r="AT258" i="522" l="1"/>
  <c r="AN264" i="522"/>
  <c r="AO264" i="522"/>
  <c r="AU258" i="522"/>
  <c r="AN266" i="522"/>
  <c r="AN267" i="5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 authorId="0" shapeId="0" xr:uid="{00000000-0006-0000-2B00-000001000000}">
      <text>
        <r>
          <rPr>
            <b/>
            <sz val="9"/>
            <color indexed="81"/>
            <rFont val="ＭＳ Ｐゴシック"/>
            <family val="3"/>
            <charset val="128"/>
          </rPr>
          <t>管理型の施設が国立である場合は0、そうでない場合は1を記載する。</t>
        </r>
      </text>
    </comment>
    <comment ref="N5" authorId="0" shapeId="0" xr:uid="{00000000-0006-0000-2B00-000002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2C00-000001000000}">
      <text>
        <r>
          <rPr>
            <b/>
            <sz val="9"/>
            <color indexed="81"/>
            <rFont val="MS P ゴシック"/>
            <family val="3"/>
            <charset val="128"/>
          </rPr>
          <t>作成者:</t>
        </r>
        <r>
          <rPr>
            <sz val="9"/>
            <color indexed="81"/>
            <rFont val="MS P ゴシック"/>
            <family val="3"/>
            <charset val="128"/>
          </rPr>
          <t xml:space="preserve">
単独型・管理型臨床研修施設名が転記される仕組みになっているが、適宜修正する。</t>
        </r>
      </text>
    </comment>
  </commentList>
</comments>
</file>

<file path=xl/sharedStrings.xml><?xml version="1.0" encoding="utf-8"?>
<sst xmlns="http://schemas.openxmlformats.org/spreadsheetml/2006/main" count="4995" uniqueCount="891">
  <si>
    <t>提出書類一覧</t>
    <rPh sb="0" eb="2">
      <t>テイシュツ</t>
    </rPh>
    <rPh sb="2" eb="4">
      <t>ショルイ</t>
    </rPh>
    <rPh sb="4" eb="6">
      <t>イチラン</t>
    </rPh>
    <phoneticPr fontId="4"/>
  </si>
  <si>
    <t>交付申請</t>
    <rPh sb="0" eb="2">
      <t>コウフ</t>
    </rPh>
    <rPh sb="2" eb="4">
      <t>シンセイ</t>
    </rPh>
    <phoneticPr fontId="4"/>
  </si>
  <si>
    <t>実績報告</t>
    <rPh sb="0" eb="2">
      <t>ジッセキ</t>
    </rPh>
    <rPh sb="2" eb="4">
      <t>ホウコク</t>
    </rPh>
    <phoneticPr fontId="4"/>
  </si>
  <si>
    <t>消費税</t>
    <rPh sb="0" eb="3">
      <t>ショウヒゼイ</t>
    </rPh>
    <phoneticPr fontId="4"/>
  </si>
  <si>
    <t>第2号様式</t>
    <rPh sb="0" eb="1">
      <t>ダイ</t>
    </rPh>
    <rPh sb="2" eb="3">
      <t>ゴウ</t>
    </rPh>
    <rPh sb="3" eb="5">
      <t>ヨウシキ</t>
    </rPh>
    <phoneticPr fontId="4"/>
  </si>
  <si>
    <t>基準額
算出内訳</t>
    <rPh sb="0" eb="3">
      <t>キジュンガク</t>
    </rPh>
    <rPh sb="4" eb="6">
      <t>サンシュツ</t>
    </rPh>
    <rPh sb="6" eb="8">
      <t>ウチワケ</t>
    </rPh>
    <phoneticPr fontId="4"/>
  </si>
  <si>
    <t>第4号様式</t>
    <rPh sb="0" eb="1">
      <t>ダイ</t>
    </rPh>
    <rPh sb="2" eb="3">
      <t>ゴウ</t>
    </rPh>
    <rPh sb="3" eb="5">
      <t>ヨウシキ</t>
    </rPh>
    <phoneticPr fontId="4"/>
  </si>
  <si>
    <t>第3号様式</t>
    <rPh sb="0" eb="1">
      <t>ダイ</t>
    </rPh>
    <rPh sb="2" eb="3">
      <t>ゴウ</t>
    </rPh>
    <rPh sb="3" eb="5">
      <t>ヨウシキ</t>
    </rPh>
    <phoneticPr fontId="4"/>
  </si>
  <si>
    <t>別紙1</t>
    <rPh sb="0" eb="2">
      <t>ベッシ</t>
    </rPh>
    <phoneticPr fontId="4"/>
  </si>
  <si>
    <t>別紙2</t>
    <rPh sb="0" eb="2">
      <t>ベッシ</t>
    </rPh>
    <phoneticPr fontId="4"/>
  </si>
  <si>
    <t>（１）医療関係者研修費等補助金</t>
  </si>
  <si>
    <t>ア　中央ナースセンター事業（医療従事者等確保対策費）</t>
    <phoneticPr fontId="4"/>
  </si>
  <si>
    <t>◯</t>
    <phoneticPr fontId="4"/>
  </si>
  <si>
    <t>イ　看護職員確保対策特別事業（医療従事者等確保対策費）</t>
    <phoneticPr fontId="4"/>
  </si>
  <si>
    <t>ウ　看護教員教務主任養成講習会事業（医療従事者資質向上対策費）</t>
    <phoneticPr fontId="4"/>
  </si>
  <si>
    <t>エ　看護師の特定行為に係る研修機関支援事業（医療従事者資質向上対策費）</t>
    <phoneticPr fontId="4"/>
  </si>
  <si>
    <t>（ア）看護師の特定行為に係る研修機関導入促進支援事業</t>
  </si>
  <si>
    <t>（イ）看護師の特定行為に係る指定研修機関運営事業</t>
  </si>
  <si>
    <t>オ　プログラム責任者養成講習会事業（医療従事者資質向上対策費）</t>
    <phoneticPr fontId="4"/>
  </si>
  <si>
    <t>カ　歯科医師臨床研修指導医講習会事業（医療従事者資質向上対策費）</t>
    <phoneticPr fontId="4"/>
  </si>
  <si>
    <t>（ア）プログラム責任者講習会</t>
  </si>
  <si>
    <t>（イ）臨床研修活性化推進特別事業</t>
  </si>
  <si>
    <t>キ　医療関係職種実習施設指導者等養成講習会事業（医療従事者資質向上対策費）</t>
    <phoneticPr fontId="4"/>
  </si>
  <si>
    <t>ク　薬剤師生涯教育推進事業（医薬品適正使用推進費）</t>
    <phoneticPr fontId="4"/>
  </si>
  <si>
    <t>ケ　遠隔医療従事者研修事業（医療従事者資質向上対策費）</t>
    <phoneticPr fontId="4"/>
  </si>
  <si>
    <t>コ　災害医療コーディネーター研修事業（医療従事者資質向上対策費）</t>
    <phoneticPr fontId="4"/>
  </si>
  <si>
    <t>（ア）都道府県災害医療コーディネーター研修事業</t>
  </si>
  <si>
    <t>（イ）地域災害医療コーディネーター研修事業</t>
  </si>
  <si>
    <t>サ　外傷外科医養成研修事業（医療従事者資質向上対策費）</t>
    <phoneticPr fontId="4"/>
  </si>
  <si>
    <t>（２）臨床研修費等補助金</t>
  </si>
  <si>
    <t>臨床研修事業等（医療提供体制確保対策費）</t>
  </si>
  <si>
    <t>ア　医師</t>
    <phoneticPr fontId="4"/>
  </si>
  <si>
    <t>イ　歯科医師</t>
    <phoneticPr fontId="4"/>
  </si>
  <si>
    <t>事業名</t>
    <rPh sb="0" eb="2">
      <t>ジギョウ</t>
    </rPh>
    <rPh sb="2" eb="3">
      <t>メイ</t>
    </rPh>
    <phoneticPr fontId="4"/>
  </si>
  <si>
    <t>送付先</t>
    <rPh sb="0" eb="3">
      <t>ソウフサキ</t>
    </rPh>
    <phoneticPr fontId="4"/>
  </si>
  <si>
    <t>補助金名</t>
    <rPh sb="0" eb="3">
      <t>ホジョキン</t>
    </rPh>
    <rPh sb="3" eb="4">
      <t>メイ</t>
    </rPh>
    <phoneticPr fontId="4"/>
  </si>
  <si>
    <t>費目列挙</t>
    <rPh sb="0" eb="2">
      <t>ヒモク</t>
    </rPh>
    <rPh sb="2" eb="4">
      <t>レッキョ</t>
    </rPh>
    <phoneticPr fontId="4"/>
  </si>
  <si>
    <t>最終列</t>
    <rPh sb="0" eb="2">
      <t>サイシュウ</t>
    </rPh>
    <rPh sb="2" eb="3">
      <t>レツ</t>
    </rPh>
    <phoneticPr fontId="4"/>
  </si>
  <si>
    <t>区分１</t>
    <rPh sb="0" eb="2">
      <t>クブン</t>
    </rPh>
    <phoneticPr fontId="4"/>
  </si>
  <si>
    <t>区分２</t>
    <rPh sb="0" eb="2">
      <t>クブン</t>
    </rPh>
    <phoneticPr fontId="4"/>
  </si>
  <si>
    <t>基準額（区分１）</t>
    <rPh sb="0" eb="2">
      <t>キジュン</t>
    </rPh>
    <rPh sb="2" eb="3">
      <t>ガク</t>
    </rPh>
    <rPh sb="4" eb="6">
      <t>クブン</t>
    </rPh>
    <phoneticPr fontId="4"/>
  </si>
  <si>
    <t>基準額（区分２）</t>
    <rPh sb="0" eb="2">
      <t>キジュン</t>
    </rPh>
    <rPh sb="2" eb="3">
      <t>ガク</t>
    </rPh>
    <rPh sb="4" eb="6">
      <t>クブン</t>
    </rPh>
    <phoneticPr fontId="4"/>
  </si>
  <si>
    <t>一般用医薬品適正使用推進のための研修事業</t>
    <rPh sb="0" eb="2">
      <t>イッパン</t>
    </rPh>
    <rPh sb="2" eb="3">
      <t>ヨウ</t>
    </rPh>
    <rPh sb="3" eb="6">
      <t>イヤクヒン</t>
    </rPh>
    <rPh sb="6" eb="8">
      <t>テキセイ</t>
    </rPh>
    <rPh sb="8" eb="10">
      <t>シヨウ</t>
    </rPh>
    <rPh sb="10" eb="12">
      <t>スイシン</t>
    </rPh>
    <rPh sb="16" eb="18">
      <t>ケンシュウ</t>
    </rPh>
    <rPh sb="18" eb="20">
      <t>ジギョウ</t>
    </rPh>
    <phoneticPr fontId="4"/>
  </si>
  <si>
    <t>　厚生労働大臣　　殿</t>
  </si>
  <si>
    <t>年度医療関係者研修費等補助金の（変更）交付申請書</t>
    <rPh sb="16" eb="18">
      <t>ヘンコウ</t>
    </rPh>
    <rPh sb="23" eb="24">
      <t>ショ</t>
    </rPh>
    <phoneticPr fontId="4"/>
  </si>
  <si>
    <t>諸謝金</t>
    <rPh sb="0" eb="1">
      <t>ショ</t>
    </rPh>
    <rPh sb="1" eb="3">
      <t>シャキン</t>
    </rPh>
    <phoneticPr fontId="4"/>
  </si>
  <si>
    <t>　</t>
    <phoneticPr fontId="4"/>
  </si>
  <si>
    <t>旅費</t>
    <rPh sb="0" eb="2">
      <t>リョヒ</t>
    </rPh>
    <phoneticPr fontId="4"/>
  </si>
  <si>
    <t>消耗品費</t>
    <rPh sb="0" eb="3">
      <t>ショウモウヒン</t>
    </rPh>
    <rPh sb="3" eb="4">
      <t>ヒ</t>
    </rPh>
    <phoneticPr fontId="4"/>
  </si>
  <si>
    <t>印刷製本費</t>
    <rPh sb="0" eb="2">
      <t>インサツ</t>
    </rPh>
    <rPh sb="2" eb="4">
      <t>セイホン</t>
    </rPh>
    <rPh sb="4" eb="5">
      <t>ヒ</t>
    </rPh>
    <phoneticPr fontId="4"/>
  </si>
  <si>
    <t>通信運搬費</t>
    <rPh sb="0" eb="2">
      <t>ツウシン</t>
    </rPh>
    <rPh sb="2" eb="5">
      <t>ウンパンヒ</t>
    </rPh>
    <phoneticPr fontId="4"/>
  </si>
  <si>
    <t>借料及び損料（会場借料、機器借料）</t>
    <rPh sb="0" eb="2">
      <t>シャクリョウ</t>
    </rPh>
    <rPh sb="2" eb="3">
      <t>オヨ</t>
    </rPh>
    <rPh sb="4" eb="6">
      <t>ソンリョウ</t>
    </rPh>
    <rPh sb="7" eb="9">
      <t>カイジョウ</t>
    </rPh>
    <rPh sb="9" eb="11">
      <t>シャクリョウ</t>
    </rPh>
    <rPh sb="12" eb="14">
      <t>キキ</t>
    </rPh>
    <rPh sb="14" eb="16">
      <t>シャクリョウ</t>
    </rPh>
    <phoneticPr fontId="4"/>
  </si>
  <si>
    <t>会議費</t>
    <rPh sb="0" eb="3">
      <t>カイギヒ</t>
    </rPh>
    <phoneticPr fontId="4"/>
  </si>
  <si>
    <t>　　</t>
    <phoneticPr fontId="4"/>
  </si>
  <si>
    <t>事業計画書</t>
    <phoneticPr fontId="4"/>
  </si>
  <si>
    <t>臨床研修事業</t>
    <phoneticPr fontId="4"/>
  </si>
  <si>
    <t>　地方厚生局長　　殿</t>
    <rPh sb="1" eb="3">
      <t>チホウ</t>
    </rPh>
    <rPh sb="3" eb="6">
      <t>コウセイキョク</t>
    </rPh>
    <rPh sb="6" eb="7">
      <t>オサ</t>
    </rPh>
    <phoneticPr fontId="4"/>
  </si>
  <si>
    <t>年度臨床研修費等補助金の（変更）交付申請書</t>
    <rPh sb="13" eb="15">
      <t>ヘンコウ</t>
    </rPh>
    <rPh sb="20" eb="21">
      <t>ショ</t>
    </rPh>
    <phoneticPr fontId="4"/>
  </si>
  <si>
    <t>（Ⅰ　教育指導経費）</t>
    <phoneticPr fontId="4"/>
  </si>
  <si>
    <t>１　研修管理委員会等経費</t>
    <phoneticPr fontId="4"/>
  </si>
  <si>
    <t>諸謝金</t>
    <rPh sb="0" eb="3">
      <t>ショシャキン</t>
    </rPh>
    <phoneticPr fontId="5"/>
  </si>
  <si>
    <t>旅費</t>
    <rPh sb="0" eb="1">
      <t>タビ</t>
    </rPh>
    <rPh sb="1" eb="2">
      <t>ヒ</t>
    </rPh>
    <phoneticPr fontId="5"/>
  </si>
  <si>
    <t>消耗品費</t>
    <rPh sb="0" eb="1">
      <t>ケ</t>
    </rPh>
    <rPh sb="1" eb="2">
      <t>モウ</t>
    </rPh>
    <rPh sb="2" eb="3">
      <t>シナ</t>
    </rPh>
    <rPh sb="3" eb="4">
      <t>ヒ</t>
    </rPh>
    <phoneticPr fontId="5"/>
  </si>
  <si>
    <t>印刷製本費</t>
    <rPh sb="0" eb="1">
      <t>イン</t>
    </rPh>
    <rPh sb="1" eb="2">
      <t>サツ</t>
    </rPh>
    <rPh sb="2" eb="3">
      <t>セイ</t>
    </rPh>
    <rPh sb="3" eb="4">
      <t>ホン</t>
    </rPh>
    <rPh sb="4" eb="5">
      <t>ヒ</t>
    </rPh>
    <phoneticPr fontId="5"/>
  </si>
  <si>
    <t>通信運搬費</t>
    <rPh sb="0" eb="2">
      <t>ツウシン</t>
    </rPh>
    <rPh sb="2" eb="4">
      <t>ウンパン</t>
    </rPh>
    <rPh sb="4" eb="5">
      <t>ヒ</t>
    </rPh>
    <phoneticPr fontId="5"/>
  </si>
  <si>
    <t>会議費</t>
    <rPh sb="0" eb="3">
      <t>カイギヒ</t>
    </rPh>
    <phoneticPr fontId="5"/>
  </si>
  <si>
    <t xml:space="preserve"> </t>
  </si>
  <si>
    <t>２　プログラム責任者人件費（プログラム管理に係るもの）</t>
    <phoneticPr fontId="4"/>
  </si>
  <si>
    <t>職員基本給</t>
    <rPh sb="0" eb="2">
      <t>ショクイン</t>
    </rPh>
    <rPh sb="2" eb="5">
      <t>キホンキュウ</t>
    </rPh>
    <phoneticPr fontId="4"/>
  </si>
  <si>
    <t>職員諸手当</t>
    <rPh sb="0" eb="2">
      <t>ショクイン</t>
    </rPh>
    <rPh sb="2" eb="5">
      <t>ショテアテ</t>
    </rPh>
    <phoneticPr fontId="4"/>
  </si>
  <si>
    <t>　</t>
  </si>
  <si>
    <t>３　指導医及びプログラム責任者の補助者雇上経費</t>
    <phoneticPr fontId="4"/>
  </si>
  <si>
    <t>職員諸手当（非常勤）</t>
    <rPh sb="0" eb="2">
      <t>ショクイン</t>
    </rPh>
    <rPh sb="2" eb="5">
      <t>ショテアテ</t>
    </rPh>
    <rPh sb="6" eb="9">
      <t>ヒジョウキン</t>
    </rPh>
    <phoneticPr fontId="4"/>
  </si>
  <si>
    <t>非常勤職員手当</t>
    <rPh sb="0" eb="3">
      <t>ヒジョウキン</t>
    </rPh>
    <rPh sb="3" eb="5">
      <t>ショクイン</t>
    </rPh>
    <rPh sb="5" eb="7">
      <t>テアテ</t>
    </rPh>
    <phoneticPr fontId="4"/>
  </si>
  <si>
    <t>４　通信運搬費</t>
    <rPh sb="2" eb="4">
      <t>ツウシン</t>
    </rPh>
    <rPh sb="4" eb="6">
      <t>ウンパン</t>
    </rPh>
    <rPh sb="6" eb="7">
      <t>ヒ</t>
    </rPh>
    <phoneticPr fontId="4"/>
  </si>
  <si>
    <t>５　指導医、プログラム責任者（研修医指導分）にかかる経費</t>
    <rPh sb="2" eb="5">
      <t>シドウイ</t>
    </rPh>
    <rPh sb="11" eb="14">
      <t>セキニンシャ</t>
    </rPh>
    <rPh sb="15" eb="18">
      <t>ケンシュウイ</t>
    </rPh>
    <rPh sb="18" eb="20">
      <t>シドウ</t>
    </rPh>
    <rPh sb="20" eb="21">
      <t>ブン</t>
    </rPh>
    <rPh sb="26" eb="28">
      <t>ケイヒ</t>
    </rPh>
    <phoneticPr fontId="4"/>
  </si>
  <si>
    <t>６　情報収集及び学会等出席経費</t>
    <phoneticPr fontId="4"/>
  </si>
  <si>
    <t>備品費（図書）</t>
    <rPh sb="0" eb="3">
      <t>ビヒンヒ</t>
    </rPh>
    <rPh sb="4" eb="6">
      <t>トショ</t>
    </rPh>
    <phoneticPr fontId="4"/>
  </si>
  <si>
    <t>消耗品（教材等材料費を含む）</t>
    <rPh sb="0" eb="2">
      <t>ショウモウ</t>
    </rPh>
    <rPh sb="2" eb="3">
      <t>ヒン</t>
    </rPh>
    <rPh sb="4" eb="6">
      <t>キョウザイ</t>
    </rPh>
    <rPh sb="6" eb="7">
      <t>トウ</t>
    </rPh>
    <rPh sb="7" eb="10">
      <t>ザイリョウヒ</t>
    </rPh>
    <rPh sb="11" eb="12">
      <t>フク</t>
    </rPh>
    <phoneticPr fontId="4"/>
  </si>
  <si>
    <t>７　剖検経費</t>
    <phoneticPr fontId="4"/>
  </si>
  <si>
    <t>諸謝金（臨床研修病院のみ）</t>
    <rPh sb="0" eb="1">
      <t>ショ</t>
    </rPh>
    <rPh sb="1" eb="3">
      <t>シャキン</t>
    </rPh>
    <rPh sb="4" eb="6">
      <t>リンショウ</t>
    </rPh>
    <rPh sb="6" eb="8">
      <t>ケンシュウ</t>
    </rPh>
    <rPh sb="8" eb="10">
      <t>ビョウイン</t>
    </rPh>
    <phoneticPr fontId="4"/>
  </si>
  <si>
    <t>旅費（臨床研修病院のみ）</t>
    <rPh sb="0" eb="2">
      <t>リョヒ</t>
    </rPh>
    <phoneticPr fontId="4"/>
  </si>
  <si>
    <t>消耗品費</t>
    <rPh sb="0" eb="2">
      <t>ショウモウ</t>
    </rPh>
    <rPh sb="2" eb="3">
      <t>ヒン</t>
    </rPh>
    <rPh sb="3" eb="4">
      <t>ヒ</t>
    </rPh>
    <phoneticPr fontId="4"/>
  </si>
  <si>
    <t>８へき地診療所等の研修経費</t>
    <rPh sb="3" eb="4">
      <t>チ</t>
    </rPh>
    <rPh sb="4" eb="6">
      <t>シンリョウ</t>
    </rPh>
    <rPh sb="6" eb="7">
      <t>ジョ</t>
    </rPh>
    <rPh sb="7" eb="8">
      <t>トウ</t>
    </rPh>
    <rPh sb="9" eb="11">
      <t>ケンシュウ</t>
    </rPh>
    <rPh sb="11" eb="13">
      <t>ケイヒ</t>
    </rPh>
    <phoneticPr fontId="4"/>
  </si>
  <si>
    <t>９　産婦人科宿日直研修事業費、小児科宿日直研修事業費</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phoneticPr fontId="5"/>
  </si>
  <si>
    <t>宿日直手当</t>
    <phoneticPr fontId="4"/>
  </si>
  <si>
    <t>（１）産婦人科</t>
    <phoneticPr fontId="4"/>
  </si>
  <si>
    <t>（２）小児科</t>
    <phoneticPr fontId="4"/>
  </si>
  <si>
    <t>【オンコール手当】</t>
    <rPh sb="6" eb="8">
      <t>テアテ</t>
    </rPh>
    <phoneticPr fontId="4"/>
  </si>
  <si>
    <t>（Ⅱ　協議会開催経費）</t>
    <rPh sb="3" eb="6">
      <t>キョウギカイ</t>
    </rPh>
    <rPh sb="6" eb="8">
      <t>カイサイ</t>
    </rPh>
    <phoneticPr fontId="4"/>
  </si>
  <si>
    <t>（事務補助者雇上経費）</t>
    <rPh sb="1" eb="3">
      <t>ジム</t>
    </rPh>
    <rPh sb="3" eb="5">
      <t>ホジョ</t>
    </rPh>
    <rPh sb="5" eb="6">
      <t>シャ</t>
    </rPh>
    <rPh sb="6" eb="7">
      <t>ヤト</t>
    </rPh>
    <rPh sb="7" eb="8">
      <t>ジョウ</t>
    </rPh>
    <rPh sb="8" eb="10">
      <t>ケイヒ</t>
    </rPh>
    <phoneticPr fontId="4"/>
  </si>
  <si>
    <t>１　広域連携型プログラム作成経費</t>
    <rPh sb="2" eb="4">
      <t>コウイキ</t>
    </rPh>
    <rPh sb="4" eb="7">
      <t>レンケイガタ</t>
    </rPh>
    <rPh sb="12" eb="14">
      <t>サクセイ</t>
    </rPh>
    <rPh sb="14" eb="16">
      <t>ケイヒ</t>
    </rPh>
    <phoneticPr fontId="4"/>
  </si>
  <si>
    <t>　職員基本給</t>
    <rPh sb="1" eb="3">
      <t>ショクイン</t>
    </rPh>
    <rPh sb="3" eb="6">
      <t>キホンキュウ</t>
    </rPh>
    <phoneticPr fontId="4"/>
  </si>
  <si>
    <t>職員諸手当（非常勤含む）</t>
    <rPh sb="0" eb="2">
      <t>ショクイン</t>
    </rPh>
    <rPh sb="2" eb="5">
      <t>ショテアテ</t>
    </rPh>
    <rPh sb="6" eb="9">
      <t>ヒジョウキン</t>
    </rPh>
    <rPh sb="9" eb="10">
      <t>フク</t>
    </rPh>
    <phoneticPr fontId="4"/>
  </si>
  <si>
    <t>非常勤職員諸手当（事務補助者雇上経費）</t>
    <rPh sb="0" eb="3">
      <t>ヒジョウキン</t>
    </rPh>
    <rPh sb="3" eb="5">
      <t>ショクイン</t>
    </rPh>
    <rPh sb="5" eb="8">
      <t>ショテアテ</t>
    </rPh>
    <rPh sb="9" eb="11">
      <t>ジム</t>
    </rPh>
    <rPh sb="11" eb="14">
      <t>ホジョシャ</t>
    </rPh>
    <rPh sb="14" eb="15">
      <t>ヤトイ</t>
    </rPh>
    <rPh sb="15" eb="16">
      <t>ア</t>
    </rPh>
    <rPh sb="16" eb="18">
      <t>ケイヒ</t>
    </rPh>
    <phoneticPr fontId="4"/>
  </si>
  <si>
    <t>諸謝金</t>
    <rPh sb="0" eb="3">
      <t>ショシャキン</t>
    </rPh>
    <phoneticPr fontId="4"/>
  </si>
  <si>
    <t>通信運搬費</t>
    <rPh sb="0" eb="2">
      <t>ツウシン</t>
    </rPh>
    <rPh sb="2" eb="4">
      <t>ウンパン</t>
    </rPh>
    <rPh sb="4" eb="5">
      <t>ヒ</t>
    </rPh>
    <phoneticPr fontId="4"/>
  </si>
  <si>
    <t>２　第三者評価受審経費</t>
    <rPh sb="2" eb="5">
      <t>ダイサンシャ</t>
    </rPh>
    <rPh sb="5" eb="7">
      <t>ヒョウカ</t>
    </rPh>
    <rPh sb="7" eb="9">
      <t>ジュシン</t>
    </rPh>
    <rPh sb="9" eb="11">
      <t>ケイヒ</t>
    </rPh>
    <phoneticPr fontId="4"/>
  </si>
  <si>
    <t>雑役務費（手数料等）</t>
    <rPh sb="0" eb="4">
      <t>ザツエキムヒ</t>
    </rPh>
    <rPh sb="5" eb="8">
      <t>テスウリョウ</t>
    </rPh>
    <rPh sb="8" eb="9">
      <t>トウ</t>
    </rPh>
    <phoneticPr fontId="4"/>
  </si>
  <si>
    <t xml:space="preserve"> </t>
    <phoneticPr fontId="4"/>
  </si>
  <si>
    <t>教育指導経費</t>
  </si>
  <si>
    <t>地域協議会経費</t>
  </si>
  <si>
    <t>広域連携プログラム作成経費及び第三者評価受審経費</t>
    <phoneticPr fontId="4"/>
  </si>
  <si>
    <t>"手入力して下さい"</t>
    <rPh sb="1" eb="2">
      <t>テ</t>
    </rPh>
    <rPh sb="2" eb="4">
      <t>ニュウリョク</t>
    </rPh>
    <rPh sb="6" eb="7">
      <t>クダ</t>
    </rPh>
    <phoneticPr fontId="4"/>
  </si>
  <si>
    <t>歯科医師臨床研修事業</t>
    <phoneticPr fontId="4"/>
  </si>
  <si>
    <t>社会保険料</t>
    <rPh sb="0" eb="2">
      <t>シャカイ</t>
    </rPh>
    <rPh sb="2" eb="5">
      <t>ホケンリョウ</t>
    </rPh>
    <phoneticPr fontId="4"/>
  </si>
  <si>
    <t>３　通信運搬費</t>
    <rPh sb="2" eb="4">
      <t>ツウシン</t>
    </rPh>
    <rPh sb="4" eb="6">
      <t>ウンパン</t>
    </rPh>
    <rPh sb="6" eb="7">
      <t>ヒ</t>
    </rPh>
    <phoneticPr fontId="4"/>
  </si>
  <si>
    <t>４　指導歯科医、指導医（医科・歯科連携に資する科目分）</t>
    <rPh sb="2" eb="4">
      <t>シドウ</t>
    </rPh>
    <rPh sb="4" eb="7">
      <t>シカイ</t>
    </rPh>
    <rPh sb="8" eb="11">
      <t>シドウイ</t>
    </rPh>
    <rPh sb="12" eb="14">
      <t>イカ</t>
    </rPh>
    <rPh sb="15" eb="17">
      <t>シカ</t>
    </rPh>
    <rPh sb="17" eb="19">
      <t>レンケイ</t>
    </rPh>
    <rPh sb="20" eb="21">
      <t>シ</t>
    </rPh>
    <rPh sb="23" eb="25">
      <t>カモク</t>
    </rPh>
    <rPh sb="25" eb="26">
      <t>ブン</t>
    </rPh>
    <phoneticPr fontId="4"/>
  </si>
  <si>
    <t>プログラム責任者（研修歯科医指導分）に係る経費</t>
    <rPh sb="19" eb="20">
      <t>カカ</t>
    </rPh>
    <phoneticPr fontId="4"/>
  </si>
  <si>
    <t>非常勤職員手当</t>
    <rPh sb="0" eb="7">
      <t>ヒジョウキンショクインテアテ</t>
    </rPh>
    <phoneticPr fontId="4"/>
  </si>
  <si>
    <t>社会保険料</t>
    <rPh sb="0" eb="2">
      <t>シャカイ</t>
    </rPh>
    <rPh sb="2" eb="5">
      <t>ホケンリョウ</t>
    </rPh>
    <phoneticPr fontId="5"/>
  </si>
  <si>
    <t>５　消耗品費（歯科医学研究材料費含む）</t>
    <rPh sb="2" eb="4">
      <t>ショウモウ</t>
    </rPh>
    <rPh sb="4" eb="5">
      <t>ヒン</t>
    </rPh>
    <rPh sb="5" eb="6">
      <t>ヒ</t>
    </rPh>
    <rPh sb="7" eb="10">
      <t>シカイ</t>
    </rPh>
    <rPh sb="10" eb="11">
      <t>ガク</t>
    </rPh>
    <rPh sb="11" eb="13">
      <t>ケンキュウ</t>
    </rPh>
    <rPh sb="13" eb="16">
      <t>ザイリョウヒ</t>
    </rPh>
    <rPh sb="16" eb="17">
      <t>フク</t>
    </rPh>
    <phoneticPr fontId="4"/>
  </si>
  <si>
    <t>光熱水料</t>
    <rPh sb="0" eb="2">
      <t>コウネツ</t>
    </rPh>
    <rPh sb="2" eb="3">
      <t>スイ</t>
    </rPh>
    <rPh sb="3" eb="4">
      <t>リョウ</t>
    </rPh>
    <phoneticPr fontId="4"/>
  </si>
  <si>
    <t>７　へき地診療所等の研修経費</t>
    <rPh sb="4" eb="5">
      <t>チ</t>
    </rPh>
    <rPh sb="5" eb="7">
      <t>シンリョウ</t>
    </rPh>
    <rPh sb="7" eb="8">
      <t>ジョ</t>
    </rPh>
    <rPh sb="8" eb="9">
      <t>トウ</t>
    </rPh>
    <rPh sb="10" eb="12">
      <t>ケンシュウ</t>
    </rPh>
    <rPh sb="12" eb="14">
      <t>ケイヒ</t>
    </rPh>
    <phoneticPr fontId="4"/>
  </si>
  <si>
    <t>８　指導歯科医資質向上推進事業に必要な経費</t>
    <rPh sb="2" eb="4">
      <t>シドウ</t>
    </rPh>
    <rPh sb="4" eb="6">
      <t>シカ</t>
    </rPh>
    <rPh sb="6" eb="7">
      <t>イ</t>
    </rPh>
    <rPh sb="7" eb="9">
      <t>シシツ</t>
    </rPh>
    <rPh sb="9" eb="11">
      <t>コウジョウ</t>
    </rPh>
    <rPh sb="11" eb="13">
      <t>スイシン</t>
    </rPh>
    <rPh sb="13" eb="15">
      <t>ジギョウ</t>
    </rPh>
    <rPh sb="16" eb="18">
      <t>ヒツヨウ</t>
    </rPh>
    <rPh sb="19" eb="21">
      <t>ケイヒ</t>
    </rPh>
    <phoneticPr fontId="4"/>
  </si>
  <si>
    <t>９　在宅歯科医療等研修推進事業に必要な経費</t>
    <rPh sb="2" eb="4">
      <t>ザイタク</t>
    </rPh>
    <rPh sb="4" eb="6">
      <t>シカ</t>
    </rPh>
    <rPh sb="6" eb="8">
      <t>イリョウ</t>
    </rPh>
    <rPh sb="8" eb="9">
      <t>トウ</t>
    </rPh>
    <rPh sb="9" eb="11">
      <t>ケンシュウ</t>
    </rPh>
    <rPh sb="11" eb="13">
      <t>スイシン</t>
    </rPh>
    <rPh sb="13" eb="15">
      <t>ジギョウ</t>
    </rPh>
    <rPh sb="16" eb="18">
      <t>ヒツヨウ</t>
    </rPh>
    <rPh sb="19" eb="21">
      <t>ケイヒ</t>
    </rPh>
    <phoneticPr fontId="4"/>
  </si>
  <si>
    <t>社会保険料（非常勤）</t>
    <rPh sb="0" eb="2">
      <t>シャカイ</t>
    </rPh>
    <rPh sb="2" eb="5">
      <t>ホケンリョウ</t>
    </rPh>
    <rPh sb="6" eb="9">
      <t>ヒジョウキン</t>
    </rPh>
    <phoneticPr fontId="4"/>
  </si>
  <si>
    <t>年度医療関係者研修費等補助金の事業実績報告書</t>
    <rPh sb="15" eb="17">
      <t>ジギョウ</t>
    </rPh>
    <rPh sb="17" eb="19">
      <t>ジッセキ</t>
    </rPh>
    <rPh sb="19" eb="22">
      <t>ホウコクショ</t>
    </rPh>
    <phoneticPr fontId="4"/>
  </si>
  <si>
    <t>臨床研修事業</t>
  </si>
  <si>
    <t>年度臨床研修費等補助金の事業実績報告書</t>
    <rPh sb="18" eb="19">
      <t>ショ</t>
    </rPh>
    <phoneticPr fontId="4"/>
  </si>
  <si>
    <t>歯科医師臨床研修事業</t>
  </si>
  <si>
    <t>※オレンジは基準額内訳の書類がある。</t>
    <rPh sb="6" eb="8">
      <t>キジュン</t>
    </rPh>
    <rPh sb="8" eb="9">
      <t>ガク</t>
    </rPh>
    <rPh sb="9" eb="11">
      <t>ウチワケ</t>
    </rPh>
    <rPh sb="12" eb="14">
      <t>ショルイ</t>
    </rPh>
    <phoneticPr fontId="4"/>
  </si>
  <si>
    <t>第１号様式</t>
    <rPh sb="0" eb="1">
      <t>ダイ</t>
    </rPh>
    <rPh sb="2" eb="3">
      <t>ゴウ</t>
    </rPh>
    <rPh sb="3" eb="5">
      <t>ヨウシキ</t>
    </rPh>
    <phoneticPr fontId="14"/>
  </si>
  <si>
    <t>　　補　　助　　金　　調　　書</t>
    <phoneticPr fontId="14"/>
  </si>
  <si>
    <t>　　  年度　　厚生労働省所管</t>
    <rPh sb="4" eb="6">
      <t>ネンド</t>
    </rPh>
    <rPh sb="8" eb="10">
      <t>コウセイ</t>
    </rPh>
    <rPh sb="10" eb="13">
      <t>ロウドウショウ</t>
    </rPh>
    <rPh sb="13" eb="15">
      <t>ショカン</t>
    </rPh>
    <phoneticPr fontId="14"/>
  </si>
  <si>
    <t>地方公共団体</t>
    <rPh sb="0" eb="2">
      <t>チホウ</t>
    </rPh>
    <rPh sb="2" eb="4">
      <t>コウキョウ</t>
    </rPh>
    <rPh sb="4" eb="6">
      <t>ダンタイ</t>
    </rPh>
    <phoneticPr fontId="14"/>
  </si>
  <si>
    <t>国</t>
    <rPh sb="0" eb="1">
      <t>クニ</t>
    </rPh>
    <phoneticPr fontId="14"/>
  </si>
  <si>
    <t>地　方　公　共　団　体</t>
    <rPh sb="0" eb="1">
      <t>チ</t>
    </rPh>
    <rPh sb="2" eb="3">
      <t>カタ</t>
    </rPh>
    <rPh sb="4" eb="5">
      <t>コウ</t>
    </rPh>
    <rPh sb="6" eb="7">
      <t>トモ</t>
    </rPh>
    <rPh sb="8" eb="9">
      <t>ダン</t>
    </rPh>
    <rPh sb="10" eb="11">
      <t>カラダ</t>
    </rPh>
    <phoneticPr fontId="14"/>
  </si>
  <si>
    <t>歳　入</t>
    <rPh sb="0" eb="1">
      <t>サイ</t>
    </rPh>
    <rPh sb="2" eb="3">
      <t>イ</t>
    </rPh>
    <phoneticPr fontId="14"/>
  </si>
  <si>
    <t>歳　出</t>
    <rPh sb="0" eb="1">
      <t>サイ</t>
    </rPh>
    <rPh sb="2" eb="3">
      <t>デ</t>
    </rPh>
    <phoneticPr fontId="14"/>
  </si>
  <si>
    <t xml:space="preserve"> 予 算 科 目</t>
    <rPh sb="1" eb="2">
      <t>ヨ</t>
    </rPh>
    <rPh sb="3" eb="4">
      <t>ザン</t>
    </rPh>
    <rPh sb="5" eb="6">
      <t>カ</t>
    </rPh>
    <rPh sb="7" eb="8">
      <t>メ</t>
    </rPh>
    <phoneticPr fontId="14"/>
  </si>
  <si>
    <t>交付決定</t>
    <rPh sb="0" eb="2">
      <t>コウフ</t>
    </rPh>
    <rPh sb="2" eb="4">
      <t>ケッテイ</t>
    </rPh>
    <phoneticPr fontId="14"/>
  </si>
  <si>
    <t>予算現額</t>
  </si>
  <si>
    <t>支出済額</t>
    <rPh sb="0" eb="2">
      <t>シシュツ</t>
    </rPh>
    <rPh sb="2" eb="3">
      <t>ズ</t>
    </rPh>
    <phoneticPr fontId="14"/>
  </si>
  <si>
    <t>翌年度繰越額</t>
    <rPh sb="0" eb="3">
      <t>ヨクネンド</t>
    </rPh>
    <rPh sb="3" eb="4">
      <t>ク</t>
    </rPh>
    <rPh sb="4" eb="5">
      <t>コ</t>
    </rPh>
    <rPh sb="5" eb="6">
      <t>ガク</t>
    </rPh>
    <phoneticPr fontId="14"/>
  </si>
  <si>
    <t>備　考</t>
    <rPh sb="0" eb="1">
      <t>ソナエ</t>
    </rPh>
    <rPh sb="2" eb="3">
      <t>コウ</t>
    </rPh>
    <phoneticPr fontId="14"/>
  </si>
  <si>
    <t>の　　額</t>
  </si>
  <si>
    <t>科　目</t>
    <rPh sb="0" eb="1">
      <t>カ</t>
    </rPh>
    <rPh sb="2" eb="3">
      <t>メ</t>
    </rPh>
    <phoneticPr fontId="14"/>
  </si>
  <si>
    <t>予算現額</t>
    <rPh sb="0" eb="2">
      <t>ヨサン</t>
    </rPh>
    <rPh sb="2" eb="3">
      <t>ウツツ</t>
    </rPh>
    <rPh sb="3" eb="4">
      <t>ガク</t>
    </rPh>
    <phoneticPr fontId="14"/>
  </si>
  <si>
    <t>収入済額</t>
    <rPh sb="0" eb="2">
      <t>シュウニュウ</t>
    </rPh>
    <rPh sb="2" eb="3">
      <t>ズ</t>
    </rPh>
    <rPh sb="3" eb="4">
      <t>ガク</t>
    </rPh>
    <phoneticPr fontId="14"/>
  </si>
  <si>
    <t>うち補助金</t>
    <rPh sb="2" eb="5">
      <t>ホジョキン</t>
    </rPh>
    <phoneticPr fontId="14"/>
  </si>
  <si>
    <t>相　当　額</t>
    <rPh sb="0" eb="1">
      <t>ソウ</t>
    </rPh>
    <rPh sb="2" eb="3">
      <t>トウ</t>
    </rPh>
    <rPh sb="4" eb="5">
      <t>ガク</t>
    </rPh>
    <phoneticPr fontId="14"/>
  </si>
  <si>
    <t>円</t>
    <rPh sb="0" eb="1">
      <t>エン</t>
    </rPh>
    <phoneticPr fontId="14"/>
  </si>
  <si>
    <t>（項）医薬品適正使用推進費</t>
    <rPh sb="3" eb="6">
      <t>イヤクヒン</t>
    </rPh>
    <rPh sb="6" eb="8">
      <t>テキセイ</t>
    </rPh>
    <rPh sb="8" eb="10">
      <t>シヨウ</t>
    </rPh>
    <rPh sb="10" eb="12">
      <t>スイシン</t>
    </rPh>
    <rPh sb="12" eb="13">
      <t>ヒ</t>
    </rPh>
    <phoneticPr fontId="14"/>
  </si>
  <si>
    <t>　（目）医療関係者研修費等補助金</t>
    <rPh sb="4" eb="9">
      <t>イリョウカンケイシャ</t>
    </rPh>
    <rPh sb="9" eb="11">
      <t>ケンシュウ</t>
    </rPh>
    <rPh sb="11" eb="12">
      <t>ヒ</t>
    </rPh>
    <rPh sb="12" eb="13">
      <t>トウ</t>
    </rPh>
    <rPh sb="13" eb="16">
      <t>ホジョキン</t>
    </rPh>
    <phoneticPr fontId="14"/>
  </si>
  <si>
    <t>（項）医療提供体制確保対策費</t>
    <rPh sb="5" eb="7">
      <t>テイキョウ</t>
    </rPh>
    <rPh sb="7" eb="9">
      <t>タイセイ</t>
    </rPh>
    <phoneticPr fontId="14"/>
  </si>
  <si>
    <t>　（目）臨床研修費等補助金</t>
    <phoneticPr fontId="14"/>
  </si>
  <si>
    <t>　　</t>
    <phoneticPr fontId="14"/>
  </si>
  <si>
    <t>（注）</t>
    <rPh sb="1" eb="2">
      <t>チュウ</t>
    </rPh>
    <phoneticPr fontId="14"/>
  </si>
  <si>
    <t>　１　「国」の「交付決定の額」は、交付決定通知書の交付決定の額を記入すること。</t>
    <phoneticPr fontId="14"/>
  </si>
  <si>
    <t>　２　「地方公共団体」の「科目」は、歳入にあっては、款、項、目、節を、歳出にあっては、款、項、目をそれぞれ記入すること。なお、歳出については、前記１の額に対応する経費の配分が、目の内</t>
    <phoneticPr fontId="14"/>
  </si>
  <si>
    <t>　　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</si>
  <si>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rPh sb="56" eb="59">
      <t>ヨビヒ</t>
    </rPh>
    <rPh sb="59" eb="61">
      <t>シシュツ</t>
    </rPh>
    <phoneticPr fontId="14"/>
  </si>
  <si>
    <t>　４　「備考」は、参考となるべき事項を適宜記入すること。</t>
    <phoneticPr fontId="14"/>
  </si>
  <si>
    <t>第２号様式</t>
    <phoneticPr fontId="4"/>
  </si>
  <si>
    <t>番　　　　　　　号</t>
    <phoneticPr fontId="4"/>
  </si>
  <si>
    <t>事業名選択欄</t>
    <rPh sb="0" eb="2">
      <t>ジギョウ</t>
    </rPh>
    <rPh sb="2" eb="3">
      <t>メイ</t>
    </rPh>
    <rPh sb="3" eb="5">
      <t>センタク</t>
    </rPh>
    <rPh sb="5" eb="6">
      <t>ラン</t>
    </rPh>
    <phoneticPr fontId="4"/>
  </si>
  <si>
    <t>年　　　月　　　日</t>
    <phoneticPr fontId="4"/>
  </si>
  <si>
    <t>所在地</t>
    <rPh sb="0" eb="3">
      <t>ショザイチ</t>
    </rPh>
    <phoneticPr fontId="4"/>
  </si>
  <si>
    <t>事業者名　　　　　</t>
    <phoneticPr fontId="4"/>
  </si>
  <si>
    <t>　　　　</t>
    <phoneticPr fontId="4"/>
  </si>
  <si>
    <t xml:space="preserve">　　　　　　   </t>
    <phoneticPr fontId="4"/>
  </si>
  <si>
    <t>　標記について、次により国庫補助金を交付されるよう関係書類を添えて申請する。</t>
  </si>
  <si>
    <t>１　　申請額</t>
    <phoneticPr fontId="4"/>
  </si>
  <si>
    <t>金</t>
    <rPh sb="0" eb="1">
      <t>キン</t>
    </rPh>
    <phoneticPr fontId="4"/>
  </si>
  <si>
    <t>円</t>
    <phoneticPr fontId="4"/>
  </si>
  <si>
    <t>２　  所要額調書（別紙１）</t>
    <phoneticPr fontId="4"/>
  </si>
  <si>
    <t>３　  事業計画書（別紙２）</t>
    <rPh sb="4" eb="6">
      <t>ジギョウ</t>
    </rPh>
    <rPh sb="6" eb="9">
      <t>ケイカクショ</t>
    </rPh>
    <phoneticPr fontId="4"/>
  </si>
  <si>
    <t>４　  収入支出予算書抄本</t>
    <phoneticPr fontId="4"/>
  </si>
  <si>
    <t>5　　変更申請の場合は、１にかかわらず次のとおりとする。</t>
    <phoneticPr fontId="4"/>
  </si>
  <si>
    <t>申請額　　　　　　　　　　　　　</t>
    <phoneticPr fontId="4"/>
  </si>
  <si>
    <t>金</t>
    <phoneticPr fontId="4"/>
  </si>
  <si>
    <t>(Ａ)</t>
  </si>
  <si>
    <t>前回までの交付決定額　　　　金</t>
    <rPh sb="0" eb="2">
      <t>ゼンカイ</t>
    </rPh>
    <rPh sb="5" eb="7">
      <t>コウフ</t>
    </rPh>
    <rPh sb="7" eb="10">
      <t>ケッテイガク</t>
    </rPh>
    <rPh sb="14" eb="15">
      <t>カネ</t>
    </rPh>
    <phoneticPr fontId="1"/>
  </si>
  <si>
    <t>(Ｂ)</t>
  </si>
  <si>
    <t>差引今回変更増減額　　　　　金</t>
    <rPh sb="0" eb="1">
      <t>サ</t>
    </rPh>
    <rPh sb="1" eb="2">
      <t>ヒ</t>
    </rPh>
    <rPh sb="2" eb="4">
      <t>コンカイ</t>
    </rPh>
    <rPh sb="4" eb="6">
      <t>ヘンコウ</t>
    </rPh>
    <rPh sb="6" eb="7">
      <t>ゾウ</t>
    </rPh>
    <rPh sb="7" eb="9">
      <t>ゲンガク</t>
    </rPh>
    <rPh sb="14" eb="15">
      <t>カネ</t>
    </rPh>
    <phoneticPr fontId="1"/>
  </si>
  <si>
    <t>(Ａ)－(Ｂ)</t>
  </si>
  <si>
    <t>所要額調書</t>
  </si>
  <si>
    <t>総事業費</t>
  </si>
  <si>
    <t>寄　付　金</t>
    <rPh sb="0" eb="1">
      <t>キ</t>
    </rPh>
    <rPh sb="2" eb="3">
      <t>ヅケ</t>
    </rPh>
    <rPh sb="4" eb="5">
      <t>キン</t>
    </rPh>
    <phoneticPr fontId="4"/>
  </si>
  <si>
    <t>差　引　額</t>
    <phoneticPr fontId="4"/>
  </si>
  <si>
    <t>対象経費</t>
  </si>
  <si>
    <t>基　準　額</t>
    <phoneticPr fontId="4"/>
  </si>
  <si>
    <t xml:space="preserve"> 選  定  額</t>
    <phoneticPr fontId="4"/>
  </si>
  <si>
    <t>国庫補助基本額</t>
    <rPh sb="0" eb="2">
      <t>コッコ</t>
    </rPh>
    <rPh sb="2" eb="4">
      <t>ホジョ</t>
    </rPh>
    <rPh sb="4" eb="7">
      <t>キホンガク</t>
    </rPh>
    <phoneticPr fontId="4"/>
  </si>
  <si>
    <t>国庫補助所要額</t>
    <rPh sb="0" eb="2">
      <t>コッコ</t>
    </rPh>
    <rPh sb="4" eb="7">
      <t>ショヨウガク</t>
    </rPh>
    <phoneticPr fontId="4"/>
  </si>
  <si>
    <t>仕入れに係る
消費税等相当額</t>
  </si>
  <si>
    <t>要国庫補助額
（H）-（I）</t>
  </si>
  <si>
    <t>交付決定額</t>
    <rPh sb="0" eb="2">
      <t>コウフ</t>
    </rPh>
    <rPh sb="2" eb="5">
      <t>ケッテイガク</t>
    </rPh>
    <phoneticPr fontId="4"/>
  </si>
  <si>
    <t>差引追加交付
（一部取消）
申　請　額</t>
    <rPh sb="0" eb="2">
      <t>サシヒキ</t>
    </rPh>
    <rPh sb="2" eb="4">
      <t>ツイカ</t>
    </rPh>
    <rPh sb="4" eb="6">
      <t>コウフ</t>
    </rPh>
    <rPh sb="8" eb="10">
      <t>イチブ</t>
    </rPh>
    <rPh sb="10" eb="11">
      <t>ト</t>
    </rPh>
    <rPh sb="11" eb="12">
      <t>ケ</t>
    </rPh>
    <rPh sb="14" eb="15">
      <t>シン</t>
    </rPh>
    <rPh sb="16" eb="17">
      <t>ショウ</t>
    </rPh>
    <rPh sb="18" eb="19">
      <t>ガク</t>
    </rPh>
    <phoneticPr fontId="4"/>
  </si>
  <si>
    <t>区　分</t>
    <rPh sb="0" eb="1">
      <t>ク</t>
    </rPh>
    <rPh sb="2" eb="3">
      <t>ブン</t>
    </rPh>
    <phoneticPr fontId="4"/>
  </si>
  <si>
    <t>そ の 他 の</t>
    <phoneticPr fontId="4"/>
  </si>
  <si>
    <t>の 支 出</t>
  </si>
  <si>
    <t>収　入　額</t>
    <rPh sb="0" eb="1">
      <t>オサム</t>
    </rPh>
    <rPh sb="2" eb="3">
      <t>イ</t>
    </rPh>
    <rPh sb="4" eb="5">
      <t>ガク</t>
    </rPh>
    <phoneticPr fontId="4"/>
  </si>
  <si>
    <t>予 定 額</t>
  </si>
  <si>
    <t>Ａ</t>
    <phoneticPr fontId="4"/>
  </si>
  <si>
    <t>Ｂ</t>
    <phoneticPr fontId="4"/>
  </si>
  <si>
    <t>Ｃ</t>
    <phoneticPr fontId="4"/>
  </si>
  <si>
    <t>Ｄ</t>
    <phoneticPr fontId="4"/>
  </si>
  <si>
    <t>Ｅ</t>
    <phoneticPr fontId="4"/>
  </si>
  <si>
    <t>Ｆ</t>
    <phoneticPr fontId="4"/>
  </si>
  <si>
    <t>Ｇ</t>
    <phoneticPr fontId="4"/>
  </si>
  <si>
    <t>H</t>
    <phoneticPr fontId="4"/>
  </si>
  <si>
    <t>I</t>
  </si>
  <si>
    <t>J</t>
  </si>
  <si>
    <t>K</t>
    <phoneticPr fontId="4"/>
  </si>
  <si>
    <t>L</t>
    <phoneticPr fontId="4"/>
  </si>
  <si>
    <t xml:space="preserve">円 </t>
  </si>
  <si>
    <t xml:space="preserve">円 </t>
    <phoneticPr fontId="4"/>
  </si>
  <si>
    <t>円</t>
    <rPh sb="0" eb="1">
      <t>エン</t>
    </rPh>
    <phoneticPr fontId="4"/>
  </si>
  <si>
    <t>合　計</t>
    <rPh sb="0" eb="1">
      <t>ア</t>
    </rPh>
    <rPh sb="2" eb="3">
      <t>ケイ</t>
    </rPh>
    <phoneticPr fontId="4"/>
  </si>
  <si>
    <t>２　対象経費の支出予定額算出内訳</t>
  </si>
  <si>
    <t>区　　　　　　分</t>
  </si>
  <si>
    <t>支　出　予　定　額</t>
  </si>
  <si>
    <t>算　　　出　　　内　　　訳</t>
  </si>
  <si>
    <t>　合　　　　　計</t>
    <rPh sb="1" eb="2">
      <t>ア</t>
    </rPh>
    <rPh sb="7" eb="8">
      <t>ケイ</t>
    </rPh>
    <phoneticPr fontId="4"/>
  </si>
  <si>
    <t>（注）K欄及びL欄については、交付要綱の７による変更交付申請手続の他は斜線を引くこと。</t>
    <phoneticPr fontId="4"/>
  </si>
  <si>
    <t>別紙１－２</t>
    <rPh sb="0" eb="2">
      <t>ベッシ</t>
    </rPh>
    <phoneticPr fontId="4"/>
  </si>
  <si>
    <t>１　臨床研修事業　所要額</t>
    <rPh sb="2" eb="8">
      <t>リンショウケンシュウジギョウ</t>
    </rPh>
    <phoneticPr fontId="4"/>
  </si>
  <si>
    <t>仕入れに係る
消費税等相当額</t>
    <phoneticPr fontId="4"/>
  </si>
  <si>
    <t>要国庫補助額
（H）-（I）</t>
    <phoneticPr fontId="4"/>
  </si>
  <si>
    <t>I</t>
    <phoneticPr fontId="4"/>
  </si>
  <si>
    <t>J</t>
    <phoneticPr fontId="4"/>
  </si>
  <si>
    <t>単価</t>
    <rPh sb="0" eb="2">
      <t>タンカ</t>
    </rPh>
    <phoneticPr fontId="4"/>
  </si>
  <si>
    <t>広域連携型プログラム数</t>
    <rPh sb="0" eb="2">
      <t>コウイキ</t>
    </rPh>
    <rPh sb="2" eb="4">
      <t>レンケイ</t>
    </rPh>
    <rPh sb="4" eb="5">
      <t>ガタ</t>
    </rPh>
    <rPh sb="10" eb="11">
      <t>スウ</t>
    </rPh>
    <phoneticPr fontId="4"/>
  </si>
  <si>
    <t>金額</t>
    <rPh sb="0" eb="2">
      <t>キンガク</t>
    </rPh>
    <phoneticPr fontId="4"/>
  </si>
  <si>
    <t>広域連携プログラム作成経費</t>
    <phoneticPr fontId="4"/>
  </si>
  <si>
    <t>第三者評価受審経費</t>
    <phoneticPr fontId="4"/>
  </si>
  <si>
    <t>gg</t>
    <phoneticPr fontId="4"/>
  </si>
  <si>
    <t>別紙１</t>
    <rPh sb="0" eb="2">
      <t>ベッシ</t>
    </rPh>
    <phoneticPr fontId="4"/>
  </si>
  <si>
    <t>1　○○事業所要額</t>
    <phoneticPr fontId="4"/>
  </si>
  <si>
    <t>中央ナースセンター事業</t>
  </si>
  <si>
    <t/>
  </si>
  <si>
    <t>職員諸手当（非常勤）</t>
  </si>
  <si>
    <t>○○×○＝○○○円</t>
    <rPh sb="8" eb="9">
      <t>エン</t>
    </rPh>
    <phoneticPr fontId="4"/>
  </si>
  <si>
    <t>非常勤職員手当</t>
  </si>
  <si>
    <t>諸謝金</t>
  </si>
  <si>
    <t>××謝金×円</t>
    <rPh sb="2" eb="4">
      <t>シャキン</t>
    </rPh>
    <rPh sb="5" eb="6">
      <t>エン</t>
    </rPh>
    <phoneticPr fontId="4"/>
  </si>
  <si>
    <t>××謝金×円</t>
  </si>
  <si>
    <t>旅費</t>
  </si>
  <si>
    <t>△△旅費△円</t>
    <rPh sb="2" eb="4">
      <t>リョヒ</t>
    </rPh>
    <rPh sb="5" eb="6">
      <t>エン</t>
    </rPh>
    <phoneticPr fontId="4"/>
  </si>
  <si>
    <t>備品費</t>
  </si>
  <si>
    <t>○○等○円</t>
    <rPh sb="2" eb="3">
      <t>トウ</t>
    </rPh>
    <rPh sb="4" eb="5">
      <t>エン</t>
    </rPh>
    <phoneticPr fontId="4"/>
  </si>
  <si>
    <t>消耗品費</t>
  </si>
  <si>
    <t>××等×円</t>
    <rPh sb="2" eb="3">
      <t>トウ</t>
    </rPh>
    <rPh sb="4" eb="5">
      <t>エン</t>
    </rPh>
    <phoneticPr fontId="4"/>
  </si>
  <si>
    <t>印刷製本費</t>
  </si>
  <si>
    <t>△△等△円</t>
    <rPh sb="2" eb="3">
      <t>トウ</t>
    </rPh>
    <rPh sb="4" eb="5">
      <t>エン</t>
    </rPh>
    <phoneticPr fontId="4"/>
  </si>
  <si>
    <t>通信運搬費</t>
  </si>
  <si>
    <t>光熱水料</t>
  </si>
  <si>
    <t>借料及び損料</t>
  </si>
  <si>
    <t>○○会場使用料○○円</t>
    <rPh sb="2" eb="4">
      <t>カイジョウ</t>
    </rPh>
    <rPh sb="4" eb="7">
      <t>シヨウリョウ</t>
    </rPh>
    <rPh sb="9" eb="10">
      <t>エン</t>
    </rPh>
    <phoneticPr fontId="4"/>
  </si>
  <si>
    <t>会議費</t>
  </si>
  <si>
    <t>社会保険料（非常勤）</t>
  </si>
  <si>
    <t>雑役務費</t>
  </si>
  <si>
    <t>委託費</t>
  </si>
  <si>
    <t>（注）I欄及びJ欄については、交付要綱の７による変更交付申請手続の他は斜線を引くこと。</t>
    <phoneticPr fontId="4"/>
  </si>
  <si>
    <t>○</t>
    <phoneticPr fontId="4"/>
  </si>
  <si>
    <t>看護師の特定行為に係る指定医療研修機関運営事業基準額算出内訳</t>
    <rPh sb="0" eb="3">
      <t>カンゴシ</t>
    </rPh>
    <rPh sb="4" eb="6">
      <t>トクテイ</t>
    </rPh>
    <rPh sb="6" eb="8">
      <t>コウイ</t>
    </rPh>
    <rPh sb="9" eb="10">
      <t>カカワ</t>
    </rPh>
    <rPh sb="11" eb="13">
      <t>シテイ</t>
    </rPh>
    <rPh sb="13" eb="15">
      <t>イリョウ</t>
    </rPh>
    <rPh sb="15" eb="17">
      <t>ケンシュウ</t>
    </rPh>
    <rPh sb="17" eb="19">
      <t>キカン</t>
    </rPh>
    <rPh sb="19" eb="21">
      <t>ウンエイ</t>
    </rPh>
    <rPh sb="21" eb="23">
      <t>ジギョウ</t>
    </rPh>
    <rPh sb="23" eb="25">
      <t>キジュン</t>
    </rPh>
    <phoneticPr fontId="4"/>
  </si>
  <si>
    <t>（指定研修機関名）</t>
    <rPh sb="1" eb="3">
      <t>シテイ</t>
    </rPh>
    <rPh sb="3" eb="5">
      <t>ケンシュウ</t>
    </rPh>
    <rPh sb="5" eb="7">
      <t>キカン</t>
    </rPh>
    <phoneticPr fontId="5"/>
  </si>
  <si>
    <t>研修を実施する特定行為区分数</t>
    <rPh sb="0" eb="2">
      <t>ケンシュウ</t>
    </rPh>
    <rPh sb="3" eb="5">
      <t>ジッシ</t>
    </rPh>
    <rPh sb="7" eb="11">
      <t>トクテイコウイ</t>
    </rPh>
    <rPh sb="11" eb="13">
      <t>クブン</t>
    </rPh>
    <rPh sb="13" eb="14">
      <t>スウ</t>
    </rPh>
    <phoneticPr fontId="4"/>
  </si>
  <si>
    <t>区分</t>
    <rPh sb="0" eb="2">
      <t>クブン</t>
    </rPh>
    <phoneticPr fontId="4"/>
  </si>
  <si>
    <t>※「別紙１７－２の(１)」の（Ａ）の値を入力してください。</t>
    <rPh sb="2" eb="4">
      <t>ベッシ</t>
    </rPh>
    <rPh sb="18" eb="19">
      <t>アタイ</t>
    </rPh>
    <rPh sb="20" eb="22">
      <t>ニュウリョク</t>
    </rPh>
    <phoneticPr fontId="4"/>
  </si>
  <si>
    <t>１　指導者経費</t>
    <rPh sb="2" eb="4">
      <t>シドウ</t>
    </rPh>
    <rPh sb="4" eb="5">
      <t>シャ</t>
    </rPh>
    <rPh sb="5" eb="7">
      <t>ケイヒ</t>
    </rPh>
    <phoneticPr fontId="5"/>
  </si>
  <si>
    <t>（</t>
    <phoneticPr fontId="4"/>
  </si>
  <si>
    <t>円）</t>
    <rPh sb="0" eb="1">
      <t>エン</t>
    </rPh>
    <phoneticPr fontId="4"/>
  </si>
  <si>
    <t>　「研修を実施する特定行為区分数」に応じて以下の該当する記号欄に、「別紙１７－２の(１)」の（Ｂ）の値を入力してください。</t>
    <rPh sb="2" eb="4">
      <t>ケンシュウ</t>
    </rPh>
    <rPh sb="5" eb="7">
      <t>ジッシ</t>
    </rPh>
    <rPh sb="9" eb="13">
      <t>トクテイコウイ</t>
    </rPh>
    <rPh sb="13" eb="15">
      <t>クブン</t>
    </rPh>
    <rPh sb="15" eb="16">
      <t>スウ</t>
    </rPh>
    <rPh sb="18" eb="19">
      <t>オウ</t>
    </rPh>
    <rPh sb="21" eb="23">
      <t>イカ</t>
    </rPh>
    <rPh sb="24" eb="26">
      <t>ガイトウ</t>
    </rPh>
    <rPh sb="28" eb="30">
      <t>キゴウ</t>
    </rPh>
    <rPh sb="30" eb="31">
      <t>ラン</t>
    </rPh>
    <rPh sb="34" eb="36">
      <t>ベッシ</t>
    </rPh>
    <rPh sb="50" eb="51">
      <t>アタイ</t>
    </rPh>
    <rPh sb="52" eb="54">
      <t>ニュウリョク</t>
    </rPh>
    <phoneticPr fontId="4"/>
  </si>
  <si>
    <t>ア　１以上８未満の特定行為区分に係る特定行為研修を行う場合</t>
    <rPh sb="3" eb="5">
      <t>イジョウ</t>
    </rPh>
    <rPh sb="6" eb="8">
      <t>ミマン</t>
    </rPh>
    <rPh sb="9" eb="13">
      <t>トクテイコウイ</t>
    </rPh>
    <rPh sb="13" eb="15">
      <t>クブン</t>
    </rPh>
    <rPh sb="16" eb="17">
      <t>カカ</t>
    </rPh>
    <rPh sb="18" eb="22">
      <t>トクテイコウイ</t>
    </rPh>
    <rPh sb="22" eb="24">
      <t>ケンシュウ</t>
    </rPh>
    <rPh sb="25" eb="26">
      <t>オコナ</t>
    </rPh>
    <rPh sb="27" eb="29">
      <t>バアイ</t>
    </rPh>
    <phoneticPr fontId="4"/>
  </si>
  <si>
    <t>円</t>
    <rPh sb="0" eb="1">
      <t>エン</t>
    </rPh>
    <phoneticPr fontId="5"/>
  </si>
  <si>
    <t>×</t>
  </si>
  <si>
    <t>研修時間数</t>
    <rPh sb="0" eb="2">
      <t>ケンシュウ</t>
    </rPh>
    <rPh sb="2" eb="5">
      <t>ジカンスウ</t>
    </rPh>
    <phoneticPr fontId="5"/>
  </si>
  <si>
    <t>時間</t>
    <rPh sb="0" eb="2">
      <t>ジカン</t>
    </rPh>
    <phoneticPr fontId="5"/>
  </si>
  <si>
    <t>イ　８以上15未満の特定行為区分に係る特定行為研修を行う場合</t>
    <rPh sb="3" eb="5">
      <t>イジョウ</t>
    </rPh>
    <rPh sb="7" eb="9">
      <t>ミマン</t>
    </rPh>
    <rPh sb="10" eb="14">
      <t>トクテイコウイ</t>
    </rPh>
    <rPh sb="14" eb="16">
      <t>クブン</t>
    </rPh>
    <rPh sb="17" eb="18">
      <t>カカ</t>
    </rPh>
    <rPh sb="19" eb="23">
      <t>トクテイコウイ</t>
    </rPh>
    <rPh sb="23" eb="25">
      <t>ケンシュウ</t>
    </rPh>
    <rPh sb="26" eb="27">
      <t>オコナ</t>
    </rPh>
    <rPh sb="28" eb="30">
      <t>バアイ</t>
    </rPh>
    <phoneticPr fontId="4"/>
  </si>
  <si>
    <t>ウ　15以上の特定行為区分に係る特定行為研修を行う場合</t>
    <rPh sb="4" eb="6">
      <t>イジョウ</t>
    </rPh>
    <rPh sb="7" eb="11">
      <t>トクテイコウイ</t>
    </rPh>
    <rPh sb="11" eb="13">
      <t>クブン</t>
    </rPh>
    <rPh sb="14" eb="15">
      <t>カカ</t>
    </rPh>
    <rPh sb="16" eb="20">
      <t>トクテイコウイ</t>
    </rPh>
    <rPh sb="20" eb="22">
      <t>ケンシュウ</t>
    </rPh>
    <rPh sb="23" eb="24">
      <t>オコナ</t>
    </rPh>
    <rPh sb="25" eb="27">
      <t>バアイ</t>
    </rPh>
    <phoneticPr fontId="4"/>
  </si>
  <si>
    <t>２　事務職員経費</t>
    <rPh sb="2" eb="4">
      <t>ジム</t>
    </rPh>
    <rPh sb="4" eb="6">
      <t>ショクイン</t>
    </rPh>
    <rPh sb="6" eb="8">
      <t>ケイヒ</t>
    </rPh>
    <phoneticPr fontId="5"/>
  </si>
  <si>
    <t>１施設</t>
    <rPh sb="1" eb="3">
      <t>シセツ</t>
    </rPh>
    <phoneticPr fontId="5"/>
  </si>
  <si>
    <t>↑特定行為研修の運営に当たり、賃金職員を雇用する場合は「○」を入力すること。</t>
    <phoneticPr fontId="4"/>
  </si>
  <si>
    <t>３　eラーニング体制整備経費</t>
    <rPh sb="8" eb="10">
      <t>タイセイ</t>
    </rPh>
    <rPh sb="10" eb="12">
      <t>セイビ</t>
    </rPh>
    <rPh sb="12" eb="14">
      <t>ケイヒ</t>
    </rPh>
    <phoneticPr fontId="5"/>
  </si>
  <si>
    <t>↑講義又は演習を通信によって受講できる体制を整備している場合は「○」を入力すること。</t>
    <phoneticPr fontId="4"/>
  </si>
  <si>
    <t>４　代替職員確保支援体制整備経費</t>
    <rPh sb="2" eb="4">
      <t>ダイタイ</t>
    </rPh>
    <rPh sb="4" eb="6">
      <t>ショクイン</t>
    </rPh>
    <rPh sb="6" eb="8">
      <t>カクホ</t>
    </rPh>
    <rPh sb="8" eb="10">
      <t>シエン</t>
    </rPh>
    <rPh sb="10" eb="12">
      <t>タイセイ</t>
    </rPh>
    <rPh sb="12" eb="14">
      <t>セイビ</t>
    </rPh>
    <rPh sb="14" eb="16">
      <t>ケイヒ</t>
    </rPh>
    <phoneticPr fontId="5"/>
  </si>
  <si>
    <t>↑研修受講者の所属先の医療機関等が、当該受講者の研修受講中に代替職員を確保できるよう、交代要員を紹介するためのコーディネーターを指定研修機関に設置している場合は「○」を入力すること。</t>
    <rPh sb="11" eb="13">
      <t>イリョウ</t>
    </rPh>
    <rPh sb="13" eb="15">
      <t>キカン</t>
    </rPh>
    <rPh sb="15" eb="16">
      <t>トウ</t>
    </rPh>
    <rPh sb="18" eb="20">
      <t>トウガイ</t>
    </rPh>
    <rPh sb="20" eb="23">
      <t>ジュコウシャ</t>
    </rPh>
    <rPh sb="24" eb="26">
      <t>ケンシュウ</t>
    </rPh>
    <rPh sb="26" eb="28">
      <t>ジュコウ</t>
    </rPh>
    <rPh sb="28" eb="29">
      <t>チュウ</t>
    </rPh>
    <rPh sb="30" eb="32">
      <t>ダイタイ</t>
    </rPh>
    <rPh sb="32" eb="34">
      <t>ショクイン</t>
    </rPh>
    <rPh sb="35" eb="37">
      <t>カクホ</t>
    </rPh>
    <rPh sb="43" eb="45">
      <t>コウタイ</t>
    </rPh>
    <rPh sb="45" eb="47">
      <t>ヨウイン</t>
    </rPh>
    <rPh sb="48" eb="50">
      <t>ショウカイ</t>
    </rPh>
    <rPh sb="64" eb="66">
      <t>シテイ</t>
    </rPh>
    <rPh sb="66" eb="68">
      <t>ケンシュウ</t>
    </rPh>
    <rPh sb="68" eb="70">
      <t>キカン</t>
    </rPh>
    <rPh sb="71" eb="73">
      <t>セッチ</t>
    </rPh>
    <phoneticPr fontId="4"/>
  </si>
  <si>
    <t>５　診療の補助行為技術向上体制整備経費</t>
    <rPh sb="2" eb="4">
      <t>シンリョウ</t>
    </rPh>
    <rPh sb="5" eb="7">
      <t>ホジョ</t>
    </rPh>
    <rPh sb="7" eb="9">
      <t>コウイ</t>
    </rPh>
    <rPh sb="9" eb="11">
      <t>ギジュツ</t>
    </rPh>
    <rPh sb="11" eb="13">
      <t>コウジョウ</t>
    </rPh>
    <rPh sb="13" eb="15">
      <t>タイセイ</t>
    </rPh>
    <rPh sb="15" eb="17">
      <t>セイビ</t>
    </rPh>
    <rPh sb="17" eb="19">
      <t>ケイヒ</t>
    </rPh>
    <phoneticPr fontId="5"/>
  </si>
  <si>
    <t>↑特定行為に相当する診療の補助行為（手順書によらない場合）を適切に行うための研修を地域において実施している場合は「○」を入力すること。</t>
    <rPh sb="10" eb="12">
      <t>シンリョウ</t>
    </rPh>
    <rPh sb="13" eb="15">
      <t>ホジョ</t>
    </rPh>
    <rPh sb="15" eb="17">
      <t>コウイ</t>
    </rPh>
    <rPh sb="41" eb="43">
      <t>チイキ</t>
    </rPh>
    <phoneticPr fontId="4"/>
  </si>
  <si>
    <t>６　訪問看護ステーション等研修支援経費</t>
    <rPh sb="2" eb="4">
      <t>ホウモン</t>
    </rPh>
    <rPh sb="4" eb="6">
      <t>カンゴ</t>
    </rPh>
    <rPh sb="12" eb="13">
      <t>トウ</t>
    </rPh>
    <rPh sb="13" eb="15">
      <t>ケンシュウ</t>
    </rPh>
    <rPh sb="15" eb="17">
      <t>シエン</t>
    </rPh>
    <rPh sb="17" eb="19">
      <t>ケイヒ</t>
    </rPh>
    <phoneticPr fontId="5"/>
  </si>
  <si>
    <t>１日あたり</t>
    <rPh sb="1" eb="2">
      <t>ニチ</t>
    </rPh>
    <phoneticPr fontId="5"/>
  </si>
  <si>
    <t>実施日数</t>
    <rPh sb="0" eb="2">
      <t>ジッシ</t>
    </rPh>
    <rPh sb="2" eb="4">
      <t>ニッスウ</t>
    </rPh>
    <phoneticPr fontId="4"/>
  </si>
  <si>
    <t>日</t>
    <rPh sb="0" eb="1">
      <t>ニチ</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</si>
  <si>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rPh sb="1" eb="3">
      <t>キョウリョク</t>
    </rPh>
    <rPh sb="3" eb="5">
      <t>シセツ</t>
    </rPh>
    <rPh sb="9" eb="11">
      <t>レンケイ</t>
    </rPh>
    <rPh sb="11" eb="13">
      <t>キョウリョク</t>
    </rPh>
    <rPh sb="15" eb="17">
      <t>トクテイ</t>
    </rPh>
    <rPh sb="17" eb="19">
      <t>コウイ</t>
    </rPh>
    <rPh sb="19" eb="21">
      <t>ケンシュウ</t>
    </rPh>
    <rPh sb="22" eb="23">
      <t>オコナ</t>
    </rPh>
    <rPh sb="24" eb="26">
      <t>バアイ</t>
    </rPh>
    <rPh sb="31" eb="33">
      <t>トウガイ</t>
    </rPh>
    <rPh sb="33" eb="35">
      <t>キョウリョク</t>
    </rPh>
    <rPh sb="35" eb="37">
      <t>シセツ</t>
    </rPh>
    <rPh sb="42" eb="44">
      <t>トクテイ</t>
    </rPh>
    <rPh sb="44" eb="46">
      <t>コウイ</t>
    </rPh>
    <rPh sb="46" eb="48">
      <t>ケンシュウ</t>
    </rPh>
    <rPh sb="49" eb="50">
      <t>カカ</t>
    </rPh>
    <rPh sb="51" eb="53">
      <t>コウギ</t>
    </rPh>
    <rPh sb="54" eb="56">
      <t>エンシュウ</t>
    </rPh>
    <rPh sb="56" eb="57">
      <t>マタ</t>
    </rPh>
    <rPh sb="58" eb="60">
      <t>ジッシュウ</t>
    </rPh>
    <rPh sb="61" eb="63">
      <t>ジッシ</t>
    </rPh>
    <rPh sb="78" eb="80">
      <t>ジッシ</t>
    </rPh>
    <rPh sb="80" eb="82">
      <t>ニッスウ</t>
    </rPh>
    <rPh sb="83" eb="85">
      <t>キサイ</t>
    </rPh>
    <rPh sb="94" eb="96">
      <t>タイショウ</t>
    </rPh>
    <rPh sb="99" eb="101">
      <t>キョウリョク</t>
    </rPh>
    <rPh sb="101" eb="103">
      <t>シセツ</t>
    </rPh>
    <rPh sb="104" eb="106">
      <t>ホウモン</t>
    </rPh>
    <rPh sb="106" eb="108">
      <t>カンゴ</t>
    </rPh>
    <rPh sb="115" eb="117">
      <t>カイゴ</t>
    </rPh>
    <rPh sb="117" eb="119">
      <t>シセツ</t>
    </rPh>
    <rPh sb="119" eb="120">
      <t>オヨ</t>
    </rPh>
    <rPh sb="121" eb="124">
      <t>シンリョウジョ</t>
    </rPh>
    <rPh sb="125" eb="126">
      <t>カギ</t>
    </rPh>
    <phoneticPr fontId="4"/>
  </si>
  <si>
    <t>合計額</t>
    <rPh sb="0" eb="2">
      <t>ゴウケイ</t>
    </rPh>
    <rPh sb="2" eb="3">
      <t>ガク</t>
    </rPh>
    <phoneticPr fontId="4"/>
  </si>
  <si>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1"/>
  </si>
  <si>
    <t>別紙２－１</t>
    <rPh sb="0" eb="2">
      <t>ベッシ</t>
    </rPh>
    <phoneticPr fontId="5"/>
  </si>
  <si>
    <t>臨床研修事業事業計画書（総括表）</t>
    <rPh sb="0" eb="2">
      <t>リンショウ</t>
    </rPh>
    <rPh sb="2" eb="4">
      <t>ケンシュウ</t>
    </rPh>
    <rPh sb="4" eb="6">
      <t>ジギョウ</t>
    </rPh>
    <phoneticPr fontId="4"/>
  </si>
  <si>
    <t>１年次生又は再開者</t>
    <phoneticPr fontId="4"/>
  </si>
  <si>
    <t>補助対象</t>
    <rPh sb="0" eb="2">
      <t>ホジョ</t>
    </rPh>
    <rPh sb="2" eb="4">
      <t>タイショウ</t>
    </rPh>
    <phoneticPr fontId="4"/>
  </si>
  <si>
    <t>宿日直研修計画月数</t>
    <rPh sb="3" eb="5">
      <t>ケンシュウ</t>
    </rPh>
    <phoneticPr fontId="4"/>
  </si>
  <si>
    <t>産婦人科</t>
    <rPh sb="0" eb="4">
      <t>サンフジンカ</t>
    </rPh>
    <phoneticPr fontId="4"/>
  </si>
  <si>
    <t>小児科</t>
    <rPh sb="0" eb="3">
      <t>ショウニカ</t>
    </rPh>
    <phoneticPr fontId="4"/>
  </si>
  <si>
    <t>対象</t>
    <rPh sb="0" eb="2">
      <t>タイショウ</t>
    </rPh>
    <phoneticPr fontId="4"/>
  </si>
  <si>
    <t>対象外</t>
    <rPh sb="0" eb="2">
      <t>タイショウ</t>
    </rPh>
    <rPh sb="2" eb="3">
      <t>ガイ</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</si>
  <si>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</si>
  <si>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</si>
  <si>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</si>
  <si>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月４回
以上</t>
    <rPh sb="0" eb="1">
      <t>ツキ</t>
    </rPh>
    <rPh sb="2" eb="3">
      <t>カイ</t>
    </rPh>
    <rPh sb="4" eb="6">
      <t>イジョウ</t>
    </rPh>
    <phoneticPr fontId="4"/>
  </si>
  <si>
    <t>合計</t>
    <rPh sb="0" eb="2">
      <t>ゴウケイ</t>
    </rPh>
    <phoneticPr fontId="4"/>
  </si>
  <si>
    <t>分野</t>
    <rPh sb="0" eb="2">
      <t>ブンヤ</t>
    </rPh>
    <phoneticPr fontId="4"/>
  </si>
  <si>
    <t>A</t>
    <phoneticPr fontId="4"/>
  </si>
  <si>
    <t>B</t>
    <phoneticPr fontId="4"/>
  </si>
  <si>
    <t>C</t>
    <phoneticPr fontId="4"/>
  </si>
  <si>
    <t>D</t>
    <phoneticPr fontId="4"/>
  </si>
  <si>
    <t>E</t>
    <phoneticPr fontId="4"/>
  </si>
  <si>
    <t>F</t>
    <phoneticPr fontId="4"/>
  </si>
  <si>
    <t>G</t>
    <phoneticPr fontId="4"/>
  </si>
  <si>
    <t>宿日直</t>
    <rPh sb="0" eb="1">
      <t>シュク</t>
    </rPh>
    <rPh sb="1" eb="3">
      <t>ニッチョク</t>
    </rPh>
    <phoneticPr fontId="4"/>
  </si>
  <si>
    <t>産婦人科</t>
    <phoneticPr fontId="4"/>
  </si>
  <si>
    <t>小児科</t>
    <phoneticPr fontId="4"/>
  </si>
  <si>
    <r>
      <t>事業延</t>
    </r>
    <r>
      <rPr>
        <b/>
        <sz val="11"/>
        <color theme="1"/>
        <rFont val="ＭＳ 明朝"/>
        <family val="1"/>
        <charset val="128"/>
      </rPr>
      <t>月数</t>
    </r>
    <r>
      <rPr>
        <sz val="11"/>
        <color theme="1"/>
        <rFont val="ＭＳ 明朝"/>
        <family val="1"/>
        <charset val="128"/>
      </rPr>
      <t xml:space="preserve">
(月４回以上)　　　　　　　　　</t>
    </r>
    <rPh sb="0" eb="2">
      <t>ジギョウ</t>
    </rPh>
    <rPh sb="2" eb="3">
      <t>ノ</t>
    </rPh>
    <rPh sb="3" eb="5">
      <t>ツキスウ</t>
    </rPh>
    <rPh sb="10" eb="12">
      <t>イジョウ</t>
    </rPh>
    <phoneticPr fontId="4"/>
  </si>
  <si>
    <t>月</t>
    <rPh sb="0" eb="1">
      <t>ツキ</t>
    </rPh>
    <phoneticPr fontId="4"/>
  </si>
  <si>
    <t>Ｈ</t>
    <phoneticPr fontId="4"/>
  </si>
  <si>
    <r>
      <t>事業延</t>
    </r>
    <r>
      <rPr>
        <b/>
        <sz val="11"/>
        <color theme="1"/>
        <rFont val="ＭＳ 明朝"/>
        <family val="1"/>
        <charset val="128"/>
      </rPr>
      <t>日数</t>
    </r>
    <r>
      <rPr>
        <sz val="11"/>
        <color theme="1"/>
        <rFont val="ＭＳ 明朝"/>
        <family val="1"/>
        <charset val="128"/>
      </rPr>
      <t xml:space="preserve">
(月４回未満)
</t>
    </r>
    <rPh sb="0" eb="2">
      <t>ジギョウ</t>
    </rPh>
    <rPh sb="2" eb="3">
      <t>ノ</t>
    </rPh>
    <rPh sb="3" eb="5">
      <t>ニッスウ</t>
    </rPh>
    <phoneticPr fontId="4"/>
  </si>
  <si>
    <t>A+(B×2)+(C×3)</t>
    <phoneticPr fontId="4"/>
  </si>
  <si>
    <t>E+(F×2)+(G×3)</t>
    <phoneticPr fontId="4"/>
  </si>
  <si>
    <t>日</t>
    <phoneticPr fontId="4"/>
  </si>
  <si>
    <t>２年次生又は再開者</t>
    <phoneticPr fontId="4"/>
  </si>
  <si>
    <t>２年次生
又は
再開者</t>
    <phoneticPr fontId="4"/>
  </si>
  <si>
    <t>オンコール</t>
    <phoneticPr fontId="4"/>
  </si>
  <si>
    <t>M</t>
    <phoneticPr fontId="4"/>
  </si>
  <si>
    <t>N</t>
    <phoneticPr fontId="4"/>
  </si>
  <si>
    <t>O</t>
    <phoneticPr fontId="4"/>
  </si>
  <si>
    <t>P</t>
    <phoneticPr fontId="4"/>
  </si>
  <si>
    <t>Q</t>
    <phoneticPr fontId="4"/>
  </si>
  <si>
    <t>R</t>
    <phoneticPr fontId="4"/>
  </si>
  <si>
    <t>指導医等が研修医と当直</t>
    <rPh sb="0" eb="3">
      <t>シドウイ</t>
    </rPh>
    <rPh sb="3" eb="4">
      <t>トウ</t>
    </rPh>
    <rPh sb="5" eb="7">
      <t>ケンシュウ</t>
    </rPh>
    <rPh sb="7" eb="8">
      <t>イ</t>
    </rPh>
    <rPh sb="9" eb="11">
      <t>トウチョク</t>
    </rPh>
    <phoneticPr fontId="4"/>
  </si>
  <si>
    <t>指導医等がオンコール体制</t>
    <rPh sb="0" eb="2">
      <t>シドウ</t>
    </rPh>
    <rPh sb="2" eb="3">
      <t>イ</t>
    </rPh>
    <rPh sb="3" eb="4">
      <t>トウ</t>
    </rPh>
    <rPh sb="10" eb="12">
      <t>タイセイ</t>
    </rPh>
    <phoneticPr fontId="4"/>
  </si>
  <si>
    <t>S</t>
    <phoneticPr fontId="4"/>
  </si>
  <si>
    <t>K+(L×2)+(M×3)</t>
    <phoneticPr fontId="4"/>
  </si>
  <si>
    <t>T</t>
    <phoneticPr fontId="4"/>
  </si>
  <si>
    <t>O+(P×2)+(Q×3)</t>
    <phoneticPr fontId="4"/>
  </si>
  <si>
    <t>総　　計</t>
    <rPh sb="0" eb="1">
      <t>フサ</t>
    </rPh>
    <rPh sb="3" eb="4">
      <t>ケイ</t>
    </rPh>
    <phoneticPr fontId="4"/>
  </si>
  <si>
    <t>総    計</t>
    <rPh sb="0" eb="1">
      <t>フサ</t>
    </rPh>
    <rPh sb="5" eb="6">
      <t>ケイ</t>
    </rPh>
    <phoneticPr fontId="4"/>
  </si>
  <si>
    <t>別紙２－１　附表Ａ１</t>
    <rPh sb="6" eb="8">
      <t>フヒョウ</t>
    </rPh>
    <phoneticPr fontId="5"/>
  </si>
  <si>
    <t>臨 床 研 修 履 修 計 画 及 び 宿 日 直 研 修 計 画 調 書</t>
    <rPh sb="0" eb="1">
      <t>リン</t>
    </rPh>
    <rPh sb="2" eb="3">
      <t>ユカ</t>
    </rPh>
    <rPh sb="4" eb="5">
      <t>ケン</t>
    </rPh>
    <rPh sb="6" eb="7">
      <t>オサム</t>
    </rPh>
    <rPh sb="8" eb="9">
      <t>クツ</t>
    </rPh>
    <rPh sb="10" eb="11">
      <t>オサム</t>
    </rPh>
    <rPh sb="12" eb="13">
      <t>ケイ</t>
    </rPh>
    <rPh sb="14" eb="15">
      <t>ガ</t>
    </rPh>
    <rPh sb="16" eb="17">
      <t>オヨ</t>
    </rPh>
    <rPh sb="20" eb="21">
      <t>シュク</t>
    </rPh>
    <rPh sb="22" eb="23">
      <t>ヒ</t>
    </rPh>
    <rPh sb="24" eb="25">
      <t>チョク</t>
    </rPh>
    <rPh sb="26" eb="27">
      <t>ケン</t>
    </rPh>
    <rPh sb="28" eb="29">
      <t>オサム</t>
    </rPh>
    <rPh sb="30" eb="31">
      <t>ケイ</t>
    </rPh>
    <rPh sb="32" eb="33">
      <t>ガ</t>
    </rPh>
    <rPh sb="34" eb="35">
      <t>チョウ</t>
    </rPh>
    <rPh sb="36" eb="37">
      <t>ショ</t>
    </rPh>
    <phoneticPr fontId="5"/>
  </si>
  <si>
    <t xml:space="preserve">
</t>
    <phoneticPr fontId="4"/>
  </si>
  <si>
    <t>１年次生又は再開者</t>
    <rPh sb="1" eb="2">
      <t>ネン</t>
    </rPh>
    <rPh sb="2" eb="3">
      <t>ジ</t>
    </rPh>
    <rPh sb="3" eb="4">
      <t>セイ</t>
    </rPh>
    <rPh sb="4" eb="5">
      <t>マタ</t>
    </rPh>
    <rPh sb="6" eb="8">
      <t>サイカイ</t>
    </rPh>
    <rPh sb="8" eb="9">
      <t>シャ</t>
    </rPh>
    <phoneticPr fontId="4"/>
  </si>
  <si>
    <t>施設番号</t>
    <rPh sb="0" eb="2">
      <t>シセツ</t>
    </rPh>
    <rPh sb="2" eb="4">
      <t>バンゴウ</t>
    </rPh>
    <phoneticPr fontId="5"/>
  </si>
  <si>
    <t>基幹型病院名</t>
    <phoneticPr fontId="4"/>
  </si>
  <si>
    <t>地域種別</t>
    <rPh sb="0" eb="2">
      <t>チイキ</t>
    </rPh>
    <rPh sb="2" eb="4">
      <t>シュベツ</t>
    </rPh>
    <phoneticPr fontId="4"/>
  </si>
  <si>
    <t>第１種</t>
  </si>
  <si>
    <t>地元大学出身</t>
    <rPh sb="0" eb="2">
      <t>ジモト</t>
    </rPh>
    <rPh sb="2" eb="4">
      <t>ダイガク</t>
    </rPh>
    <rPh sb="4" eb="6">
      <t>シュッシン</t>
    </rPh>
    <phoneticPr fontId="4"/>
  </si>
  <si>
    <t>研修医氏名</t>
    <rPh sb="0" eb="3">
      <t>ケンシュウイ</t>
    </rPh>
    <rPh sb="3" eb="5">
      <t>シメイ</t>
    </rPh>
    <phoneticPr fontId="5"/>
  </si>
  <si>
    <t>地元出身</t>
    <rPh sb="0" eb="2">
      <t>ジモト</t>
    </rPh>
    <rPh sb="2" eb="4">
      <t>シュッシン</t>
    </rPh>
    <phoneticPr fontId="4"/>
  </si>
  <si>
    <t>研修開始年月日</t>
    <phoneticPr fontId="4"/>
  </si>
  <si>
    <t>年</t>
    <rPh sb="0" eb="1">
      <t>ネン</t>
    </rPh>
    <phoneticPr fontId="4"/>
  </si>
  <si>
    <t>日</t>
    <rPh sb="0" eb="1">
      <t>ヒ</t>
    </rPh>
    <phoneticPr fontId="4"/>
  </si>
  <si>
    <t>プログラム番号</t>
    <rPh sb="5" eb="7">
      <t>バンゴウ</t>
    </rPh>
    <phoneticPr fontId="4"/>
  </si>
  <si>
    <t>プログラム名</t>
    <phoneticPr fontId="4"/>
  </si>
  <si>
    <t>施設番号</t>
    <rPh sb="0" eb="2">
      <t>シセツ</t>
    </rPh>
    <rPh sb="2" eb="4">
      <t>バンゴウ</t>
    </rPh>
    <phoneticPr fontId="4"/>
  </si>
  <si>
    <t>研修実施施設名</t>
    <rPh sb="0" eb="2">
      <t>ケンシュウ</t>
    </rPh>
    <rPh sb="2" eb="4">
      <t>ジッシ</t>
    </rPh>
    <rPh sb="4" eb="6">
      <t>シセツ</t>
    </rPh>
    <rPh sb="6" eb="7">
      <t>メイ</t>
    </rPh>
    <phoneticPr fontId="4"/>
  </si>
  <si>
    <t>都道府県</t>
    <rPh sb="0" eb="4">
      <t>トドウフケン</t>
    </rPh>
    <phoneticPr fontId="4"/>
  </si>
  <si>
    <t>市区町村</t>
    <rPh sb="0" eb="4">
      <t>シクチョウソン</t>
    </rPh>
    <phoneticPr fontId="4"/>
  </si>
  <si>
    <t>分野及
び宿日
直回数</t>
    <phoneticPr fontId="4"/>
  </si>
  <si>
    <t>臨　床　研　修　履　修　計　画</t>
    <rPh sb="0" eb="1">
      <t>リン</t>
    </rPh>
    <rPh sb="2" eb="3">
      <t>ユカ</t>
    </rPh>
    <rPh sb="4" eb="5">
      <t>ケン</t>
    </rPh>
    <rPh sb="6" eb="7">
      <t>オサム</t>
    </rPh>
    <rPh sb="8" eb="9">
      <t>クツ</t>
    </rPh>
    <rPh sb="10" eb="11">
      <t>オサム</t>
    </rPh>
    <rPh sb="12" eb="13">
      <t>ケイ</t>
    </rPh>
    <rPh sb="14" eb="15">
      <t>ガ</t>
    </rPh>
    <phoneticPr fontId="5"/>
  </si>
  <si>
    <t>備　考</t>
    <rPh sb="0" eb="1">
      <t>ビ</t>
    </rPh>
    <rPh sb="2" eb="3">
      <t>コウ</t>
    </rPh>
    <phoneticPr fontId="5"/>
  </si>
  <si>
    <t>第3種</t>
    <phoneticPr fontId="4"/>
  </si>
  <si>
    <t>第4種</t>
    <phoneticPr fontId="4"/>
  </si>
  <si>
    <t>第5種</t>
    <phoneticPr fontId="4"/>
  </si>
  <si>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</si>
  <si>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</si>
  <si>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</si>
  <si>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</si>
  <si>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</si>
  <si>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</si>
  <si>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</si>
  <si>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</si>
  <si>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</si>
  <si>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１月</t>
    <rPh sb="1" eb="2">
      <t>ツキ</t>
    </rPh>
    <phoneticPr fontId="5"/>
  </si>
  <si>
    <t>２月</t>
    <rPh sb="1" eb="2">
      <t>ツキ</t>
    </rPh>
    <phoneticPr fontId="5"/>
  </si>
  <si>
    <t>３月</t>
    <rPh sb="1" eb="2">
      <t>ツキ</t>
    </rPh>
    <phoneticPr fontId="5"/>
  </si>
  <si>
    <t>計</t>
    <rPh sb="0" eb="1">
      <t>ケイ</t>
    </rPh>
    <phoneticPr fontId="5"/>
  </si>
  <si>
    <t xml:space="preserve">
対象外</t>
    <rPh sb="1" eb="3">
      <t>タイショウ</t>
    </rPh>
    <rPh sb="3" eb="4">
      <t>ガイ</t>
    </rPh>
    <phoneticPr fontId="4"/>
  </si>
  <si>
    <t>事業延月数(月４回以上)D</t>
    <phoneticPr fontId="4"/>
  </si>
  <si>
    <t>事業延月数(月４回以上)H</t>
    <phoneticPr fontId="4"/>
  </si>
  <si>
    <t>事業延日数
(月４回未満)I</t>
    <phoneticPr fontId="4"/>
  </si>
  <si>
    <t>事業延日数
(月４回未満)J</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</si>
  <si>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注３）臨床研修履修計画の計を①【補助対象】と【補助対象外（国立等）】に分けること。
注４）臨床研修履修計画は、各月末時点における研修実施施設を基準に記入すること。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73" eb="174">
      <t>チュウ</t>
    </rPh>
    <rPh sb="176" eb="178">
      <t>リンショウ</t>
    </rPh>
    <rPh sb="178" eb="180">
      <t>ケンシュウ</t>
    </rPh>
    <rPh sb="180" eb="182">
      <t>リシュウ</t>
    </rPh>
    <rPh sb="182" eb="184">
      <t>ケイカク</t>
    </rPh>
    <rPh sb="186" eb="187">
      <t>カク</t>
    </rPh>
    <rPh sb="187" eb="189">
      <t>ゲツマツ</t>
    </rPh>
    <rPh sb="189" eb="191">
      <t>ジテン</t>
    </rPh>
    <rPh sb="195" eb="197">
      <t>ケンシュウ</t>
    </rPh>
    <rPh sb="197" eb="199">
      <t>ジッシ</t>
    </rPh>
    <rPh sb="199" eb="201">
      <t>シセツ</t>
    </rPh>
    <rPh sb="202" eb="204">
      <t>キジュン</t>
    </rPh>
    <rPh sb="205" eb="207">
      <t>キニュウ</t>
    </rPh>
    <phoneticPr fontId="4"/>
  </si>
  <si>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4"/>
  </si>
  <si>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4"/>
  </si>
  <si>
    <t>別紙２－１　附表Ａ２</t>
    <rPh sb="6" eb="8">
      <t>フヒョウ</t>
    </rPh>
    <phoneticPr fontId="5"/>
  </si>
  <si>
    <t>２年次生又は再開者</t>
    <rPh sb="1" eb="2">
      <t>ネン</t>
    </rPh>
    <rPh sb="2" eb="3">
      <t>ジ</t>
    </rPh>
    <rPh sb="3" eb="4">
      <t>セイ</t>
    </rPh>
    <rPh sb="4" eb="5">
      <t>マタ</t>
    </rPh>
    <rPh sb="6" eb="8">
      <t>サイカイ</t>
    </rPh>
    <rPh sb="8" eb="9">
      <t>シャ</t>
    </rPh>
    <phoneticPr fontId="4"/>
  </si>
  <si>
    <t>施設番号</t>
  </si>
  <si>
    <t>施設番号</t>
    <phoneticPr fontId="4"/>
  </si>
  <si>
    <t>研修実施施設名</t>
    <phoneticPr fontId="4"/>
  </si>
  <si>
    <t>宿日直</t>
    <phoneticPr fontId="4"/>
  </si>
  <si>
    <t>ｵﾝｺｰﾙ</t>
    <phoneticPr fontId="4"/>
  </si>
  <si>
    <t>オン
コール</t>
    <phoneticPr fontId="4"/>
  </si>
  <si>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指導医等がオンコールによる指導体制にあった場合は、オンコールの欄に記入すること。その際に１月当たり回数合計を
　　　計の欄に記入すること。（１ヶ月月当たり宿日直、オンコールを合計して４回を超えて記入することは不可）
注４）臨床研修履修計画の計を【補助対象】と【補助対象外（国立等）】に分けること。
注５）臨床研修履修計画は、各月末時点における研修実施施設を基準に記入すること。</t>
    <phoneticPr fontId="4"/>
  </si>
  <si>
    <t>事業延月数(月４回以上)N　　　　　　　　　</t>
    <phoneticPr fontId="4"/>
  </si>
  <si>
    <t>事業延月数(月４回以上)R　　　　　　　　</t>
    <phoneticPr fontId="4"/>
  </si>
  <si>
    <t>事業延日数
(月４回未満)S</t>
    <phoneticPr fontId="4"/>
  </si>
  <si>
    <t>事業延日数(月４回未満)T</t>
    <phoneticPr fontId="4"/>
  </si>
  <si>
    <t>別紙２－２</t>
    <rPh sb="0" eb="2">
      <t>ベッシ</t>
    </rPh>
    <phoneticPr fontId="5"/>
  </si>
  <si>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5"/>
  </si>
  <si>
    <t>診療所等名称</t>
    <rPh sb="0" eb="1">
      <t>ミ</t>
    </rPh>
    <rPh sb="1" eb="2">
      <t>リョウ</t>
    </rPh>
    <rPh sb="2" eb="3">
      <t>ショ</t>
    </rPh>
    <rPh sb="3" eb="4">
      <t>トウ</t>
    </rPh>
    <rPh sb="4" eb="5">
      <t>メイ</t>
    </rPh>
    <rPh sb="5" eb="6">
      <t>ショウ</t>
    </rPh>
    <phoneticPr fontId="5"/>
  </si>
  <si>
    <t>研修医氏名</t>
    <rPh sb="0" eb="1">
      <t>ケン</t>
    </rPh>
    <rPh sb="1" eb="2">
      <t>オサム</t>
    </rPh>
    <rPh sb="2" eb="3">
      <t>イ</t>
    </rPh>
    <rPh sb="3" eb="4">
      <t>シ</t>
    </rPh>
    <rPh sb="4" eb="5">
      <t>メイ</t>
    </rPh>
    <phoneticPr fontId="5"/>
  </si>
  <si>
    <t>期　　　　間</t>
    <rPh sb="0" eb="1">
      <t>キ</t>
    </rPh>
    <rPh sb="5" eb="6">
      <t>アイダ</t>
    </rPh>
    <phoneticPr fontId="5"/>
  </si>
  <si>
    <t>研修実日数</t>
    <rPh sb="0" eb="2">
      <t>ケンシュウ</t>
    </rPh>
    <rPh sb="2" eb="3">
      <t>ジツ</t>
    </rPh>
    <rPh sb="3" eb="5">
      <t>ニッスウ</t>
    </rPh>
    <phoneticPr fontId="5"/>
  </si>
  <si>
    <t>備　　　　　考</t>
    <rPh sb="0" eb="1">
      <t>ビ</t>
    </rPh>
    <rPh sb="6" eb="7">
      <t>コウ</t>
    </rPh>
    <phoneticPr fontId="5"/>
  </si>
  <si>
    <t>合　　　　計</t>
    <rPh sb="0" eb="1">
      <t>ゴウ</t>
    </rPh>
    <rPh sb="5" eb="6">
      <t>ケイ</t>
    </rPh>
    <phoneticPr fontId="5"/>
  </si>
  <si>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5"/>
  </si>
  <si>
    <t>別紙２－３</t>
    <rPh sb="0" eb="2">
      <t>ベッシ</t>
    </rPh>
    <phoneticPr fontId="4"/>
  </si>
  <si>
    <t>研修医の処遇について</t>
    <phoneticPr fontId="4"/>
  </si>
  <si>
    <t>（単位:円）</t>
    <rPh sb="1" eb="3">
      <t>タンイ</t>
    </rPh>
    <rPh sb="4" eb="5">
      <t>エン</t>
    </rPh>
    <phoneticPr fontId="14"/>
  </si>
  <si>
    <t>病　　院　　名</t>
    <phoneticPr fontId="14"/>
  </si>
  <si>
    <t>当該年度４月１日現在の１年次研修医受入数</t>
    <phoneticPr fontId="14"/>
  </si>
  <si>
    <t>研修医の種別(常勤・非常勤）</t>
    <rPh sb="0" eb="3">
      <t>ケンシュウイ</t>
    </rPh>
    <rPh sb="4" eb="6">
      <t>シュベツ</t>
    </rPh>
    <rPh sb="7" eb="9">
      <t>ジョウキン</t>
    </rPh>
    <rPh sb="10" eb="13">
      <t>ヒジョウキン</t>
    </rPh>
    <phoneticPr fontId="14"/>
  </si>
  <si>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14"/>
  </si>
  <si>
    <t>備考</t>
    <rPh sb="0" eb="2">
      <t>ビコウ</t>
    </rPh>
    <phoneticPr fontId="14"/>
  </si>
  <si>
    <t>１年次（当該年度）</t>
    <rPh sb="0" eb="2">
      <t>イチネン</t>
    </rPh>
    <rPh sb="2" eb="3">
      <t>ジ</t>
    </rPh>
    <rPh sb="4" eb="6">
      <t>トウガイ</t>
    </rPh>
    <rPh sb="6" eb="8">
      <t>ネンド</t>
    </rPh>
    <phoneticPr fontId="14"/>
  </si>
  <si>
    <t>①基本給月給（決定ベース）</t>
    <rPh sb="1" eb="4">
      <t>キホンキュウ</t>
    </rPh>
    <rPh sb="4" eb="6">
      <t>ゲッキュウ</t>
    </rPh>
    <rPh sb="7" eb="9">
      <t>ケッテイ</t>
    </rPh>
    <phoneticPr fontId="14"/>
  </si>
  <si>
    <t>②年額賞与(決定ベース）</t>
    <rPh sb="1" eb="3">
      <t>ネンガク</t>
    </rPh>
    <rPh sb="3" eb="5">
      <t>ショウヨ</t>
    </rPh>
    <rPh sb="6" eb="8">
      <t>ケッテイ</t>
    </rPh>
    <phoneticPr fontId="14"/>
  </si>
  <si>
    <t>推計年収（①×12+②)　　　　</t>
    <rPh sb="0" eb="2">
      <t>スイケイ</t>
    </rPh>
    <rPh sb="2" eb="4">
      <t>ネンシュウ</t>
    </rPh>
    <phoneticPr fontId="14"/>
  </si>
  <si>
    <t>α</t>
    <phoneticPr fontId="4"/>
  </si>
  <si>
    <t>【記載要領】</t>
    <rPh sb="1" eb="3">
      <t>キサイ</t>
    </rPh>
    <rPh sb="3" eb="5">
      <t>ヨウリョウ</t>
    </rPh>
    <phoneticPr fontId="14"/>
  </si>
  <si>
    <t>（１）本調査には都道府県の要請等により受け入れた自治医科大学医学部卒の研修医は含めないこと。</t>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14"/>
  </si>
  <si>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14"/>
  </si>
  <si>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14"/>
  </si>
  <si>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14"/>
  </si>
  <si>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14"/>
  </si>
  <si>
    <t>　　　　　①基本給月給</t>
    <rPh sb="6" eb="8">
      <t>キホン</t>
    </rPh>
    <rPh sb="8" eb="9">
      <t>キュウ</t>
    </rPh>
    <rPh sb="9" eb="11">
      <t>ゲッキュウ</t>
    </rPh>
    <phoneticPr fontId="14"/>
  </si>
  <si>
    <t>　　　　　　　「基本給」は、研修医の業務量、住居、通勤経路、家族構成にかかわらず研修医に決まって支払われる給与とします。国家公務員の給与では、</t>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14"/>
  </si>
  <si>
    <t>　　　　　　 「職員俸給」、「地域手当」、「初任給調整手当」、「寒冷地手当」、「特地勤務手当」などが該当します。「超過勤務手当」、「当直手当」、「住居手当」、</t>
    <phoneticPr fontId="4"/>
  </si>
  <si>
    <t>　　　　　　 「通勤手当」、「扶養手当」などは該当しません。</t>
    <phoneticPr fontId="4"/>
  </si>
  <si>
    <t>　　　　　②年額賞与</t>
    <rPh sb="6" eb="8">
      <t>ネンガク</t>
    </rPh>
    <rPh sb="8" eb="10">
      <t>ショウヨ</t>
    </rPh>
    <phoneticPr fontId="14"/>
  </si>
  <si>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14"/>
  </si>
  <si>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14"/>
  </si>
  <si>
    <t>　　　　　　   ただし、公募後に変更が決まっている場合は、変更後の処遇により記載して下さい。</t>
    <rPh sb="39" eb="41">
      <t>キサイ</t>
    </rPh>
    <rPh sb="43" eb="44">
      <t>クダ</t>
    </rPh>
    <phoneticPr fontId="4"/>
  </si>
  <si>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4"/>
  </si>
  <si>
    <t>✔</t>
    <phoneticPr fontId="4"/>
  </si>
  <si>
    <t>臨床研修事業基準額算出内訳</t>
    <rPh sb="0" eb="2">
      <t>リンショウ</t>
    </rPh>
    <rPh sb="2" eb="4">
      <t>ケンシュウ</t>
    </rPh>
    <rPh sb="4" eb="6">
      <t>ジギョウ</t>
    </rPh>
    <phoneticPr fontId="4"/>
  </si>
  <si>
    <t>（基幹型病院名）</t>
    <rPh sb="1" eb="3">
      <t>キカン</t>
    </rPh>
    <phoneticPr fontId="5"/>
  </si>
  <si>
    <t>基準額算出に係る条件確認</t>
    <rPh sb="0" eb="3">
      <t>キジュンガク</t>
    </rPh>
    <rPh sb="3" eb="5">
      <t>サンシュツ</t>
    </rPh>
    <rPh sb="6" eb="7">
      <t>カカ</t>
    </rPh>
    <rPh sb="8" eb="10">
      <t>ジョウケン</t>
    </rPh>
    <rPh sb="10" eb="12">
      <t>カクニン</t>
    </rPh>
    <phoneticPr fontId="4"/>
  </si>
  <si>
    <t>（チェック欄）</t>
    <rPh sb="5" eb="6">
      <t>ラン</t>
    </rPh>
    <phoneticPr fontId="4"/>
  </si>
  <si>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4"/>
  </si>
  <si>
    <t>１　教育指導経費</t>
  </si>
  <si>
    <t>（１）研修医延人数　【附表Ａ】</t>
    <rPh sb="11" eb="13">
      <t>フヒョウ</t>
    </rPh>
    <phoneticPr fontId="5"/>
  </si>
  <si>
    <t>補助対象・補助対象外</t>
    <rPh sb="0" eb="2">
      <t>ホジョ</t>
    </rPh>
    <rPh sb="2" eb="4">
      <t>タイショウ</t>
    </rPh>
    <rPh sb="5" eb="7">
      <t>ホジョ</t>
    </rPh>
    <rPh sb="7" eb="10">
      <t>タイショウガイ</t>
    </rPh>
    <phoneticPr fontId="4"/>
  </si>
  <si>
    <t>研 修 医 延 人 数</t>
    <rPh sb="0" eb="1">
      <t>ケン</t>
    </rPh>
    <rPh sb="2" eb="3">
      <t>オサム</t>
    </rPh>
    <rPh sb="4" eb="5">
      <t>イ</t>
    </rPh>
    <rPh sb="6" eb="7">
      <t>ノ</t>
    </rPh>
    <rPh sb="8" eb="9">
      <t>ヒト</t>
    </rPh>
    <rPh sb="10" eb="11">
      <t>カズ</t>
    </rPh>
    <phoneticPr fontId="5"/>
  </si>
  <si>
    <t>１年次</t>
  </si>
  <si>
    <t>２年次</t>
    <rPh sb="1" eb="3">
      <t>ネンジ</t>
    </rPh>
    <phoneticPr fontId="4"/>
  </si>
  <si>
    <t>計</t>
    <rPh sb="0" eb="1">
      <t>ケイ</t>
    </rPh>
    <phoneticPr fontId="4"/>
  </si>
  <si>
    <t>【補助対象】計</t>
    <rPh sb="1" eb="3">
      <t>ホジョ</t>
    </rPh>
    <rPh sb="3" eb="5">
      <t>タイショウ</t>
    </rPh>
    <rPh sb="6" eb="7">
      <t>ケイ</t>
    </rPh>
    <phoneticPr fontId="4"/>
  </si>
  <si>
    <t>人</t>
    <rPh sb="0" eb="1">
      <t>ニン</t>
    </rPh>
    <phoneticPr fontId="4"/>
  </si>
  <si>
    <t>a</t>
    <phoneticPr fontId="4"/>
  </si>
  <si>
    <t>人</t>
    <rPh sb="0" eb="1">
      <t>ニン</t>
    </rPh>
    <phoneticPr fontId="5"/>
  </si>
  <si>
    <t>【補助対象外】計</t>
    <rPh sb="1" eb="3">
      <t>ホジョ</t>
    </rPh>
    <rPh sb="3" eb="6">
      <t>タイショウガイ</t>
    </rPh>
    <rPh sb="7" eb="8">
      <t>ケイ</t>
    </rPh>
    <phoneticPr fontId="4"/>
  </si>
  <si>
    <t>　合　　　　　計</t>
    <rPh sb="1" eb="2">
      <t>ゴウ</t>
    </rPh>
    <rPh sb="7" eb="8">
      <t>ケイ</t>
    </rPh>
    <phoneticPr fontId="4"/>
  </si>
  <si>
    <t>b</t>
    <phoneticPr fontId="4"/>
  </si>
  <si>
    <t>（注１）研修医延人数は、当該年度内における各月の末日に在籍する研修医数の総和であること。</t>
    <phoneticPr fontId="5"/>
  </si>
  <si>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4"/>
  </si>
  <si>
    <t>　とすること。</t>
    <phoneticPr fontId="4"/>
  </si>
  <si>
    <t>（２）研修医数</t>
    <phoneticPr fontId="4"/>
  </si>
  <si>
    <t>① 病院群全体</t>
    <rPh sb="2" eb="5">
      <t>ビョウイングン</t>
    </rPh>
    <rPh sb="5" eb="7">
      <t>ゼンタイ</t>
    </rPh>
    <phoneticPr fontId="5"/>
  </si>
  <si>
    <t>１年次生研修医延人数</t>
    <rPh sb="1" eb="3">
      <t>ネンジ</t>
    </rPh>
    <rPh sb="3" eb="4">
      <t>セイ</t>
    </rPh>
    <rPh sb="4" eb="7">
      <t>ケンシュウイ</t>
    </rPh>
    <rPh sb="7" eb="8">
      <t>ノ</t>
    </rPh>
    <rPh sb="8" eb="10">
      <t>ニンズウ</t>
    </rPh>
    <phoneticPr fontId="5"/>
  </si>
  <si>
    <t>研修医数</t>
    <rPh sb="0" eb="2">
      <t>ケンシュウ</t>
    </rPh>
    <rPh sb="2" eb="4">
      <t>イスウ</t>
    </rPh>
    <phoneticPr fontId="5"/>
  </si>
  <si>
    <t>c</t>
    <phoneticPr fontId="4"/>
  </si>
  <si>
    <t>２年次生研修医延人数</t>
    <rPh sb="1" eb="3">
      <t>ネンジ</t>
    </rPh>
    <rPh sb="3" eb="4">
      <t>セイ</t>
    </rPh>
    <rPh sb="4" eb="7">
      <t>ケンシュウイ</t>
    </rPh>
    <rPh sb="7" eb="8">
      <t>ノ</t>
    </rPh>
    <rPh sb="8" eb="10">
      <t>ニンズウ</t>
    </rPh>
    <phoneticPr fontId="5"/>
  </si>
  <si>
    <t>d</t>
    <phoneticPr fontId="4"/>
  </si>
  <si>
    <t>１学年平均研修医数</t>
    <rPh sb="1" eb="3">
      <t>ガクネン</t>
    </rPh>
    <rPh sb="3" eb="5">
      <t>ヘイキン</t>
    </rPh>
    <rPh sb="5" eb="7">
      <t>ケンシュウ</t>
    </rPh>
    <rPh sb="7" eb="9">
      <t>イスウ</t>
    </rPh>
    <phoneticPr fontId="4"/>
  </si>
  <si>
    <t>e</t>
    <phoneticPr fontId="4"/>
  </si>
  <si>
    <t>② 補助対象</t>
    <rPh sb="2" eb="4">
      <t>ホジョ</t>
    </rPh>
    <rPh sb="4" eb="6">
      <t>タイショウ</t>
    </rPh>
    <phoneticPr fontId="5"/>
  </si>
  <si>
    <t>f</t>
    <phoneticPr fontId="4"/>
  </si>
  <si>
    <t>g</t>
    <phoneticPr fontId="4"/>
  </si>
  <si>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5"/>
  </si>
  <si>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5"/>
  </si>
  <si>
    <t>（３）地元出身研修医の採用数（4月１日現在）</t>
    <rPh sb="3" eb="5">
      <t>ジモト</t>
    </rPh>
    <rPh sb="5" eb="7">
      <t>シュッシン</t>
    </rPh>
    <rPh sb="16" eb="17">
      <t>ガツ</t>
    </rPh>
    <rPh sb="18" eb="19">
      <t>ニチ</t>
    </rPh>
    <rPh sb="19" eb="21">
      <t>ゲンザイ</t>
    </rPh>
    <phoneticPr fontId="4"/>
  </si>
  <si>
    <t>１年次生研修医数</t>
    <rPh sb="1" eb="3">
      <t>ネンジ</t>
    </rPh>
    <rPh sb="3" eb="4">
      <t>セイ</t>
    </rPh>
    <rPh sb="4" eb="7">
      <t>ケンシュウイ</t>
    </rPh>
    <rPh sb="7" eb="8">
      <t>スウ</t>
    </rPh>
    <phoneticPr fontId="5"/>
  </si>
  <si>
    <t>うち地元出身研修医の採用数</t>
    <rPh sb="2" eb="4">
      <t>ジモト</t>
    </rPh>
    <rPh sb="4" eb="6">
      <t>シュッシン</t>
    </rPh>
    <rPh sb="6" eb="8">
      <t>ケンシュウ</t>
    </rPh>
    <rPh sb="10" eb="13">
      <t>サイヨウスウ</t>
    </rPh>
    <phoneticPr fontId="5"/>
  </si>
  <si>
    <t>２年次生研修医数</t>
    <rPh sb="1" eb="3">
      <t>ネンジ</t>
    </rPh>
    <rPh sb="3" eb="4">
      <t>セイ</t>
    </rPh>
    <rPh sb="4" eb="7">
      <t>ケンシュウイ</t>
    </rPh>
    <rPh sb="7" eb="8">
      <t>スウ</t>
    </rPh>
    <phoneticPr fontId="5"/>
  </si>
  <si>
    <t>うち地元出身研修医の採用数</t>
    <rPh sb="2" eb="4">
      <t>ジモト</t>
    </rPh>
    <rPh sb="4" eb="6">
      <t>シュッシン</t>
    </rPh>
    <rPh sb="6" eb="9">
      <t>ケンシュウイ</t>
    </rPh>
    <rPh sb="10" eb="13">
      <t>サイヨウスウ</t>
    </rPh>
    <phoneticPr fontId="5"/>
  </si>
  <si>
    <t>地元出身研修医の採用割合</t>
    <rPh sb="0" eb="2">
      <t>ジモト</t>
    </rPh>
    <rPh sb="2" eb="4">
      <t>シュッシン</t>
    </rPh>
    <rPh sb="4" eb="7">
      <t>ケンシュウイ</t>
    </rPh>
    <rPh sb="8" eb="10">
      <t>サイヨウ</t>
    </rPh>
    <rPh sb="10" eb="12">
      <t>ワリアイ</t>
    </rPh>
    <phoneticPr fontId="4"/>
  </si>
  <si>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4"/>
  </si>
  <si>
    <t>（４）地元出身研修医延人数</t>
    <rPh sb="3" eb="5">
      <t>ジモト</t>
    </rPh>
    <rPh sb="5" eb="7">
      <t>シュッシン</t>
    </rPh>
    <rPh sb="7" eb="10">
      <t>ケンシュウイ</t>
    </rPh>
    <rPh sb="10" eb="11">
      <t>ノベ</t>
    </rPh>
    <phoneticPr fontId="5"/>
  </si>
  <si>
    <t>【補助対象（うち、地元出身）】計</t>
    <rPh sb="9" eb="11">
      <t>ジモト</t>
    </rPh>
    <rPh sb="11" eb="13">
      <t>シュッシン</t>
    </rPh>
    <phoneticPr fontId="4"/>
  </si>
  <si>
    <t>a'</t>
    <phoneticPr fontId="4"/>
  </si>
  <si>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4"/>
  </si>
  <si>
    <t>事業延日数</t>
    <phoneticPr fontId="4"/>
  </si>
  <si>
    <t>h</t>
    <phoneticPr fontId="4"/>
  </si>
  <si>
    <t>日</t>
    <rPh sb="0" eb="1">
      <t>ヒ</t>
    </rPh>
    <phoneticPr fontId="5"/>
  </si>
  <si>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4"/>
  </si>
  <si>
    <t>１年次生</t>
    <rPh sb="1" eb="3">
      <t>ネンジ</t>
    </rPh>
    <rPh sb="3" eb="4">
      <t>セイ</t>
    </rPh>
    <phoneticPr fontId="4"/>
  </si>
  <si>
    <t>２年次生</t>
    <rPh sb="1" eb="3">
      <t>ネンジ</t>
    </rPh>
    <rPh sb="3" eb="4">
      <t>セイ</t>
    </rPh>
    <phoneticPr fontId="4"/>
  </si>
  <si>
    <t>①</t>
    <phoneticPr fontId="5"/>
  </si>
  <si>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5"/>
  </si>
  <si>
    <t>②</t>
    <phoneticPr fontId="5"/>
  </si>
  <si>
    <t>指導医又は上級医と組んで（又はオンコール体制の下に（２年次生に限る））行われる宿日直研修である。</t>
    <rPh sb="13" eb="14">
      <t>マタ</t>
    </rPh>
    <rPh sb="27" eb="30">
      <t>ネンジセイ</t>
    </rPh>
    <rPh sb="31" eb="32">
      <t>カギ</t>
    </rPh>
    <phoneticPr fontId="5"/>
  </si>
  <si>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5"/>
  </si>
  <si>
    <t>当直</t>
  </si>
  <si>
    <r>
      <t>事業延月数</t>
    </r>
    <r>
      <rPr>
        <sz val="9"/>
        <color theme="1"/>
        <rFont val="ＭＳ 明朝"/>
        <family val="1"/>
        <charset val="128"/>
      </rPr>
      <t xml:space="preserve">
(月４回以上)</t>
    </r>
    <rPh sb="0" eb="2">
      <t>ジギョウ</t>
    </rPh>
    <rPh sb="2" eb="3">
      <t>ノ</t>
    </rPh>
    <rPh sb="3" eb="5">
      <t>ツキスウ</t>
    </rPh>
    <rPh sb="7" eb="8">
      <t>ツキ</t>
    </rPh>
    <rPh sb="9" eb="12">
      <t>カイイジョウ</t>
    </rPh>
    <phoneticPr fontId="5"/>
  </si>
  <si>
    <t>i</t>
    <phoneticPr fontId="4"/>
  </si>
  <si>
    <t>月</t>
    <rPh sb="0" eb="1">
      <t>ツキ</t>
    </rPh>
    <phoneticPr fontId="5"/>
  </si>
  <si>
    <r>
      <t>事業延日数</t>
    </r>
    <r>
      <rPr>
        <sz val="9"/>
        <color theme="1"/>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5"/>
  </si>
  <si>
    <t>j</t>
    <phoneticPr fontId="5"/>
  </si>
  <si>
    <t>　オンコール分はN、Sと一致</t>
    <rPh sb="6" eb="7">
      <t>ブン</t>
    </rPh>
    <rPh sb="12" eb="14">
      <t>イッチ</t>
    </rPh>
    <phoneticPr fontId="4"/>
  </si>
  <si>
    <t>オンコール</t>
  </si>
  <si>
    <t>k</t>
    <phoneticPr fontId="4"/>
  </si>
  <si>
    <t>l</t>
    <phoneticPr fontId="5"/>
  </si>
  <si>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5"/>
  </si>
  <si>
    <t>m</t>
    <phoneticPr fontId="4"/>
  </si>
  <si>
    <t>n</t>
    <phoneticPr fontId="5"/>
  </si>
  <si>
    <t>　オンコール分はR、Tと一致</t>
    <rPh sb="6" eb="7">
      <t>ブン</t>
    </rPh>
    <rPh sb="12" eb="14">
      <t>イッチ</t>
    </rPh>
    <phoneticPr fontId="4"/>
  </si>
  <si>
    <t>o</t>
    <phoneticPr fontId="4"/>
  </si>
  <si>
    <t>p</t>
    <phoneticPr fontId="5"/>
  </si>
  <si>
    <t>２　基準額適用</t>
    <phoneticPr fontId="4"/>
  </si>
  <si>
    <t>１　教育指導経費</t>
    <rPh sb="2" eb="4">
      <t>キョウイク</t>
    </rPh>
    <rPh sb="4" eb="6">
      <t>シドウ</t>
    </rPh>
    <rPh sb="6" eb="8">
      <t>ケイヒ</t>
    </rPh>
    <phoneticPr fontId="5"/>
  </si>
  <si>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4"/>
  </si>
  <si>
    <t>（１）指導医経費</t>
    <rPh sb="3" eb="6">
      <t>シドウイ</t>
    </rPh>
    <rPh sb="6" eb="8">
      <t>ケイヒ</t>
    </rPh>
    <phoneticPr fontId="5"/>
  </si>
  <si>
    <t>地域</t>
    <rPh sb="0" eb="2">
      <t>チイキ</t>
    </rPh>
    <phoneticPr fontId="4"/>
  </si>
  <si>
    <t>種</t>
    <rPh sb="0" eb="1">
      <t>シュ</t>
    </rPh>
    <phoneticPr fontId="4"/>
  </si>
  <si>
    <t>次救急医療機関</t>
    <rPh sb="0" eb="1">
      <t>ジ</t>
    </rPh>
    <rPh sb="1" eb="3">
      <t>キュウキュウ</t>
    </rPh>
    <rPh sb="3" eb="5">
      <t>イリョウ</t>
    </rPh>
    <rPh sb="5" eb="7">
      <t>キカン</t>
    </rPh>
    <phoneticPr fontId="4"/>
  </si>
  <si>
    <t>【</t>
    <phoneticPr fontId="4"/>
  </si>
  <si>
    <t>円】</t>
    <rPh sb="0" eb="1">
      <t>エン</t>
    </rPh>
    <phoneticPr fontId="4"/>
  </si>
  <si>
    <t>①指導医経費</t>
    <rPh sb="1" eb="4">
      <t>シドウイ</t>
    </rPh>
    <rPh sb="4" eb="6">
      <t>ケイヒ</t>
    </rPh>
    <phoneticPr fontId="4"/>
  </si>
  <si>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4"/>
  </si>
  <si>
    <t>１種地域
及び２種
地域</t>
    <rPh sb="1" eb="2">
      <t>シュ</t>
    </rPh>
    <rPh sb="2" eb="4">
      <t>チイキ</t>
    </rPh>
    <rPh sb="5" eb="6">
      <t>オヨ</t>
    </rPh>
    <rPh sb="8" eb="9">
      <t>シュ</t>
    </rPh>
    <rPh sb="10" eb="12">
      <t>チイキ</t>
    </rPh>
    <phoneticPr fontId="4"/>
  </si>
  <si>
    <t>（</t>
    <phoneticPr fontId="5"/>
  </si>
  <si>
    <t>円／月額）</t>
    <rPh sb="0" eb="1">
      <t>エン</t>
    </rPh>
    <rPh sb="2" eb="4">
      <t>ゲツガク</t>
    </rPh>
    <phoneticPr fontId="5"/>
  </si>
  <si>
    <t>研修医延人数 a</t>
    <phoneticPr fontId="5"/>
  </si>
  <si>
    <t>３種地域</t>
    <rPh sb="1" eb="2">
      <t>シュ</t>
    </rPh>
    <rPh sb="2" eb="4">
      <t>チイキ</t>
    </rPh>
    <phoneticPr fontId="4"/>
  </si>
  <si>
    <t>４種地域</t>
    <rPh sb="1" eb="2">
      <t>シュ</t>
    </rPh>
    <rPh sb="2" eb="4">
      <t>チイキ</t>
    </rPh>
    <phoneticPr fontId="4"/>
  </si>
  <si>
    <t>５種地域</t>
    <rPh sb="1" eb="2">
      <t>シュ</t>
    </rPh>
    <rPh sb="2" eb="4">
      <t>チイキ</t>
    </rPh>
    <phoneticPr fontId="4"/>
  </si>
  <si>
    <t>二次又は三次救急病院</t>
    <rPh sb="0" eb="2">
      <t>ニジ</t>
    </rPh>
    <rPh sb="2" eb="3">
      <t>マタ</t>
    </rPh>
    <rPh sb="4" eb="5">
      <t>サン</t>
    </rPh>
    <rPh sb="5" eb="6">
      <t>ジ</t>
    </rPh>
    <rPh sb="6" eb="8">
      <t>キュウキュウ</t>
    </rPh>
    <rPh sb="8" eb="10">
      <t>ビョウイン</t>
    </rPh>
    <phoneticPr fontId="4"/>
  </si>
  <si>
    <r>
      <t>※1種地域及び2種地域に所在する病院であって、１（3）の地元出身研修医の採用割合が</t>
    </r>
    <r>
      <rPr>
        <b/>
        <sz val="8"/>
        <color theme="1"/>
        <rFont val="ＭＳ 明朝"/>
        <family val="1"/>
        <charset val="128"/>
      </rPr>
      <t>50%以上</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4"/>
  </si>
  <si>
    <t>地元研修医採用
等加算</t>
    <rPh sb="0" eb="2">
      <t>ジモト</t>
    </rPh>
    <rPh sb="2" eb="4">
      <t>ケンシュウ</t>
    </rPh>
    <rPh sb="5" eb="7">
      <t>サイヨウ</t>
    </rPh>
    <rPh sb="8" eb="9">
      <t>トウ</t>
    </rPh>
    <rPh sb="9" eb="11">
      <t>カサン</t>
    </rPh>
    <phoneticPr fontId="4"/>
  </si>
  <si>
    <t>研修医延人数 a’</t>
    <phoneticPr fontId="5"/>
  </si>
  <si>
    <r>
      <t>※1種地域及び2種地域に所在する病院であって、１（3）の地元出身研修医の採用割合が</t>
    </r>
    <r>
      <rPr>
        <b/>
        <sz val="8"/>
        <color theme="1"/>
        <rFont val="ＭＳ 明朝"/>
        <family val="1"/>
        <charset val="128"/>
      </rPr>
      <t>50%未満</t>
    </r>
    <r>
      <rPr>
        <sz val="8"/>
        <color theme="1"/>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4"/>
  </si>
  <si>
    <t>円×0.5／月額）</t>
    <rPh sb="0" eb="1">
      <t>エン</t>
    </rPh>
    <rPh sb="6" eb="8">
      <t>ゲツガク</t>
    </rPh>
    <phoneticPr fontId="5"/>
  </si>
  <si>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4"/>
  </si>
  <si>
    <t>②賃金</t>
    <rPh sb="1" eb="3">
      <t>チンギン</t>
    </rPh>
    <phoneticPr fontId="4"/>
  </si>
  <si>
    <t>（２）剖検経費</t>
    <rPh sb="3" eb="5">
      <t>ボウケン</t>
    </rPh>
    <rPh sb="5" eb="7">
      <t>ケイヒ</t>
    </rPh>
    <phoneticPr fontId="5"/>
  </si>
  <si>
    <t>※いずれか該当する□に○を付すこと。</t>
    <rPh sb="5" eb="7">
      <t>ガイトウ</t>
    </rPh>
    <rPh sb="13" eb="14">
      <t>フ</t>
    </rPh>
    <phoneticPr fontId="4"/>
  </si>
  <si>
    <t>大学病院</t>
    <rPh sb="0" eb="2">
      <t>ダイガク</t>
    </rPh>
    <rPh sb="2" eb="4">
      <t>ビョウイン</t>
    </rPh>
    <phoneticPr fontId="4"/>
  </si>
  <si>
    <t>×</t>
    <phoneticPr fontId="4"/>
  </si>
  <si>
    <t>１学年平均研修医数e</t>
    <rPh sb="1" eb="3">
      <t>ガクネン</t>
    </rPh>
    <rPh sb="3" eb="5">
      <t>ヘイキン</t>
    </rPh>
    <rPh sb="5" eb="8">
      <t>ケンシュウイ</t>
    </rPh>
    <rPh sb="8" eb="9">
      <t>スウ</t>
    </rPh>
    <phoneticPr fontId="5"/>
  </si>
  <si>
    <t>円／年額）</t>
    <rPh sb="0" eb="1">
      <t>エン</t>
    </rPh>
    <rPh sb="2" eb="3">
      <t>ネン</t>
    </rPh>
    <rPh sb="3" eb="4">
      <t>ガク</t>
    </rPh>
    <phoneticPr fontId="5"/>
  </si>
  <si>
    <t>臨床研修病院</t>
    <rPh sb="0" eb="2">
      <t>リンショウ</t>
    </rPh>
    <rPh sb="2" eb="4">
      <t>ケンシュウ</t>
    </rPh>
    <rPh sb="4" eb="6">
      <t>ビョウイン</t>
    </rPh>
    <phoneticPr fontId="4"/>
  </si>
  <si>
    <t>【</t>
    <phoneticPr fontId="5"/>
  </si>
  <si>
    <t>円】</t>
    <rPh sb="0" eb="1">
      <t>エン</t>
    </rPh>
    <phoneticPr fontId="5"/>
  </si>
  <si>
    <t>a</t>
    <phoneticPr fontId="5"/>
  </si>
  <si>
    <t>／</t>
    <phoneticPr fontId="5"/>
  </si>
  <si>
    <t>b</t>
    <phoneticPr fontId="5"/>
  </si>
  <si>
    <t>）</t>
    <phoneticPr fontId="5"/>
  </si>
  <si>
    <t>※協力型臨床研修病院等が申請する場合（３）～（５）は計上しないこと。</t>
    <phoneticPr fontId="4"/>
  </si>
  <si>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4"/>
  </si>
  <si>
    <t>（３）プログラム責任者等経費</t>
    <rPh sb="8" eb="11">
      <t>セキニンシャ</t>
    </rPh>
    <rPh sb="11" eb="12">
      <t>トウ</t>
    </rPh>
    <rPh sb="12" eb="14">
      <t>ケイヒ</t>
    </rPh>
    <phoneticPr fontId="5"/>
  </si>
  <si>
    <t>１学年平均研修医数 e</t>
    <rPh sb="1" eb="3">
      <t>ガクネン</t>
    </rPh>
    <rPh sb="3" eb="5">
      <t>ヘイキン</t>
    </rPh>
    <rPh sb="5" eb="8">
      <t>ケンシュウイ</t>
    </rPh>
    <rPh sb="8" eb="9">
      <t>スウ</t>
    </rPh>
    <phoneticPr fontId="4"/>
  </si>
  <si>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4"/>
  </si>
  <si>
    <t>（４）研修管理委員会等経費</t>
    <rPh sb="3" eb="5">
      <t>ケンシュウ</t>
    </rPh>
    <rPh sb="5" eb="7">
      <t>カンリ</t>
    </rPh>
    <rPh sb="7" eb="10">
      <t>イインカイ</t>
    </rPh>
    <rPh sb="10" eb="11">
      <t>トウ</t>
    </rPh>
    <rPh sb="11" eb="13">
      <t>ケイヒ</t>
    </rPh>
    <phoneticPr fontId="5"/>
  </si>
  <si>
    <t>①　研修管理委員会経費</t>
    <rPh sb="2" eb="4">
      <t>ケンシュウ</t>
    </rPh>
    <rPh sb="4" eb="6">
      <t>カンリ</t>
    </rPh>
    <rPh sb="6" eb="9">
      <t>イインカイ</t>
    </rPh>
    <rPh sb="9" eb="11">
      <t>ケイヒ</t>
    </rPh>
    <phoneticPr fontId="4"/>
  </si>
  <si>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4"/>
  </si>
  <si>
    <t>実施回数　q</t>
    <rPh sb="0" eb="2">
      <t>ジッシ</t>
    </rPh>
    <rPh sb="2" eb="4">
      <t>カイスウ</t>
    </rPh>
    <phoneticPr fontId="4"/>
  </si>
  <si>
    <t>回</t>
    <rPh sb="0" eb="1">
      <t>カイ</t>
    </rPh>
    <phoneticPr fontId="4"/>
  </si>
  <si>
    <t>※上限２回</t>
    <rPh sb="1" eb="3">
      <t>ジョウゲン</t>
    </rPh>
    <rPh sb="4" eb="5">
      <t>カイ</t>
    </rPh>
    <phoneticPr fontId="4"/>
  </si>
  <si>
    <t>（５）へき地診療所等研修支援経費</t>
    <rPh sb="5" eb="6">
      <t>チ</t>
    </rPh>
    <rPh sb="6" eb="9">
      <t>シンリョウショ</t>
    </rPh>
    <rPh sb="9" eb="10">
      <t>トウ</t>
    </rPh>
    <rPh sb="10" eb="12">
      <t>ケンシュウ</t>
    </rPh>
    <rPh sb="12" eb="14">
      <t>シエン</t>
    </rPh>
    <rPh sb="14" eb="16">
      <t>ケイヒ</t>
    </rPh>
    <phoneticPr fontId="5"/>
  </si>
  <si>
    <t>円／日額）</t>
    <rPh sb="0" eb="1">
      <t>エン</t>
    </rPh>
    <rPh sb="2" eb="3">
      <t>ニチ</t>
    </rPh>
    <rPh sb="3" eb="4">
      <t>ガク</t>
    </rPh>
    <phoneticPr fontId="5"/>
  </si>
  <si>
    <t>事業延日数</t>
    <rPh sb="0" eb="1">
      <t>コト</t>
    </rPh>
    <rPh sb="1" eb="2">
      <t>ギョウ</t>
    </rPh>
    <rPh sb="2" eb="3">
      <t>エン</t>
    </rPh>
    <rPh sb="3" eb="4">
      <t>ヒ</t>
    </rPh>
    <phoneticPr fontId="5"/>
  </si>
  <si>
    <t>h</t>
    <phoneticPr fontId="5"/>
  </si>
  <si>
    <t>（６）産婦人科宿日直研修事業経費　</t>
    <rPh sb="3" eb="7">
      <t>サンフジンカ</t>
    </rPh>
    <rPh sb="7" eb="10">
      <t>シュクニッチョク</t>
    </rPh>
    <rPh sb="10" eb="12">
      <t>ケンシュウ</t>
    </rPh>
    <rPh sb="12" eb="14">
      <t>ジギョウ</t>
    </rPh>
    <rPh sb="14" eb="16">
      <t>ケイヒ</t>
    </rPh>
    <phoneticPr fontId="5"/>
  </si>
  <si>
    <t>①指導医等が研修医と当直</t>
    <rPh sb="1" eb="4">
      <t>シドウイ</t>
    </rPh>
    <rPh sb="4" eb="5">
      <t>トウ</t>
    </rPh>
    <rPh sb="6" eb="9">
      <t>ケンシュウイ</t>
    </rPh>
    <rPh sb="10" eb="12">
      <t>トウチョク</t>
    </rPh>
    <phoneticPr fontId="4"/>
  </si>
  <si>
    <t>円／月額）</t>
    <rPh sb="0" eb="1">
      <t>エン</t>
    </rPh>
    <rPh sb="2" eb="3">
      <t>ツキ</t>
    </rPh>
    <rPh sb="3" eb="4">
      <t>ガク</t>
    </rPh>
    <phoneticPr fontId="5"/>
  </si>
  <si>
    <t>×</t>
    <phoneticPr fontId="5"/>
  </si>
  <si>
    <r>
      <t>事業延月数 i</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</si>
  <si>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j</t>
    </r>
    <r>
      <rPr>
        <sz val="8"/>
        <color theme="1"/>
        <rFont val="ＭＳ 明朝"/>
        <family val="1"/>
        <charset val="128"/>
      </rPr>
      <t xml:space="preserve">
(月４回未満)</t>
    </r>
    <rPh sb="3" eb="5">
      <t>ニッスウ</t>
    </rPh>
    <rPh sb="9" eb="10">
      <t>ツキ</t>
    </rPh>
    <rPh sb="11" eb="12">
      <t>カイ</t>
    </rPh>
    <rPh sb="12" eb="14">
      <t>ミマン</t>
    </rPh>
    <phoneticPr fontId="4"/>
  </si>
  <si>
    <t>②指導医等がオンコール体制</t>
    <rPh sb="1" eb="4">
      <t>シドウイ</t>
    </rPh>
    <rPh sb="4" eb="5">
      <t>トウ</t>
    </rPh>
    <rPh sb="11" eb="13">
      <t>タイセイ</t>
    </rPh>
    <phoneticPr fontId="4"/>
  </si>
  <si>
    <r>
      <t>事業延月数 k</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</si>
  <si>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l</t>
    </r>
    <r>
      <rPr>
        <sz val="8"/>
        <color theme="1"/>
        <rFont val="ＭＳ 明朝"/>
        <family val="1"/>
        <charset val="128"/>
      </rPr>
      <t xml:space="preserve">
(月４回未満)</t>
    </r>
    <rPh sb="3" eb="5">
      <t>ニッスウ</t>
    </rPh>
    <rPh sb="9" eb="10">
      <t>ツキ</t>
    </rPh>
    <rPh sb="11" eb="12">
      <t>カイ</t>
    </rPh>
    <rPh sb="12" eb="14">
      <t>ミマン</t>
    </rPh>
    <phoneticPr fontId="4"/>
  </si>
  <si>
    <t>（７）小児科宿日直研修事業経費　</t>
    <rPh sb="3" eb="6">
      <t>ショウニカ</t>
    </rPh>
    <rPh sb="6" eb="9">
      <t>シュクニッチョク</t>
    </rPh>
    <rPh sb="9" eb="11">
      <t>ケンシュウ</t>
    </rPh>
    <rPh sb="11" eb="13">
      <t>ジギョウ</t>
    </rPh>
    <rPh sb="13" eb="15">
      <t>ケイヒ</t>
    </rPh>
    <phoneticPr fontId="5"/>
  </si>
  <si>
    <r>
      <t>事業延月数 m</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</si>
  <si>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n</t>
    </r>
    <r>
      <rPr>
        <sz val="8"/>
        <color theme="1"/>
        <rFont val="ＭＳ 明朝"/>
        <family val="1"/>
        <charset val="128"/>
      </rPr>
      <t xml:space="preserve">
(月４回未満)</t>
    </r>
    <rPh sb="3" eb="5">
      <t>ニッスウ</t>
    </rPh>
    <rPh sb="9" eb="10">
      <t>ツキ</t>
    </rPh>
    <rPh sb="11" eb="12">
      <t>カイ</t>
    </rPh>
    <rPh sb="12" eb="14">
      <t>ミマン</t>
    </rPh>
    <phoneticPr fontId="4"/>
  </si>
  <si>
    <r>
      <t>事業延月数 o</t>
    </r>
    <r>
      <rPr>
        <sz val="8"/>
        <color theme="1"/>
        <rFont val="ＭＳ 明朝"/>
        <family val="1"/>
        <charset val="128"/>
      </rPr>
      <t xml:space="preserve">
(月４回以上)</t>
    </r>
    <rPh sb="3" eb="5">
      <t>ツキスウ</t>
    </rPh>
    <rPh sb="9" eb="10">
      <t>ツキ</t>
    </rPh>
    <rPh sb="11" eb="12">
      <t>カイ</t>
    </rPh>
    <rPh sb="12" eb="14">
      <t>イジョウ</t>
    </rPh>
    <phoneticPr fontId="4"/>
  </si>
  <si>
    <r>
      <t>事業延日数 p</t>
    </r>
    <r>
      <rPr>
        <sz val="8"/>
        <color theme="1"/>
        <rFont val="ＭＳ 明朝"/>
        <family val="1"/>
        <charset val="128"/>
      </rPr>
      <t xml:space="preserve">
(月４回未満)</t>
    </r>
    <rPh sb="3" eb="5">
      <t>ニッスウ</t>
    </rPh>
    <rPh sb="9" eb="10">
      <t>ツキ</t>
    </rPh>
    <rPh sb="11" eb="12">
      <t>カイ</t>
    </rPh>
    <rPh sb="12" eb="14">
      <t>ミマン</t>
    </rPh>
    <phoneticPr fontId="4"/>
  </si>
  <si>
    <t>教育指導経費－計（Ⅰ）</t>
    <rPh sb="0" eb="2">
      <t>キョウイク</t>
    </rPh>
    <rPh sb="2" eb="4">
      <t>シドウ</t>
    </rPh>
    <rPh sb="4" eb="6">
      <t>ケイヒ</t>
    </rPh>
    <rPh sb="7" eb="8">
      <t>ケイ</t>
    </rPh>
    <phoneticPr fontId="4"/>
  </si>
  <si>
    <t>当該年度に研修を開始した研修医に決まって支払われる給与</t>
    <rPh sb="0" eb="2">
      <t>トウガイ</t>
    </rPh>
    <rPh sb="2" eb="4">
      <t>ネンド</t>
    </rPh>
    <phoneticPr fontId="4"/>
  </si>
  <si>
    <t>①が720万円を超える場合は、上記教育指導経費計（Ⅰ）の金額に0.8を乗じる</t>
    <phoneticPr fontId="4"/>
  </si>
  <si>
    <t>①当該年度（１年次給与）</t>
    <rPh sb="1" eb="3">
      <t>トウガイ</t>
    </rPh>
    <rPh sb="3" eb="5">
      <t>ネンド</t>
    </rPh>
    <rPh sb="5" eb="7">
      <t>ヘイネンド</t>
    </rPh>
    <rPh sb="6" eb="8">
      <t>イチネン</t>
    </rPh>
    <rPh sb="8" eb="9">
      <t>ジ</t>
    </rPh>
    <rPh sb="9" eb="11">
      <t>キュウヨ</t>
    </rPh>
    <phoneticPr fontId="4"/>
  </si>
  <si>
    <t>※【附表C】の推計年収と一致。</t>
    <rPh sb="7" eb="9">
      <t>スイケイ</t>
    </rPh>
    <rPh sb="9" eb="11">
      <t>ネンシュウ</t>
    </rPh>
    <rPh sb="12" eb="14">
      <t>イッチ</t>
    </rPh>
    <phoneticPr fontId="4"/>
  </si>
  <si>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4"/>
  </si>
  <si>
    <t>①が630万円を超え、720万円以下の場合は、上記教育指導経費計（Ⅰ）の金額に0.9を乗じる</t>
    <rPh sb="14" eb="16">
      <t>マンエン</t>
    </rPh>
    <rPh sb="16" eb="18">
      <t>イカ</t>
    </rPh>
    <rPh sb="19" eb="21">
      <t>バアイ</t>
    </rPh>
    <phoneticPr fontId="4"/>
  </si>
  <si>
    <t>当該年度４月１日現在の１年次研修医受入数</t>
    <rPh sb="12" eb="14">
      <t>ネンジ</t>
    </rPh>
    <phoneticPr fontId="4"/>
  </si>
  <si>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4"/>
  </si>
  <si>
    <t>別紙２－４</t>
    <rPh sb="0" eb="2">
      <t>ベッシ</t>
    </rPh>
    <phoneticPr fontId="4"/>
  </si>
  <si>
    <t>基準額算出内訳（国立大学病院以外）</t>
    <rPh sb="8" eb="10">
      <t>コクリツ</t>
    </rPh>
    <rPh sb="10" eb="12">
      <t>ダイガク</t>
    </rPh>
    <rPh sb="12" eb="14">
      <t>ビョウイン</t>
    </rPh>
    <rPh sb="14" eb="16">
      <t>イガイ</t>
    </rPh>
    <phoneticPr fontId="4"/>
  </si>
  <si>
    <t>（１）研修医延人数　【別紙２－１】</t>
    <rPh sb="11" eb="13">
      <t>ベッシ</t>
    </rPh>
    <phoneticPr fontId="5"/>
  </si>
  <si>
    <t>※数式部分白文字</t>
    <rPh sb="1" eb="3">
      <t>スウシキ</t>
    </rPh>
    <rPh sb="3" eb="5">
      <t>ブブン</t>
    </rPh>
    <rPh sb="5" eb="8">
      <t>シロモジ</t>
    </rPh>
    <phoneticPr fontId="4"/>
  </si>
  <si>
    <t>（注１）</t>
    <phoneticPr fontId="5"/>
  </si>
  <si>
    <t>研修医延人数は、当該年度内における各月の末日に在籍する研修医数の総和であること。</t>
    <phoneticPr fontId="4"/>
  </si>
  <si>
    <t>（注２）</t>
    <phoneticPr fontId="4"/>
  </si>
  <si>
    <t>各月の末日に国（国立高度専門医療研究センター及び国立健康危機管理研究機構を含む。）が開設する病院に在籍する場合は対象外とすること。</t>
    <phoneticPr fontId="4"/>
  </si>
  <si>
    <t>（注３）</t>
    <phoneticPr fontId="4"/>
  </si>
  <si>
    <t>当該年度に研修を開始した研修医については１年次、それより前に研修を開始した研修医については２年次とすること。</t>
    <phoneticPr fontId="4"/>
  </si>
  <si>
    <t>（５）へき地診療所等研修支援事業延日数　【別紙２－２】の研修実日数合計と一致</t>
    <rPh sb="9" eb="10">
      <t>トウ</t>
    </rPh>
    <rPh sb="21" eb="23">
      <t>ベッシ</t>
    </rPh>
    <rPh sb="28" eb="30">
      <t>ケンシュウ</t>
    </rPh>
    <rPh sb="30" eb="31">
      <t>ジツ</t>
    </rPh>
    <rPh sb="31" eb="33">
      <t>ニッスウ</t>
    </rPh>
    <rPh sb="33" eb="35">
      <t>ゴウケイ</t>
    </rPh>
    <rPh sb="36" eb="38">
      <t>イッチ</t>
    </rPh>
    <phoneticPr fontId="4"/>
  </si>
  <si>
    <t xml:space="preserve">（６）産婦人科宿日直研修事業延日数
　当直分は【別紙２－１】のD、Iの1、2年次生の
　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4" eb="26">
      <t>ベッシ</t>
    </rPh>
    <rPh sb="38" eb="41">
      <t>ネンジセイ</t>
    </rPh>
    <rPh sb="44" eb="46">
      <t>ゴウケイ</t>
    </rPh>
    <rPh sb="47" eb="49">
      <t>イッチ</t>
    </rPh>
    <phoneticPr fontId="5"/>
  </si>
  <si>
    <t>（７）小児科宿日直研修事業延日数
　当直分は【別紙２－１】のH、Jの1、2年次生の
　合計と一致</t>
    <rPh sb="3" eb="6">
      <t>ショウニカ</t>
    </rPh>
    <rPh sb="6" eb="9">
      <t>シュクニッチョク</t>
    </rPh>
    <rPh sb="9" eb="11">
      <t>ケンシュウ</t>
    </rPh>
    <rPh sb="11" eb="13">
      <t>ジギョウ</t>
    </rPh>
    <rPh sb="13" eb="14">
      <t>エン</t>
    </rPh>
    <rPh sb="14" eb="16">
      <t>ニッスウ</t>
    </rPh>
    <rPh sb="23" eb="25">
      <t>ベッシ</t>
    </rPh>
    <phoneticPr fontId="5"/>
  </si>
  <si>
    <t>（２）地元採用研修医採用・育成経費</t>
    <rPh sb="3" eb="5">
      <t>ジモト</t>
    </rPh>
    <rPh sb="5" eb="7">
      <t>サイヨウ</t>
    </rPh>
    <rPh sb="7" eb="10">
      <t>ケンシュウイ</t>
    </rPh>
    <rPh sb="10" eb="12">
      <t>サイヨウ</t>
    </rPh>
    <rPh sb="13" eb="15">
      <t>イクセイ</t>
    </rPh>
    <rPh sb="15" eb="17">
      <t>ケイヒ</t>
    </rPh>
    <phoneticPr fontId="5"/>
  </si>
  <si>
    <t>※1種及び2種病院に限る</t>
    <rPh sb="2" eb="3">
      <t>シュ</t>
    </rPh>
    <rPh sb="3" eb="4">
      <t>オヨ</t>
    </rPh>
    <rPh sb="6" eb="7">
      <t>シュ</t>
    </rPh>
    <rPh sb="7" eb="9">
      <t>ビョウイン</t>
    </rPh>
    <rPh sb="10" eb="11">
      <t>カギ</t>
    </rPh>
    <phoneticPr fontId="4"/>
  </si>
  <si>
    <t>※１（3）の地元出身研修医の採用割合が50%以上の場合</t>
    <phoneticPr fontId="4"/>
  </si>
  <si>
    <t>研修医延人数 a'</t>
    <phoneticPr fontId="5"/>
  </si>
  <si>
    <t>（２－２）地元採用研修医採用・育成経費</t>
    <rPh sb="5" eb="7">
      <t>ジモト</t>
    </rPh>
    <rPh sb="7" eb="9">
      <t>サイヨウ</t>
    </rPh>
    <rPh sb="9" eb="12">
      <t>ケンシュウイ</t>
    </rPh>
    <rPh sb="12" eb="14">
      <t>サイヨウ</t>
    </rPh>
    <rPh sb="15" eb="17">
      <t>イクセイ</t>
    </rPh>
    <rPh sb="17" eb="19">
      <t>ケイヒ</t>
    </rPh>
    <phoneticPr fontId="5"/>
  </si>
  <si>
    <t>※１（3）の地元出身研修医の採用割合が50%未満の場合</t>
    <rPh sb="22" eb="24">
      <t>ミマン</t>
    </rPh>
    <phoneticPr fontId="4"/>
  </si>
  <si>
    <t>研修医延人数 a'</t>
  </si>
  <si>
    <t>（３）剖検経費</t>
    <rPh sb="3" eb="5">
      <t>ボウケン</t>
    </rPh>
    <rPh sb="5" eb="7">
      <t>ケイヒ</t>
    </rPh>
    <phoneticPr fontId="5"/>
  </si>
  <si>
    <t>※協力型臨床研修病院等が申請する場合（４）～（６）は計上しないこと。</t>
    <phoneticPr fontId="4"/>
  </si>
  <si>
    <t>（４）プログラム責任者等経費</t>
    <rPh sb="8" eb="11">
      <t>セキニンシャ</t>
    </rPh>
    <rPh sb="11" eb="12">
      <t>トウ</t>
    </rPh>
    <rPh sb="12" eb="14">
      <t>ケイヒ</t>
    </rPh>
    <phoneticPr fontId="5"/>
  </si>
  <si>
    <t>（５）研修管理委員会等経費</t>
    <rPh sb="3" eb="5">
      <t>ケンシュウ</t>
    </rPh>
    <rPh sb="5" eb="7">
      <t>カンリ</t>
    </rPh>
    <rPh sb="7" eb="10">
      <t>イインカイ</t>
    </rPh>
    <rPh sb="10" eb="11">
      <t>トウ</t>
    </rPh>
    <rPh sb="11" eb="13">
      <t>ケイヒ</t>
    </rPh>
    <phoneticPr fontId="5"/>
  </si>
  <si>
    <t>（６）へき地診療所等研修支援経費</t>
    <rPh sb="5" eb="6">
      <t>チ</t>
    </rPh>
    <rPh sb="6" eb="9">
      <t>シンリョウショ</t>
    </rPh>
    <rPh sb="9" eb="10">
      <t>トウ</t>
    </rPh>
    <rPh sb="10" eb="12">
      <t>ケンシュウ</t>
    </rPh>
    <rPh sb="12" eb="14">
      <t>シエン</t>
    </rPh>
    <rPh sb="14" eb="16">
      <t>ケイヒ</t>
    </rPh>
    <phoneticPr fontId="5"/>
  </si>
  <si>
    <t>（７）産婦人科宿日直研修事業経費　</t>
    <rPh sb="3" eb="7">
      <t>サンフジンカ</t>
    </rPh>
    <rPh sb="7" eb="10">
      <t>シュクニッチョク</t>
    </rPh>
    <rPh sb="10" eb="12">
      <t>ケンシュウ</t>
    </rPh>
    <rPh sb="12" eb="14">
      <t>ジギョウ</t>
    </rPh>
    <rPh sb="14" eb="16">
      <t>ケイヒ</t>
    </rPh>
    <phoneticPr fontId="5"/>
  </si>
  <si>
    <t>（８）小児科宿日直研修事業経費　</t>
    <rPh sb="3" eb="6">
      <t>ショウニカ</t>
    </rPh>
    <rPh sb="6" eb="9">
      <t>シュクニッチョク</t>
    </rPh>
    <rPh sb="9" eb="11">
      <t>ケンシュウ</t>
    </rPh>
    <rPh sb="11" eb="13">
      <t>ジギョウ</t>
    </rPh>
    <rPh sb="13" eb="15">
      <t>ケイヒ</t>
    </rPh>
    <phoneticPr fontId="5"/>
  </si>
  <si>
    <t>※【別紙２－３】の推計年収と一致。</t>
    <rPh sb="2" eb="4">
      <t>ベッシ</t>
    </rPh>
    <rPh sb="9" eb="11">
      <t>スイケイ</t>
    </rPh>
    <rPh sb="11" eb="13">
      <t>ネンシュウ</t>
    </rPh>
    <rPh sb="14" eb="16">
      <t>イッチ</t>
    </rPh>
    <phoneticPr fontId="4"/>
  </si>
  <si>
    <t>（協力型臨床研修病院等が申請する場合であっても、【別紙２－３】の基幹型臨床研修病院のの金額を記載すること。）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ベッシ</t>
    </rPh>
    <rPh sb="32" eb="35">
      <t>キカンガタ</t>
    </rPh>
    <rPh sb="35" eb="37">
      <t>リンショウ</t>
    </rPh>
    <rPh sb="37" eb="39">
      <t>ケンシュウ</t>
    </rPh>
    <rPh sb="39" eb="41">
      <t>ビョウイン</t>
    </rPh>
    <rPh sb="43" eb="45">
      <t>キンガク</t>
    </rPh>
    <rPh sb="46" eb="48">
      <t>キサイ</t>
    </rPh>
    <phoneticPr fontId="4"/>
  </si>
  <si>
    <t>従事要件等がある学生を採用した医療機関は○</t>
    <phoneticPr fontId="4"/>
  </si>
  <si>
    <t>別紙２－５</t>
    <rPh sb="0" eb="2">
      <t>ベッシ</t>
    </rPh>
    <phoneticPr fontId="4"/>
  </si>
  <si>
    <t>基準額算出内訳（国立大学病院）</t>
    <rPh sb="8" eb="10">
      <t>コクリツ</t>
    </rPh>
    <rPh sb="10" eb="12">
      <t>ダイガク</t>
    </rPh>
    <rPh sb="12" eb="14">
      <t>ビョウイン</t>
    </rPh>
    <phoneticPr fontId="4"/>
  </si>
  <si>
    <r>
      <t>大学病院</t>
    </r>
    <r>
      <rPr>
        <sz val="9"/>
        <color theme="1"/>
        <rFont val="ＭＳ 明朝"/>
        <family val="1"/>
        <charset val="128"/>
      </rPr>
      <t>（国立大学病院を除く）</t>
    </r>
    <rPh sb="0" eb="2">
      <t>ダイガク</t>
    </rPh>
    <rPh sb="2" eb="4">
      <t>ビョウイン</t>
    </rPh>
    <rPh sb="5" eb="11">
      <t>コクリツダイガクビョウイン</t>
    </rPh>
    <rPh sb="12" eb="13">
      <t>ノゾ</t>
    </rPh>
    <phoneticPr fontId="4"/>
  </si>
  <si>
    <t>（４）へき地診療所等研修支援経費</t>
    <rPh sb="5" eb="6">
      <t>チ</t>
    </rPh>
    <rPh sb="6" eb="9">
      <t>シンリョウショ</t>
    </rPh>
    <rPh sb="9" eb="10">
      <t>トウ</t>
    </rPh>
    <rPh sb="10" eb="12">
      <t>ケンシュウ</t>
    </rPh>
    <rPh sb="12" eb="14">
      <t>シエン</t>
    </rPh>
    <rPh sb="14" eb="16">
      <t>ケイヒ</t>
    </rPh>
    <phoneticPr fontId="5"/>
  </si>
  <si>
    <t>（５）産婦人科宿日直研修事業経費　</t>
    <rPh sb="3" eb="7">
      <t>サンフジンカ</t>
    </rPh>
    <rPh sb="7" eb="10">
      <t>シュクニッチョク</t>
    </rPh>
    <rPh sb="10" eb="12">
      <t>ケンシュウ</t>
    </rPh>
    <rPh sb="12" eb="14">
      <t>ジギョウ</t>
    </rPh>
    <rPh sb="14" eb="16">
      <t>ケイヒ</t>
    </rPh>
    <phoneticPr fontId="5"/>
  </si>
  <si>
    <r>
      <t>事業延月数 i</t>
    </r>
    <r>
      <rPr>
        <sz val="8"/>
        <rFont val="ＭＳ 明朝"/>
        <family val="1"/>
        <charset val="128"/>
      </rPr>
      <t xml:space="preserve">
(月４回以上)</t>
    </r>
    <rPh sb="3" eb="5">
      <t>ツキスウ</t>
    </rPh>
    <rPh sb="9" eb="10">
      <t>ツキ</t>
    </rPh>
    <rPh sb="11" eb="12">
      <t>カイ</t>
    </rPh>
    <rPh sb="12" eb="14">
      <t>イジョウ</t>
    </rPh>
    <phoneticPr fontId="4"/>
  </si>
  <si>
    <r>
      <t>事業延日数 j</t>
    </r>
    <r>
      <rPr>
        <sz val="8"/>
        <rFont val="ＭＳ 明朝"/>
        <family val="1"/>
        <charset val="128"/>
      </rPr>
      <t xml:space="preserve">
(月４回未満)</t>
    </r>
    <rPh sb="3" eb="5">
      <t>ニッスウ</t>
    </rPh>
    <rPh sb="9" eb="10">
      <t>ツキ</t>
    </rPh>
    <rPh sb="11" eb="12">
      <t>カイ</t>
    </rPh>
    <rPh sb="12" eb="14">
      <t>ミマン</t>
    </rPh>
    <phoneticPr fontId="4"/>
  </si>
  <si>
    <r>
      <t>事業延月数 k</t>
    </r>
    <r>
      <rPr>
        <sz val="8"/>
        <rFont val="ＭＳ 明朝"/>
        <family val="1"/>
        <charset val="128"/>
      </rPr>
      <t xml:space="preserve">
(月４回以上)</t>
    </r>
    <rPh sb="3" eb="5">
      <t>ツキスウ</t>
    </rPh>
    <rPh sb="9" eb="10">
      <t>ツキ</t>
    </rPh>
    <rPh sb="11" eb="12">
      <t>カイ</t>
    </rPh>
    <rPh sb="12" eb="14">
      <t>イジョウ</t>
    </rPh>
    <phoneticPr fontId="4"/>
  </si>
  <si>
    <r>
      <t>事業延日数 l</t>
    </r>
    <r>
      <rPr>
        <sz val="8"/>
        <rFont val="ＭＳ 明朝"/>
        <family val="1"/>
        <charset val="128"/>
      </rPr>
      <t xml:space="preserve">
(月４回未満)</t>
    </r>
    <rPh sb="3" eb="5">
      <t>ニッスウ</t>
    </rPh>
    <rPh sb="9" eb="10">
      <t>ツキ</t>
    </rPh>
    <rPh sb="11" eb="12">
      <t>カイ</t>
    </rPh>
    <rPh sb="12" eb="14">
      <t>ミマン</t>
    </rPh>
    <phoneticPr fontId="4"/>
  </si>
  <si>
    <t>（６）小児科宿日直研修事業経費　</t>
    <rPh sb="3" eb="6">
      <t>ショウニカ</t>
    </rPh>
    <rPh sb="6" eb="9">
      <t>シュクニッチョク</t>
    </rPh>
    <rPh sb="9" eb="11">
      <t>ケンシュウ</t>
    </rPh>
    <rPh sb="11" eb="13">
      <t>ジギョウ</t>
    </rPh>
    <rPh sb="13" eb="15">
      <t>ケイヒ</t>
    </rPh>
    <phoneticPr fontId="5"/>
  </si>
  <si>
    <t>別紙４</t>
    <rPh sb="0" eb="2">
      <t>ベッシ</t>
    </rPh>
    <phoneticPr fontId="4"/>
  </si>
  <si>
    <t>基　準　額　算　出　内　訳</t>
    <phoneticPr fontId="4"/>
  </si>
  <si>
    <t>【単独型・管理型臨床研修施設名】</t>
    <rPh sb="8" eb="10">
      <t>リンショウ</t>
    </rPh>
    <rPh sb="10" eb="12">
      <t>ケンシュウ</t>
    </rPh>
    <rPh sb="12" eb="14">
      <t>シセツ</t>
    </rPh>
    <phoneticPr fontId="4"/>
  </si>
  <si>
    <t>１　教育指導経費及び指導歯科医資質向上推進経費</t>
    <phoneticPr fontId="4"/>
  </si>
  <si>
    <t>（１）研修歯科医延人数　【附表Ａ】</t>
    <rPh sb="5" eb="7">
      <t>シカ</t>
    </rPh>
    <rPh sb="13" eb="15">
      <t>フヒョウ</t>
    </rPh>
    <phoneticPr fontId="5"/>
  </si>
  <si>
    <t>研 修 歯 科 医 延 人 数</t>
    <rPh sb="0" eb="1">
      <t>ケン</t>
    </rPh>
    <rPh sb="2" eb="3">
      <t>オサム</t>
    </rPh>
    <rPh sb="4" eb="5">
      <t>ハ</t>
    </rPh>
    <rPh sb="6" eb="7">
      <t>カ</t>
    </rPh>
    <rPh sb="8" eb="9">
      <t>イ</t>
    </rPh>
    <rPh sb="10" eb="11">
      <t>ノ</t>
    </rPh>
    <rPh sb="12" eb="13">
      <t>ヒト</t>
    </rPh>
    <rPh sb="14" eb="15">
      <t>カズ</t>
    </rPh>
    <phoneticPr fontId="5"/>
  </si>
  <si>
    <t>【補助対象】指導経費（歯科）計</t>
    <rPh sb="1" eb="3">
      <t>ホジョ</t>
    </rPh>
    <rPh sb="3" eb="5">
      <t>タイショウ</t>
    </rPh>
    <rPh sb="6" eb="8">
      <t>シドウ</t>
    </rPh>
    <rPh sb="8" eb="10">
      <t>ケイヒ</t>
    </rPh>
    <rPh sb="11" eb="13">
      <t>シカ</t>
    </rPh>
    <rPh sb="14" eb="15">
      <t>ケイ</t>
    </rPh>
    <phoneticPr fontId="4"/>
  </si>
  <si>
    <t>指導経費（医科）計</t>
    <rPh sb="0" eb="2">
      <t>シドウ</t>
    </rPh>
    <rPh sb="2" eb="4">
      <t>ケイヒ</t>
    </rPh>
    <rPh sb="5" eb="7">
      <t>イカ</t>
    </rPh>
    <rPh sb="8" eb="9">
      <t>ケイ</t>
    </rPh>
    <phoneticPr fontId="4"/>
  </si>
  <si>
    <t>ｂ</t>
    <phoneticPr fontId="4"/>
  </si>
  <si>
    <t>d（a+b+c）</t>
    <phoneticPr fontId="4"/>
  </si>
  <si>
    <t>※数式のあるセルの文字を白色に変更中</t>
    <rPh sb="1" eb="3">
      <t>スウシキ</t>
    </rPh>
    <rPh sb="9" eb="11">
      <t>モジ</t>
    </rPh>
    <rPh sb="12" eb="14">
      <t>シロイロ</t>
    </rPh>
    <rPh sb="15" eb="17">
      <t>ヘンコウ</t>
    </rPh>
    <rPh sb="17" eb="18">
      <t>チュウ</t>
    </rPh>
    <phoneticPr fontId="4"/>
  </si>
  <si>
    <t>（注）研修歯科医延人数は、当該年度内における各月の末日に在籍する診療科の研修歯科医数の総和であること。</t>
    <rPh sb="5" eb="7">
      <t>シカ</t>
    </rPh>
    <rPh sb="32" eb="35">
      <t>シンリョウカ</t>
    </rPh>
    <rPh sb="38" eb="40">
      <t>シカ</t>
    </rPh>
    <phoneticPr fontId="5"/>
  </si>
  <si>
    <t>（２）研修歯科医数</t>
    <rPh sb="5" eb="7">
      <t>シカ</t>
    </rPh>
    <phoneticPr fontId="4"/>
  </si>
  <si>
    <t>施設群全体</t>
    <rPh sb="0" eb="2">
      <t>シセツ</t>
    </rPh>
    <rPh sb="2" eb="3">
      <t>グン</t>
    </rPh>
    <rPh sb="3" eb="5">
      <t>ゼンタイ</t>
    </rPh>
    <phoneticPr fontId="5"/>
  </si>
  <si>
    <t>研修歯科医延人数</t>
    <rPh sb="0" eb="2">
      <t>ケンシュウ</t>
    </rPh>
    <rPh sb="2" eb="5">
      <t>シカイ</t>
    </rPh>
    <rPh sb="5" eb="6">
      <t>ノ</t>
    </rPh>
    <rPh sb="6" eb="8">
      <t>ニンズウ</t>
    </rPh>
    <phoneticPr fontId="5"/>
  </si>
  <si>
    <t>研修歯科医数</t>
    <rPh sb="0" eb="5">
      <t>ケンシュウシカイ</t>
    </rPh>
    <rPh sb="5" eb="6">
      <t>スウ</t>
    </rPh>
    <phoneticPr fontId="4"/>
  </si>
  <si>
    <t>（注）研修歯科医数は、研修歯科医延人数を12(月)で除して、小数点以下を四捨五入して得た数とする。</t>
    <rPh sb="5" eb="7">
      <t>シカ</t>
    </rPh>
    <rPh sb="13" eb="15">
      <t>シカ</t>
    </rPh>
    <rPh sb="23" eb="24">
      <t>ツキ</t>
    </rPh>
    <rPh sb="36" eb="40">
      <t>シシャゴニュウ</t>
    </rPh>
    <phoneticPr fontId="5"/>
  </si>
  <si>
    <t>（３）へき地診療所研修支援事業実施研修歯科医数　【附表Ｂ】</t>
    <rPh sb="15" eb="17">
      <t>ジッシ</t>
    </rPh>
    <rPh sb="17" eb="19">
      <t>ケンシュウ</t>
    </rPh>
    <rPh sb="19" eb="22">
      <t>シカイ</t>
    </rPh>
    <rPh sb="22" eb="23">
      <t>スウ</t>
    </rPh>
    <phoneticPr fontId="5"/>
  </si>
  <si>
    <t>事業実施研修歯科医数</t>
    <rPh sb="0" eb="2">
      <t>ジギョウ</t>
    </rPh>
    <rPh sb="2" eb="4">
      <t>ジッシ</t>
    </rPh>
    <rPh sb="4" eb="9">
      <t>ケンシュウシカイ</t>
    </rPh>
    <rPh sb="9" eb="10">
      <t>スウ</t>
    </rPh>
    <phoneticPr fontId="5"/>
  </si>
  <si>
    <t>（４）指導歯科医資質向上推進事業　【附表Ｃ】</t>
    <rPh sb="3" eb="5">
      <t>シドウ</t>
    </rPh>
    <rPh sb="5" eb="8">
      <t>シカイ</t>
    </rPh>
    <rPh sb="8" eb="10">
      <t>シシツ</t>
    </rPh>
    <rPh sb="10" eb="12">
      <t>コウジョウ</t>
    </rPh>
    <rPh sb="12" eb="14">
      <t>スイシン</t>
    </rPh>
    <rPh sb="14" eb="16">
      <t>ジギョウ</t>
    </rPh>
    <phoneticPr fontId="5"/>
  </si>
  <si>
    <t>施設の指導歯科医数</t>
    <rPh sb="0" eb="2">
      <t>シセツ</t>
    </rPh>
    <rPh sb="3" eb="5">
      <t>シドウ</t>
    </rPh>
    <rPh sb="5" eb="7">
      <t>シカ</t>
    </rPh>
    <rPh sb="7" eb="8">
      <t>イ</t>
    </rPh>
    <rPh sb="8" eb="9">
      <t>スウ</t>
    </rPh>
    <phoneticPr fontId="4"/>
  </si>
  <si>
    <t>２　基準額適用</t>
    <rPh sb="2" eb="5">
      <t>キジュンガク</t>
    </rPh>
    <rPh sb="5" eb="7">
      <t>テキヨウ</t>
    </rPh>
    <phoneticPr fontId="5"/>
  </si>
  <si>
    <t>教育指導経費</t>
    <rPh sb="0" eb="2">
      <t>キョウイク</t>
    </rPh>
    <rPh sb="2" eb="4">
      <t>シドウ</t>
    </rPh>
    <rPh sb="4" eb="6">
      <t>ケイヒ</t>
    </rPh>
    <phoneticPr fontId="5"/>
  </si>
  <si>
    <t>（１）指導経費</t>
    <rPh sb="3" eb="5">
      <t>シドウ</t>
    </rPh>
    <rPh sb="5" eb="7">
      <t>ケイヒ</t>
    </rPh>
    <phoneticPr fontId="5"/>
  </si>
  <si>
    <t>１）</t>
    <phoneticPr fontId="4"/>
  </si>
  <si>
    <t>歯課分</t>
    <rPh sb="0" eb="2">
      <t>シカ</t>
    </rPh>
    <rPh sb="2" eb="3">
      <t>ブン</t>
    </rPh>
    <phoneticPr fontId="4"/>
  </si>
  <si>
    <t>研修歯科医延人数 a</t>
    <rPh sb="2" eb="4">
      <t>シカ</t>
    </rPh>
    <phoneticPr fontId="5"/>
  </si>
  <si>
    <t>２）医科分</t>
    <rPh sb="2" eb="4">
      <t>イカ</t>
    </rPh>
    <rPh sb="4" eb="5">
      <t>ブン</t>
    </rPh>
    <phoneticPr fontId="4"/>
  </si>
  <si>
    <t>研修歯科医延人数 b</t>
    <rPh sb="2" eb="4">
      <t>シカ</t>
    </rPh>
    <phoneticPr fontId="5"/>
  </si>
  <si>
    <t>（２）プログラム責任者経費</t>
    <rPh sb="8" eb="11">
      <t>セキニンシャ</t>
    </rPh>
    <rPh sb="11" eb="13">
      <t>ケイヒ</t>
    </rPh>
    <phoneticPr fontId="5"/>
  </si>
  <si>
    <t>基本業務</t>
    <rPh sb="0" eb="2">
      <t>キホン</t>
    </rPh>
    <rPh sb="2" eb="4">
      <t>ギョウム</t>
    </rPh>
    <phoneticPr fontId="5"/>
  </si>
  <si>
    <t>研修歯科医数 e</t>
    <rPh sb="0" eb="2">
      <t>ケンシュウ</t>
    </rPh>
    <rPh sb="2" eb="5">
      <t>シカイ</t>
    </rPh>
    <rPh sb="5" eb="6">
      <t>スウ</t>
    </rPh>
    <phoneticPr fontId="4"/>
  </si>
  <si>
    <t>目標達成管理</t>
    <rPh sb="0" eb="2">
      <t>モクヒョウ</t>
    </rPh>
    <rPh sb="2" eb="4">
      <t>タッセイ</t>
    </rPh>
    <rPh sb="4" eb="6">
      <t>カンリ</t>
    </rPh>
    <phoneticPr fontId="5"/>
  </si>
  <si>
    <t>研修歯科医延人数 d</t>
    <rPh sb="2" eb="4">
      <t>シカ</t>
    </rPh>
    <phoneticPr fontId="5"/>
  </si>
  <si>
    <t>＊　S：4,080円　A：3,400円　B：2,720円</t>
    <rPh sb="9" eb="10">
      <t>エン</t>
    </rPh>
    <rPh sb="18" eb="19">
      <t>エン</t>
    </rPh>
    <rPh sb="27" eb="28">
      <t>エン</t>
    </rPh>
    <phoneticPr fontId="4"/>
  </si>
  <si>
    <t>（３）研修管理委員会経費</t>
    <rPh sb="3" eb="5">
      <t>ケンシュウ</t>
    </rPh>
    <rPh sb="5" eb="7">
      <t>カンリ</t>
    </rPh>
    <rPh sb="7" eb="10">
      <t>イインカイ</t>
    </rPh>
    <rPh sb="10" eb="12">
      <t>ケイヒ</t>
    </rPh>
    <phoneticPr fontId="5"/>
  </si>
  <si>
    <t>（４）へき地診療所研修支援経費</t>
    <rPh sb="5" eb="6">
      <t>チ</t>
    </rPh>
    <rPh sb="6" eb="9">
      <t>シンリョウショ</t>
    </rPh>
    <rPh sb="9" eb="11">
      <t>ケンシュウ</t>
    </rPh>
    <rPh sb="11" eb="13">
      <t>シエン</t>
    </rPh>
    <rPh sb="13" eb="15">
      <t>ケイヒ</t>
    </rPh>
    <phoneticPr fontId="5"/>
  </si>
  <si>
    <t>事業実施研修歯科医数 f</t>
    <rPh sb="0" eb="2">
      <t>ジギョウ</t>
    </rPh>
    <rPh sb="2" eb="4">
      <t>ジッシ</t>
    </rPh>
    <rPh sb="4" eb="9">
      <t>ケンシュウシカイ</t>
    </rPh>
    <rPh sb="9" eb="10">
      <t>カズ</t>
    </rPh>
    <phoneticPr fontId="5"/>
  </si>
  <si>
    <t>（５）研修歯科医物件費</t>
    <rPh sb="3" eb="8">
      <t>ケンシュウシカイ</t>
    </rPh>
    <rPh sb="8" eb="10">
      <t>ブッケン</t>
    </rPh>
    <rPh sb="10" eb="11">
      <t>ヒ</t>
    </rPh>
    <phoneticPr fontId="5"/>
  </si>
  <si>
    <t>研修歯科医延人数 a+b</t>
    <rPh sb="2" eb="4">
      <t>シカ</t>
    </rPh>
    <phoneticPr fontId="5"/>
  </si>
  <si>
    <t>（６）指導歯科医資質向上推進経費</t>
    <rPh sb="3" eb="5">
      <t>シドウ</t>
    </rPh>
    <rPh sb="5" eb="8">
      <t>シカイ</t>
    </rPh>
    <rPh sb="8" eb="10">
      <t>シシツ</t>
    </rPh>
    <rPh sb="10" eb="12">
      <t>コウジョウ</t>
    </rPh>
    <rPh sb="12" eb="14">
      <t>スイシン</t>
    </rPh>
    <rPh sb="14" eb="16">
      <t>ケイヒ</t>
    </rPh>
    <phoneticPr fontId="5"/>
  </si>
  <si>
    <t>※協力型臨床研修施設が申請する場合（２）～（４）、（６）は計上しないこと</t>
    <rPh sb="1" eb="4">
      <t>キョウリョクガタ</t>
    </rPh>
    <rPh sb="4" eb="6">
      <t>リンショウ</t>
    </rPh>
    <rPh sb="6" eb="8">
      <t>ケンシュウ</t>
    </rPh>
    <rPh sb="8" eb="10">
      <t>シセツ</t>
    </rPh>
    <rPh sb="11" eb="13">
      <t>シンセイ</t>
    </rPh>
    <rPh sb="15" eb="17">
      <t>バアイ</t>
    </rPh>
    <rPh sb="29" eb="31">
      <t>ケイジョウ</t>
    </rPh>
    <phoneticPr fontId="4"/>
  </si>
  <si>
    <t>※指導歯科医を5人以上配置している施設が申請する場合以外（６）は計上しないこと</t>
    <rPh sb="1" eb="3">
      <t>シドウ</t>
    </rPh>
    <rPh sb="3" eb="6">
      <t>シカイ</t>
    </rPh>
    <rPh sb="8" eb="9">
      <t>ニン</t>
    </rPh>
    <rPh sb="9" eb="11">
      <t>イジョウ</t>
    </rPh>
    <rPh sb="11" eb="13">
      <t>ハイチ</t>
    </rPh>
    <rPh sb="17" eb="19">
      <t>シセツ</t>
    </rPh>
    <rPh sb="20" eb="22">
      <t>シンセイ</t>
    </rPh>
    <rPh sb="24" eb="26">
      <t>バアイ</t>
    </rPh>
    <rPh sb="26" eb="28">
      <t>イガイ</t>
    </rPh>
    <rPh sb="32" eb="34">
      <t>ケイジョウ</t>
    </rPh>
    <phoneticPr fontId="4"/>
  </si>
  <si>
    <t>基準額合計</t>
    <rPh sb="0" eb="3">
      <t>キジュンガク</t>
    </rPh>
    <rPh sb="3" eb="5">
      <t>ゴウケイ</t>
    </rPh>
    <phoneticPr fontId="4"/>
  </si>
  <si>
    <t>第３号様式</t>
    <rPh sb="0" eb="1">
      <t>ダイ</t>
    </rPh>
    <rPh sb="2" eb="3">
      <t>ゴウ</t>
    </rPh>
    <rPh sb="3" eb="5">
      <t>ヨウシキ</t>
    </rPh>
    <phoneticPr fontId="14"/>
  </si>
  <si>
    <t>←下記１～３より選択してください</t>
    <rPh sb="1" eb="3">
      <t>カキ</t>
    </rPh>
    <rPh sb="8" eb="10">
      <t>センタク</t>
    </rPh>
    <phoneticPr fontId="4"/>
  </si>
  <si>
    <t>番　　　　　　　　　号</t>
    <phoneticPr fontId="14"/>
  </si>
  <si>
    <t>　　年　　月　　日</t>
    <phoneticPr fontId="14"/>
  </si>
  <si>
    <t>　              　    　殿</t>
    <phoneticPr fontId="4"/>
  </si>
  <si>
    <t xml:space="preserve">                           補助金</t>
    <phoneticPr fontId="4"/>
  </si>
  <si>
    <t>医療関係者研修費等補助金</t>
    <phoneticPr fontId="4"/>
  </si>
  <si>
    <t>臨床研修費等補助金</t>
    <phoneticPr fontId="4"/>
  </si>
  <si>
    <t>所在地</t>
    <rPh sb="0" eb="3">
      <t>ショザイチ</t>
    </rPh>
    <phoneticPr fontId="14"/>
  </si>
  <si>
    <t>　厚生労働大臣　　殿</t>
    <phoneticPr fontId="4"/>
  </si>
  <si>
    <t>名　称</t>
    <phoneticPr fontId="14"/>
  </si>
  <si>
    <t>代表者　　　　　　　　</t>
    <phoneticPr fontId="14"/>
  </si>
  <si>
    <t>年度消費税及び地方消費税に係る仕入控除税額報告書</t>
    <phoneticPr fontId="14"/>
  </si>
  <si>
    <r>
      <t>　　　　年　　月　　日</t>
    </r>
    <r>
      <rPr>
        <u/>
        <sz val="11"/>
        <color theme="1"/>
        <rFont val="ＭＳ Ｐゴシック"/>
        <family val="3"/>
        <charset val="128"/>
        <scheme val="minor"/>
      </rPr>
      <t>厚生労働省発医政　　　　第　　号</t>
    </r>
    <rPh sb="4" eb="5">
      <t>ネン</t>
    </rPh>
    <phoneticPr fontId="14"/>
  </si>
  <si>
    <t>により交付決定があった</t>
    <phoneticPr fontId="14"/>
  </si>
  <si>
    <t>次のとおり報告する。</t>
    <phoneticPr fontId="14"/>
  </si>
  <si>
    <t>１　　補助金等に係る予算の執行の適正化に関する法律（昭和30 年法律第179 号）</t>
    <phoneticPr fontId="4"/>
  </si>
  <si>
    <t>　　第15 条の規定による確定額又は事業実績報告による精算額</t>
    <phoneticPr fontId="14"/>
  </si>
  <si>
    <t>金</t>
    <phoneticPr fontId="14"/>
  </si>
  <si>
    <t>円</t>
    <phoneticPr fontId="14"/>
  </si>
  <si>
    <t>２　確定時に減額した仕入れに係る消費税額</t>
    <phoneticPr fontId="4"/>
  </si>
  <si>
    <t>３　　消費税及び地方消費税の申告により確定した消費税及び地方消費税に係る</t>
    <phoneticPr fontId="14"/>
  </si>
  <si>
    <t>　　仕入控除税額（要国庫補助金返還相当額）</t>
    <phoneticPr fontId="14"/>
  </si>
  <si>
    <t>４　補助金返還相当額</t>
    <phoneticPr fontId="4"/>
  </si>
  <si>
    <t>５　添付書類</t>
    <phoneticPr fontId="4"/>
  </si>
  <si>
    <t>　　　記載内容を確認するための書類（確定申告書の写し、課税売上割合等が把握</t>
    <phoneticPr fontId="4"/>
  </si>
  <si>
    <t>　　できる資料、特定収入の割合を確認できる資料）を添付する。</t>
    <phoneticPr fontId="4"/>
  </si>
  <si>
    <t>（注）交付要綱の３（交付対象）の（１）のクに係る事業に関しては下線部を</t>
  </si>
  <si>
    <t>　　　厚生労働省発薬生　　第　号に置き換えるものとする</t>
    <phoneticPr fontId="4"/>
  </si>
  <si>
    <t>第3号様式</t>
    <rPh sb="0" eb="1">
      <t>ダイ</t>
    </rPh>
    <rPh sb="2" eb="3">
      <t>ゴウ</t>
    </rPh>
    <rPh sb="3" eb="5">
      <t>ヨウシキ</t>
    </rPh>
    <phoneticPr fontId="14"/>
  </si>
  <si>
    <t>厚生労働大臣　　　殿</t>
  </si>
  <si>
    <t>代表者　　　　　　　　　印</t>
    <phoneticPr fontId="14"/>
  </si>
  <si>
    <t>　　　年　月　日厚生労働省発医政　第　　号</t>
    <phoneticPr fontId="14"/>
  </si>
  <si>
    <t>医療関係者研修費等補助金について、当該交付要綱第５の（９）の規定に基づき</t>
    <phoneticPr fontId="14"/>
  </si>
  <si>
    <t>１　補助金等に係る予算の執行の適正化に関する法律（昭和30 年法律第179 号）</t>
  </si>
  <si>
    <t>第15 条の規定による確定額又は事業実績報告による精算額</t>
    <phoneticPr fontId="14"/>
  </si>
  <si>
    <t>２　消費税及び地方消費税の申告により確定した消費税及び地方消費税に係る</t>
    <phoneticPr fontId="14"/>
  </si>
  <si>
    <t>仕入控除税額（要委託費返還相当額）</t>
    <phoneticPr fontId="14"/>
  </si>
  <si>
    <t>　３　添付書類</t>
  </si>
  <si>
    <t>　　　記載内容を確認するための書類（確定申告書の写し、課税売上割合等が把握</t>
  </si>
  <si>
    <t>　　　できる資料、特定収入の割合を確認できる資料）を添付する。</t>
  </si>
  <si>
    <t>臨床研修費等補助金について、当該交付要綱第５の（９）の規定に基づき</t>
    <phoneticPr fontId="14"/>
  </si>
  <si>
    <t>第４号様式</t>
    <phoneticPr fontId="4"/>
  </si>
  <si>
    <t>　年　　　月　　　日</t>
    <phoneticPr fontId="4"/>
  </si>
  <si>
    <t>事業者名　　　　</t>
    <phoneticPr fontId="4"/>
  </si>
  <si>
    <t xml:space="preserve">　　　　　　 　   </t>
    <phoneticPr fontId="4"/>
  </si>
  <si>
    <t>　　年　　月　　日厚生労働省発医政　　第　号で交付決定を受けた標記補助金に係る</t>
    <phoneticPr fontId="4"/>
  </si>
  <si>
    <t xml:space="preserve">  　　事業実績について、次の書類を添えて報告する。</t>
    <phoneticPr fontId="4"/>
  </si>
  <si>
    <t>１　  所要額精算書（別紙１）</t>
    <phoneticPr fontId="4"/>
  </si>
  <si>
    <t>２　  実績報告書（別紙２）</t>
    <rPh sb="4" eb="6">
      <t>ジッセキ</t>
    </rPh>
    <rPh sb="6" eb="8">
      <t>ホウコク</t>
    </rPh>
    <phoneticPr fontId="4"/>
  </si>
  <si>
    <t>３　  収入支出決算書抄本</t>
    <phoneticPr fontId="4"/>
  </si>
  <si>
    <t>所要額精算書</t>
    <rPh sb="0" eb="3">
      <t>ショヨウガク</t>
    </rPh>
    <rPh sb="3" eb="6">
      <t>セイサンショ</t>
    </rPh>
    <phoneticPr fontId="4"/>
  </si>
  <si>
    <t>寄 付 金</t>
  </si>
  <si>
    <t>差引額</t>
  </si>
  <si>
    <t>基準額</t>
  </si>
  <si>
    <t>選 定 額</t>
  </si>
  <si>
    <t>国庫補助
基 本 額</t>
    <rPh sb="0" eb="2">
      <t>コッコ</t>
    </rPh>
    <rPh sb="2" eb="4">
      <t>ホジョ</t>
    </rPh>
    <rPh sb="5" eb="6">
      <t>キ</t>
    </rPh>
    <rPh sb="7" eb="8">
      <t>ホン</t>
    </rPh>
    <rPh sb="9" eb="10">
      <t>ガク</t>
    </rPh>
    <phoneticPr fontId="4"/>
  </si>
  <si>
    <t>国庫補助
所 要 額</t>
    <rPh sb="0" eb="1">
      <t>クニ</t>
    </rPh>
    <rPh sb="1" eb="2">
      <t>コ</t>
    </rPh>
    <rPh sb="2" eb="3">
      <t>ホ</t>
    </rPh>
    <rPh sb="3" eb="4">
      <t>スケ</t>
    </rPh>
    <phoneticPr fontId="4"/>
  </si>
  <si>
    <t>交　　 付
決 定 額</t>
    <phoneticPr fontId="4"/>
  </si>
  <si>
    <t>国庫補助
受入済額</t>
    <rPh sb="0" eb="2">
      <t>コッコ</t>
    </rPh>
    <rPh sb="2" eb="4">
      <t>ホジョ</t>
    </rPh>
    <rPh sb="5" eb="6">
      <t>ウ</t>
    </rPh>
    <rPh sb="6" eb="7">
      <t>イ</t>
    </rPh>
    <rPh sb="7" eb="8">
      <t>ズ</t>
    </rPh>
    <rPh sb="8" eb="9">
      <t>ガク</t>
    </rPh>
    <phoneticPr fontId="4"/>
  </si>
  <si>
    <t>差 引 過
△不足額</t>
    <phoneticPr fontId="4"/>
  </si>
  <si>
    <t>そ の 他</t>
  </si>
  <si>
    <t>の収入額</t>
  </si>
  <si>
    <t>済　　額</t>
  </si>
  <si>
    <t xml:space="preserve">Ａ </t>
  </si>
  <si>
    <t xml:space="preserve">Ｂ </t>
  </si>
  <si>
    <t xml:space="preserve">Ｃ </t>
  </si>
  <si>
    <t xml:space="preserve">Ｄ </t>
  </si>
  <si>
    <t xml:space="preserve">Ｅ </t>
  </si>
  <si>
    <t>２　対象経費の支出済額算出内訳</t>
    <rPh sb="2" eb="4">
      <t>タイショウ</t>
    </rPh>
    <rPh sb="4" eb="6">
      <t>ケイヒ</t>
    </rPh>
    <rPh sb="7" eb="9">
      <t>シシュツ</t>
    </rPh>
    <rPh sb="9" eb="10">
      <t>ズ</t>
    </rPh>
    <rPh sb="10" eb="11">
      <t>ガク</t>
    </rPh>
    <rPh sb="11" eb="13">
      <t>サンシュツ</t>
    </rPh>
    <rPh sb="13" eb="15">
      <t>ウチワケ</t>
    </rPh>
    <phoneticPr fontId="4"/>
  </si>
  <si>
    <t>支　出　済　額</t>
  </si>
  <si>
    <t>支　　　出　　　内　　　訳</t>
  </si>
  <si>
    <t>合　　　　　計</t>
  </si>
  <si>
    <t>国庫補助
受入済額</t>
    <rPh sb="0" eb="2">
      <t>コッコ</t>
    </rPh>
    <rPh sb="2" eb="4">
      <t>ホジョ</t>
    </rPh>
    <rPh sb="5" eb="7">
      <t>ウケイレ</t>
    </rPh>
    <rPh sb="7" eb="8">
      <t>ズミ</t>
    </rPh>
    <rPh sb="8" eb="9">
      <t>ガク</t>
    </rPh>
    <phoneticPr fontId="4"/>
  </si>
  <si>
    <t>１　広域連携型プログラム作成経費</t>
  </si>
  <si>
    <t>　職員基本給</t>
  </si>
  <si>
    <t>職員諸手当（非常勤含む）</t>
  </si>
  <si>
    <t>非常勤職員諸手当（事務補助者雇上経費）</t>
  </si>
  <si>
    <t>２　第三者評価受審経費</t>
  </si>
  <si>
    <t>雑役務費（手数料等）</t>
  </si>
  <si>
    <t>看護職員確保対策特別事業</t>
  </si>
  <si>
    <t>1　○○所要額</t>
    <phoneticPr fontId="4"/>
  </si>
  <si>
    <t>Ｉ</t>
    <phoneticPr fontId="4"/>
  </si>
  <si>
    <t>Ｊ</t>
    <phoneticPr fontId="4"/>
  </si>
  <si>
    <t>Ｋ</t>
    <phoneticPr fontId="4"/>
  </si>
  <si>
    <t>看護師の特定行為に係る指定医療研修機関運営事業基準額算出内訳</t>
    <phoneticPr fontId="4"/>
  </si>
  <si>
    <t>実施する特定行為区分数</t>
    <rPh sb="0" eb="2">
      <t>ジッシ</t>
    </rPh>
    <rPh sb="4" eb="8">
      <t>トクテイコウイ</t>
    </rPh>
    <rPh sb="8" eb="10">
      <t>クブン</t>
    </rPh>
    <rPh sb="10" eb="11">
      <t>スウ</t>
    </rPh>
    <phoneticPr fontId="4"/>
  </si>
  <si>
    <t>※別紙調書の（Ａ）の値を入力してください。なお、調書が複数ある場合は、重複する区分別科目の数を減じた合計値を入力してください。</t>
    <rPh sb="1" eb="3">
      <t>ベッシ</t>
    </rPh>
    <rPh sb="3" eb="5">
      <t>チョウショ</t>
    </rPh>
    <rPh sb="10" eb="11">
      <t>アタイ</t>
    </rPh>
    <rPh sb="12" eb="14">
      <t>ニュウリョク</t>
    </rPh>
    <rPh sb="24" eb="26">
      <t>チョウショ</t>
    </rPh>
    <rPh sb="27" eb="29">
      <t>フクスウ</t>
    </rPh>
    <rPh sb="31" eb="33">
      <t>バアイ</t>
    </rPh>
    <rPh sb="35" eb="37">
      <t>チョウフク</t>
    </rPh>
    <rPh sb="39" eb="41">
      <t>クブン</t>
    </rPh>
    <rPh sb="41" eb="42">
      <t>ベツ</t>
    </rPh>
    <rPh sb="42" eb="44">
      <t>カモク</t>
    </rPh>
    <rPh sb="45" eb="46">
      <t>カズ</t>
    </rPh>
    <rPh sb="47" eb="48">
      <t>ゲン</t>
    </rPh>
    <rPh sb="50" eb="53">
      <t>ゴウケイチ</t>
    </rPh>
    <rPh sb="54" eb="56">
      <t>ニュウリョク</t>
    </rPh>
    <phoneticPr fontId="4"/>
  </si>
  <si>
    <t>　「実施する特定行為区分数」に応じて以下の該当する記号欄に、別紙調書の（Ｂ）の値を入力してください。なお、調書が複数ある場合は、合計値を入力してください。</t>
    <rPh sb="2" eb="4">
      <t>ジッシ</t>
    </rPh>
    <rPh sb="6" eb="10">
      <t>トクテイコウイ</t>
    </rPh>
    <rPh sb="10" eb="12">
      <t>クブン</t>
    </rPh>
    <rPh sb="12" eb="13">
      <t>スウ</t>
    </rPh>
    <rPh sb="15" eb="16">
      <t>オウ</t>
    </rPh>
    <rPh sb="18" eb="20">
      <t>イカ</t>
    </rPh>
    <rPh sb="21" eb="23">
      <t>ガイトウ</t>
    </rPh>
    <rPh sb="25" eb="27">
      <t>キゴウ</t>
    </rPh>
    <rPh sb="27" eb="28">
      <t>ラン</t>
    </rPh>
    <rPh sb="30" eb="32">
      <t>ベッシ</t>
    </rPh>
    <rPh sb="32" eb="34">
      <t>チョウショ</t>
    </rPh>
    <rPh sb="39" eb="40">
      <t>アタイ</t>
    </rPh>
    <rPh sb="41" eb="43">
      <t>ニュウリョク</t>
    </rPh>
    <rPh sb="53" eb="55">
      <t>チョウショ</t>
    </rPh>
    <rPh sb="56" eb="58">
      <t>フクスウ</t>
    </rPh>
    <rPh sb="60" eb="62">
      <t>バアイ</t>
    </rPh>
    <rPh sb="64" eb="66">
      <t>ゴウケイ</t>
    </rPh>
    <rPh sb="66" eb="67">
      <t>アタイ</t>
    </rPh>
    <rPh sb="68" eb="70">
      <t>ニュウリョク</t>
    </rPh>
    <phoneticPr fontId="4"/>
  </si>
  <si>
    <t>↑協力施設（※）と連携協力して特定行為研修を行う場合であって、当該協力施設において、特定行為研修に係る講義、演習又は実習を実施している場合は「○」を入力し、実施日数を記載すること。
（※）対象となる協力施設は訪問看護ステーション、介護施設及び診療所に限る</t>
    <phoneticPr fontId="4"/>
  </si>
  <si>
    <t>別紙２－２</t>
    <rPh sb="0" eb="2">
      <t>ベッシ</t>
    </rPh>
    <phoneticPr fontId="4"/>
  </si>
  <si>
    <t>へき地診療所等研修支援事業実績報告書</t>
    <rPh sb="2" eb="3">
      <t>チ</t>
    </rPh>
    <rPh sb="3" eb="6">
      <t>シンリョウショ</t>
    </rPh>
    <rPh sb="6" eb="7">
      <t>トウ</t>
    </rPh>
    <rPh sb="7" eb="9">
      <t>ケンシュウ</t>
    </rPh>
    <rPh sb="9" eb="11">
      <t>シエン</t>
    </rPh>
    <rPh sb="11" eb="13">
      <t>ジギョウ</t>
    </rPh>
    <rPh sb="13" eb="15">
      <t>ジッセキ</t>
    </rPh>
    <rPh sb="15" eb="17">
      <t>ホウコク</t>
    </rPh>
    <phoneticPr fontId="5"/>
  </si>
  <si>
    <t>研修医の処遇について</t>
    <rPh sb="0" eb="3">
      <t>ケンシュウイ</t>
    </rPh>
    <rPh sb="4" eb="6">
      <t>ショグウ</t>
    </rPh>
    <phoneticPr fontId="14"/>
  </si>
  <si>
    <t>令和４年度 医療関係者研修費等補助金及び臨床研修費等補助金  総括表　転記シート</t>
    <rPh sb="0" eb="2">
      <t>レイワ</t>
    </rPh>
    <rPh sb="3" eb="5">
      <t>ネンド</t>
    </rPh>
    <rPh sb="6" eb="18">
      <t>イリョウカンケイシャケンシュウヒナドホジョキン</t>
    </rPh>
    <rPh sb="18" eb="19">
      <t>オヨ</t>
    </rPh>
    <rPh sb="20" eb="22">
      <t>リンショウ</t>
    </rPh>
    <rPh sb="22" eb="25">
      <t>ケンシュウヒ</t>
    </rPh>
    <rPh sb="25" eb="26">
      <t>トウ</t>
    </rPh>
    <rPh sb="26" eb="29">
      <t>ホジョキン</t>
    </rPh>
    <rPh sb="31" eb="33">
      <t>ソウカツ</t>
    </rPh>
    <rPh sb="33" eb="34">
      <t>ヒョウ</t>
    </rPh>
    <rPh sb="35" eb="37">
      <t>テンキ</t>
    </rPh>
    <phoneticPr fontId="14"/>
  </si>
  <si>
    <t xml:space="preserve">
別記①</t>
    <phoneticPr fontId="14"/>
  </si>
  <si>
    <t xml:space="preserve">
別記②</t>
    <rPh sb="1" eb="3">
      <t>ベッキ</t>
    </rPh>
    <phoneticPr fontId="14"/>
  </si>
  <si>
    <t xml:space="preserve">
別記③</t>
    <rPh sb="1" eb="3">
      <t>ベッキ</t>
    </rPh>
    <phoneticPr fontId="14"/>
  </si>
  <si>
    <t xml:space="preserve">
別記④</t>
    <rPh sb="1" eb="3">
      <t>ベッキ</t>
    </rPh>
    <phoneticPr fontId="14"/>
  </si>
  <si>
    <t xml:space="preserve">
別記⑦</t>
    <rPh sb="1" eb="3">
      <t>ベッキ</t>
    </rPh>
    <phoneticPr fontId="14"/>
  </si>
  <si>
    <t xml:space="preserve">
別記⑧</t>
    <rPh sb="1" eb="3">
      <t>ベッキ</t>
    </rPh>
    <phoneticPr fontId="14"/>
  </si>
  <si>
    <t xml:space="preserve">
別記⑤</t>
    <rPh sb="1" eb="3">
      <t>ベッキ</t>
    </rPh>
    <phoneticPr fontId="14"/>
  </si>
  <si>
    <t xml:space="preserve">
別記⑥</t>
    <rPh sb="1" eb="3">
      <t>ベッキ</t>
    </rPh>
    <phoneticPr fontId="14"/>
  </si>
  <si>
    <t>通番</t>
    <rPh sb="0" eb="2">
      <t>ツウバン</t>
    </rPh>
    <phoneticPr fontId="14"/>
  </si>
  <si>
    <t>都道府県番号</t>
    <rPh sb="0" eb="4">
      <t>トドウフケン</t>
    </rPh>
    <rPh sb="4" eb="6">
      <t>バンゴウ</t>
    </rPh>
    <phoneticPr fontId="14"/>
  </si>
  <si>
    <t>都道府県名</t>
    <rPh sb="0" eb="4">
      <t>トドウフケン</t>
    </rPh>
    <rPh sb="4" eb="5">
      <t>メイ</t>
    </rPh>
    <phoneticPr fontId="14"/>
  </si>
  <si>
    <t>進達</t>
    <rPh sb="0" eb="2">
      <t>シンタツ</t>
    </rPh>
    <phoneticPr fontId="14"/>
  </si>
  <si>
    <t>進達
（差込用）
＊非表示</t>
    <rPh sb="0" eb="2">
      <t>シンタツ</t>
    </rPh>
    <rPh sb="4" eb="6">
      <t>サシコミ</t>
    </rPh>
    <rPh sb="6" eb="7">
      <t>ヨウ</t>
    </rPh>
    <rPh sb="10" eb="13">
      <t>ヒヒョウジ</t>
    </rPh>
    <phoneticPr fontId="14"/>
  </si>
  <si>
    <t>補助事業者</t>
    <rPh sb="0" eb="2">
      <t>ホジョ</t>
    </rPh>
    <rPh sb="2" eb="5">
      <t>ジギョウシャ</t>
    </rPh>
    <phoneticPr fontId="14"/>
  </si>
  <si>
    <t>申請</t>
    <rPh sb="0" eb="2">
      <t>シンセイ</t>
    </rPh>
    <phoneticPr fontId="14"/>
  </si>
  <si>
    <t>申請
（差込用）
＊非表示</t>
    <rPh sb="0" eb="2">
      <t>シンセイ</t>
    </rPh>
    <rPh sb="4" eb="6">
      <t>サシコミ</t>
    </rPh>
    <rPh sb="6" eb="7">
      <t>ヨウ</t>
    </rPh>
    <rPh sb="10" eb="13">
      <t>ヒヒョウジ</t>
    </rPh>
    <phoneticPr fontId="14"/>
  </si>
  <si>
    <t>施設名</t>
    <rPh sb="0" eb="2">
      <t>シセツ</t>
    </rPh>
    <rPh sb="2" eb="3">
      <t>メイ</t>
    </rPh>
    <phoneticPr fontId="14"/>
  </si>
  <si>
    <t>単独型・管理型
臨床研修施設名</t>
    <rPh sb="0" eb="3">
      <t>タンドクガタ</t>
    </rPh>
    <rPh sb="4" eb="7">
      <t>カンリガタ</t>
    </rPh>
    <rPh sb="8" eb="10">
      <t>リンショウ</t>
    </rPh>
    <rPh sb="10" eb="12">
      <t>ケンシュウ</t>
    </rPh>
    <rPh sb="12" eb="14">
      <t>シセツ</t>
    </rPh>
    <rPh sb="14" eb="15">
      <t>メイ</t>
    </rPh>
    <phoneticPr fontId="14"/>
  </si>
  <si>
    <t>評価区分</t>
    <rPh sb="0" eb="2">
      <t>ヒョウカ</t>
    </rPh>
    <rPh sb="2" eb="4">
      <t>クブン</t>
    </rPh>
    <phoneticPr fontId="14"/>
  </si>
  <si>
    <t>国立:0</t>
    <rPh sb="0" eb="2">
      <t>コクリツ</t>
    </rPh>
    <phoneticPr fontId="14"/>
  </si>
  <si>
    <t>研修医延人数</t>
    <rPh sb="3" eb="4">
      <t>ノ</t>
    </rPh>
    <rPh sb="4" eb="5">
      <t>ニン</t>
    </rPh>
    <phoneticPr fontId="14"/>
  </si>
  <si>
    <t>研修医数</t>
    <rPh sb="2" eb="3">
      <t>イ</t>
    </rPh>
    <phoneticPr fontId="14"/>
  </si>
  <si>
    <t>（参考）基準額算出内訳　２基準額適用の額</t>
    <rPh sb="1" eb="3">
      <t>サンコウ</t>
    </rPh>
    <rPh sb="4" eb="7">
      <t>キジュンガク</t>
    </rPh>
    <rPh sb="7" eb="9">
      <t>サンシュツ</t>
    </rPh>
    <rPh sb="9" eb="11">
      <t>ウチワケ</t>
    </rPh>
    <rPh sb="13" eb="16">
      <t>キジュンガク</t>
    </rPh>
    <rPh sb="16" eb="18">
      <t>テキヨウ</t>
    </rPh>
    <rPh sb="19" eb="20">
      <t>ガク</t>
    </rPh>
    <phoneticPr fontId="14"/>
  </si>
  <si>
    <t>別紙１　歯科医師臨床研修事業所要額調書の額</t>
    <rPh sb="0" eb="2">
      <t>ベッシ</t>
    </rPh>
    <rPh sb="4" eb="8">
      <t>シカイシ</t>
    </rPh>
    <rPh sb="8" eb="10">
      <t>リンショウ</t>
    </rPh>
    <rPh sb="10" eb="12">
      <t>ケンシュウ</t>
    </rPh>
    <rPh sb="12" eb="14">
      <t>ジギョウ</t>
    </rPh>
    <rPh sb="14" eb="17">
      <t>ショヨウガク</t>
    </rPh>
    <rPh sb="17" eb="19">
      <t>チョウショ</t>
    </rPh>
    <rPh sb="20" eb="21">
      <t>ガク</t>
    </rPh>
    <phoneticPr fontId="14"/>
  </si>
  <si>
    <t>年月日</t>
  </si>
  <si>
    <t>発翰番号</t>
    <rPh sb="2" eb="4">
      <t>バンゴウ</t>
    </rPh>
    <phoneticPr fontId="14"/>
  </si>
  <si>
    <t>年月日・発翰番号</t>
    <rPh sb="0" eb="3">
      <t>ネンガッピ</t>
    </rPh>
    <phoneticPr fontId="14"/>
  </si>
  <si>
    <t>その他:1</t>
    <rPh sb="2" eb="3">
      <t>タ</t>
    </rPh>
    <phoneticPr fontId="14"/>
  </si>
  <si>
    <t>対象（歯）</t>
    <rPh sb="0" eb="2">
      <t>タイショウ</t>
    </rPh>
    <rPh sb="3" eb="4">
      <t>ハ</t>
    </rPh>
    <phoneticPr fontId="14"/>
  </si>
  <si>
    <t>対象（医）</t>
    <rPh sb="0" eb="2">
      <t>タイショウ</t>
    </rPh>
    <rPh sb="3" eb="4">
      <t>イ</t>
    </rPh>
    <phoneticPr fontId="14"/>
  </si>
  <si>
    <t>対象外</t>
    <rPh sb="0" eb="3">
      <t>タイショウガイ</t>
    </rPh>
    <phoneticPr fontId="14"/>
  </si>
  <si>
    <t>合計</t>
  </si>
  <si>
    <t>指導歯科医
経費（歯）</t>
    <rPh sb="0" eb="2">
      <t>シドウ</t>
    </rPh>
    <rPh sb="2" eb="5">
      <t>シカイ</t>
    </rPh>
    <rPh sb="6" eb="8">
      <t>ケイヒ</t>
    </rPh>
    <rPh sb="9" eb="10">
      <t>ハ</t>
    </rPh>
    <phoneticPr fontId="14"/>
  </si>
  <si>
    <t>指導歯科医
経費（医）</t>
    <rPh sb="0" eb="2">
      <t>シドウ</t>
    </rPh>
    <rPh sb="2" eb="5">
      <t>シカイ</t>
    </rPh>
    <rPh sb="6" eb="8">
      <t>ケイヒ</t>
    </rPh>
    <rPh sb="9" eb="10">
      <t>イ</t>
    </rPh>
    <phoneticPr fontId="14"/>
  </si>
  <si>
    <t>プログラム責任者経費
基本業務</t>
    <rPh sb="5" eb="8">
      <t>セキニンシャ</t>
    </rPh>
    <rPh sb="8" eb="10">
      <t>ケイヒ</t>
    </rPh>
    <rPh sb="11" eb="13">
      <t>キホン</t>
    </rPh>
    <rPh sb="13" eb="15">
      <t>ギョウム</t>
    </rPh>
    <phoneticPr fontId="14"/>
  </si>
  <si>
    <t>プログラム責任者経費
目標達成管理</t>
    <rPh sb="5" eb="8">
      <t>セキニンシャ</t>
    </rPh>
    <rPh sb="8" eb="10">
      <t>ケイヒ</t>
    </rPh>
    <rPh sb="11" eb="13">
      <t>モクヒョウ</t>
    </rPh>
    <rPh sb="13" eb="15">
      <t>タッセイ</t>
    </rPh>
    <rPh sb="15" eb="17">
      <t>カンリ</t>
    </rPh>
    <phoneticPr fontId="14"/>
  </si>
  <si>
    <t>研修管理
委員会経費</t>
    <rPh sb="0" eb="2">
      <t>ケンシュウ</t>
    </rPh>
    <rPh sb="2" eb="4">
      <t>カンリ</t>
    </rPh>
    <rPh sb="5" eb="8">
      <t>イインカイ</t>
    </rPh>
    <rPh sb="8" eb="10">
      <t>ケイヒ</t>
    </rPh>
    <phoneticPr fontId="14"/>
  </si>
  <si>
    <t>へき地診療所
研修支援経費</t>
    <rPh sb="2" eb="3">
      <t>チ</t>
    </rPh>
    <rPh sb="3" eb="6">
      <t>シンリョウジョ</t>
    </rPh>
    <rPh sb="7" eb="9">
      <t>ケンシュウ</t>
    </rPh>
    <rPh sb="9" eb="11">
      <t>シエン</t>
    </rPh>
    <rPh sb="11" eb="13">
      <t>ケイヒ</t>
    </rPh>
    <phoneticPr fontId="14"/>
  </si>
  <si>
    <t>研修歯科医
物件費</t>
    <rPh sb="0" eb="2">
      <t>ケンシュウ</t>
    </rPh>
    <rPh sb="2" eb="5">
      <t>シカイ</t>
    </rPh>
    <rPh sb="6" eb="8">
      <t>ブッケン</t>
    </rPh>
    <rPh sb="8" eb="9">
      <t>ヒ</t>
    </rPh>
    <phoneticPr fontId="14"/>
  </si>
  <si>
    <t>指導歯科医資質
向上推進経費</t>
    <rPh sb="0" eb="2">
      <t>シドウ</t>
    </rPh>
    <rPh sb="2" eb="5">
      <t>シカイ</t>
    </rPh>
    <rPh sb="5" eb="7">
      <t>シシツ</t>
    </rPh>
    <rPh sb="8" eb="10">
      <t>コウジョウ</t>
    </rPh>
    <rPh sb="10" eb="12">
      <t>スイシン</t>
    </rPh>
    <rPh sb="12" eb="14">
      <t>ケイヒ</t>
    </rPh>
    <phoneticPr fontId="14"/>
  </si>
  <si>
    <t>基準額合計</t>
    <rPh sb="0" eb="3">
      <t>キジュンガク</t>
    </rPh>
    <rPh sb="3" eb="5">
      <t>ゴウケイ</t>
    </rPh>
    <phoneticPr fontId="14"/>
  </si>
  <si>
    <t>総事業費</t>
    <phoneticPr fontId="14"/>
  </si>
  <si>
    <t>寄付金その他収入額</t>
    <phoneticPr fontId="14"/>
  </si>
  <si>
    <t>差引額</t>
    <phoneticPr fontId="14"/>
  </si>
  <si>
    <t>対象経費の
支出予定額</t>
    <phoneticPr fontId="14"/>
  </si>
  <si>
    <t>基準額</t>
    <rPh sb="0" eb="3">
      <t>キジュンガク</t>
    </rPh>
    <phoneticPr fontId="14"/>
  </si>
  <si>
    <t>選定額</t>
    <rPh sb="0" eb="2">
      <t>センテイ</t>
    </rPh>
    <rPh sb="2" eb="3">
      <t>ガク</t>
    </rPh>
    <phoneticPr fontId="14"/>
  </si>
  <si>
    <t>補助基本額</t>
    <rPh sb="0" eb="2">
      <t>ホジョ</t>
    </rPh>
    <rPh sb="2" eb="5">
      <t>キホンガク</t>
    </rPh>
    <phoneticPr fontId="14"/>
  </si>
  <si>
    <t>補助所要額</t>
    <rPh sb="0" eb="2">
      <t>ホジョ</t>
    </rPh>
    <rPh sb="2" eb="5">
      <t>ショヨウガク</t>
    </rPh>
    <phoneticPr fontId="14"/>
  </si>
  <si>
    <t>交付決定額</t>
    <rPh sb="0" eb="2">
      <t>コウフ</t>
    </rPh>
    <rPh sb="2" eb="5">
      <t>ケッテイガク</t>
    </rPh>
    <phoneticPr fontId="14"/>
  </si>
  <si>
    <t>差引追加交付
（一部取消）
申請額</t>
    <rPh sb="0" eb="2">
      <t>サシヒキ</t>
    </rPh>
    <rPh sb="2" eb="4">
      <t>ツイカ</t>
    </rPh>
    <rPh sb="4" eb="6">
      <t>コウフ</t>
    </rPh>
    <rPh sb="8" eb="10">
      <t>イチブ</t>
    </rPh>
    <rPh sb="10" eb="11">
      <t>ト</t>
    </rPh>
    <rPh sb="11" eb="12">
      <t>ケ</t>
    </rPh>
    <phoneticPr fontId="14"/>
  </si>
  <si>
    <t>都道府県</t>
    <rPh sb="0" eb="4">
      <t>トドウフケン</t>
    </rPh>
    <phoneticPr fontId="14"/>
  </si>
  <si>
    <t>交付申請額</t>
    <rPh sb="0" eb="2">
      <t>コウフ</t>
    </rPh>
    <rPh sb="2" eb="4">
      <t>シンセイ</t>
    </rPh>
    <rPh sb="4" eb="5">
      <t>ガク</t>
    </rPh>
    <phoneticPr fontId="14"/>
  </si>
  <si>
    <t>交付決定額</t>
    <rPh sb="0" eb="2">
      <t>コウフ</t>
    </rPh>
    <rPh sb="2" eb="4">
      <t>ケッテイ</t>
    </rPh>
    <rPh sb="4" eb="5">
      <t>ガク</t>
    </rPh>
    <phoneticPr fontId="14"/>
  </si>
  <si>
    <t>申請件数</t>
    <rPh sb="0" eb="2">
      <t>シンセイ</t>
    </rPh>
    <rPh sb="2" eb="4">
      <t>ケンスウ</t>
    </rPh>
    <phoneticPr fontId="1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</si>
  <si>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</si>
  <si>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</si>
  <si>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</si>
  <si>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</si>
  <si>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</si>
  <si>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</si>
  <si>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</si>
  <si>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</si>
  <si>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</si>
  <si>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</si>
  <si>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</si>
  <si>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</si>
  <si>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</si>
  <si>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</si>
  <si>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</si>
  <si>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</si>
  <si>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</si>
  <si>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</si>
  <si>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</si>
  <si>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phoneticPr fontId="14"/>
  </si>
  <si>
    <t>岐 阜 県</t>
  </si>
  <si>
    <t>静 岡 県</t>
  </si>
  <si>
    <t>愛 知 県</t>
  </si>
  <si>
    <t>三 重 県</t>
  </si>
  <si>
    <t>滋 賀 県</t>
  </si>
  <si>
    <t>京 都 府</t>
  </si>
  <si>
    <t>大 阪 府</t>
  </si>
  <si>
    <t>兵 庫 県</t>
    <phoneticPr fontId="14"/>
  </si>
  <si>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</si>
  <si>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</si>
  <si>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</si>
  <si>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</si>
  <si>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</si>
  <si>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</si>
  <si>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</si>
  <si>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</si>
  <si>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</si>
  <si>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</si>
  <si>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</si>
  <si>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</si>
  <si>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</si>
  <si>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</si>
  <si>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phoneticPr fontId="5"/>
  </si>
  <si>
    <t>大 分 県</t>
  </si>
  <si>
    <t>宮 崎 県</t>
  </si>
  <si>
    <t>鹿児島県</t>
  </si>
  <si>
    <t>沖 縄 県</t>
  </si>
  <si>
    <t>合計額</t>
    <rPh sb="0" eb="3">
      <t>ゴウケイガク</t>
    </rPh>
    <phoneticPr fontId="14"/>
  </si>
  <si>
    <t>合　　計</t>
    <rPh sb="0" eb="1">
      <t>ゴウ</t>
    </rPh>
    <rPh sb="3" eb="4">
      <t>ケイ</t>
    </rPh>
    <phoneticPr fontId="14"/>
  </si>
  <si>
    <t>※都道府県名から補助所要額を総括表に貼付</t>
    <rPh sb="1" eb="5">
      <t>トドウフケン</t>
    </rPh>
    <rPh sb="5" eb="6">
      <t>メイ</t>
    </rPh>
    <rPh sb="8" eb="10">
      <t>ホジョ</t>
    </rPh>
    <rPh sb="10" eb="13">
      <t>ショヨウガク</t>
    </rPh>
    <rPh sb="14" eb="16">
      <t>ソウカツ</t>
    </rPh>
    <rPh sb="16" eb="17">
      <t>ヒョウ</t>
    </rPh>
    <rPh sb="18" eb="19">
      <t>ハ</t>
    </rPh>
    <rPh sb="19" eb="20">
      <t>ツ</t>
    </rPh>
    <phoneticPr fontId="4"/>
  </si>
  <si>
    <t>予算額①</t>
    <rPh sb="0" eb="3">
      <t>ヨサンガク</t>
    </rPh>
    <phoneticPr fontId="14"/>
  </si>
  <si>
    <t>申請額②</t>
    <rPh sb="0" eb="3">
      <t>シンセイガク</t>
    </rPh>
    <phoneticPr fontId="14"/>
  </si>
  <si>
    <t>調整率③</t>
    <rPh sb="0" eb="3">
      <t>チョウセイリツ</t>
    </rPh>
    <phoneticPr fontId="14"/>
  </si>
  <si>
    <t>調整後執行額④（②×③）</t>
    <rPh sb="0" eb="3">
      <t>チョウセイゴ</t>
    </rPh>
    <rPh sb="3" eb="5">
      <t>シッコウ</t>
    </rPh>
    <rPh sb="5" eb="6">
      <t>ガク</t>
    </rPh>
    <phoneticPr fontId="14"/>
  </si>
  <si>
    <t>不用額①－④</t>
    <rPh sb="0" eb="3">
      <t>フヨウガク</t>
    </rPh>
    <phoneticPr fontId="14"/>
  </si>
  <si>
    <r>
      <t>令和●年度  臨床研修費等補助金</t>
    </r>
    <r>
      <rPr>
        <sz val="20"/>
        <color rgb="FF3333FF"/>
        <rFont val="HGP創英角ｺﾞｼｯｸUB"/>
        <family val="3"/>
        <charset val="128"/>
      </rPr>
      <t xml:space="preserve"> 【歯科医師】 </t>
    </r>
    <r>
      <rPr>
        <sz val="20"/>
        <rFont val="HGP創英角ｺﾞｼｯｸUB"/>
        <family val="3"/>
        <charset val="128"/>
      </rPr>
      <t>総括表　転記シート</t>
    </r>
    <rPh sb="0" eb="1">
      <t>レイワ</t>
    </rPh>
    <rPh sb="3" eb="5">
      <t>ネンド</t>
    </rPh>
    <rPh sb="6" eb="8">
      <t>リンショウ</t>
    </rPh>
    <rPh sb="8" eb="10">
      <t>ケンシュウ</t>
    </rPh>
    <rPh sb="10" eb="12">
      <t>ヒナド</t>
    </rPh>
    <rPh sb="12" eb="15">
      <t>ホジョキン</t>
    </rPh>
    <rPh sb="17" eb="19">
      <t>シカ</t>
    </rPh>
    <rPh sb="19" eb="21">
      <t>イシ</t>
    </rPh>
    <rPh sb="23" eb="26">
      <t>ソウカツヒョウ</t>
    </rPh>
    <rPh sb="28" eb="30">
      <t>テンキ</t>
    </rPh>
    <phoneticPr fontId="14"/>
  </si>
  <si>
    <t xml:space="preserve">
別記②</t>
    <rPh sb="0" eb="1">
      <t>ベッキ</t>
    </rPh>
    <phoneticPr fontId="14"/>
  </si>
  <si>
    <t xml:space="preserve">
別記⑥</t>
    <phoneticPr fontId="14"/>
  </si>
  <si>
    <t xml:space="preserve">
別記⑦</t>
    <phoneticPr fontId="14"/>
  </si>
  <si>
    <t xml:space="preserve">
別記⑧</t>
    <phoneticPr fontId="14"/>
  </si>
  <si>
    <t>報　　　　告</t>
    <rPh sb="0" eb="1">
      <t>ホウ</t>
    </rPh>
    <rPh sb="5" eb="6">
      <t>コク</t>
    </rPh>
    <phoneticPr fontId="14"/>
  </si>
  <si>
    <t>報告</t>
    <rPh sb="0" eb="2">
      <t>ホウコク</t>
    </rPh>
    <phoneticPr fontId="14"/>
  </si>
  <si>
    <t>年月日</t>
    <rPh sb="0" eb="3">
      <t>ネンガッピ</t>
    </rPh>
    <phoneticPr fontId="14"/>
  </si>
  <si>
    <t>番号</t>
    <rPh sb="0" eb="2">
      <t>バンゴウ</t>
    </rPh>
    <phoneticPr fontId="14"/>
  </si>
  <si>
    <t>差し込み
年月日・発翰番号</t>
    <rPh sb="0" eb="1">
      <t>サ</t>
    </rPh>
    <rPh sb="2" eb="3">
      <t>コ</t>
    </rPh>
    <rPh sb="5" eb="8">
      <t>ネンガッピ</t>
    </rPh>
    <phoneticPr fontId="14"/>
  </si>
  <si>
    <t>対象経費の
支出済額</t>
    <rPh sb="8" eb="9">
      <t>ス</t>
    </rPh>
    <phoneticPr fontId="14"/>
  </si>
  <si>
    <t>国庫補助
受入済額</t>
    <rPh sb="0" eb="2">
      <t>コッコ</t>
    </rPh>
    <rPh sb="2" eb="4">
      <t>ホジョ</t>
    </rPh>
    <rPh sb="5" eb="7">
      <t>ウケイレ</t>
    </rPh>
    <rPh sb="7" eb="8">
      <t>ズミ</t>
    </rPh>
    <rPh sb="8" eb="9">
      <t>ガク</t>
    </rPh>
    <phoneticPr fontId="14"/>
  </si>
  <si>
    <t>交付確定額</t>
    <rPh sb="0" eb="2">
      <t>コウフ</t>
    </rPh>
    <rPh sb="2" eb="5">
      <t>カクテイガク</t>
    </rPh>
    <phoneticPr fontId="14"/>
  </si>
  <si>
    <t>国庫返納額</t>
    <rPh sb="0" eb="2">
      <t>コッコ</t>
    </rPh>
    <rPh sb="2" eb="4">
      <t>ヘンノウ</t>
    </rPh>
    <rPh sb="4" eb="5">
      <t>ガク</t>
    </rPh>
    <phoneticPr fontId="14"/>
  </si>
  <si>
    <t>※都道府県名から国庫返納額までを総括表に貼付</t>
    <rPh sb="1" eb="5">
      <t>トドウフケン</t>
    </rPh>
    <rPh sb="5" eb="6">
      <t>メイ</t>
    </rPh>
    <rPh sb="8" eb="10">
      <t>コッコ</t>
    </rPh>
    <rPh sb="10" eb="13">
      <t>ヘンノウガク</t>
    </rPh>
    <rPh sb="16" eb="18">
      <t>ソウカツ</t>
    </rPh>
    <rPh sb="18" eb="19">
      <t>ヒョウ</t>
    </rPh>
    <rPh sb="20" eb="21">
      <t>ハ</t>
    </rPh>
    <rPh sb="21" eb="22">
      <t>ツ</t>
    </rPh>
    <phoneticPr fontId="4"/>
  </si>
  <si>
    <t>＊　S：4,080円　A：3,400円　B：2,720円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</si>
</sst>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00000"/>
    <numFmt numFmtId="178" formatCode="#,##0;&quot;▲ &quot;#,##0"/>
    <numFmt numFmtId="179" formatCode="0.0%"/>
    <numFmt numFmtId="180" formatCode="#,##0_ ;[Red]\-#,##0\ "/>
    <numFmt numFmtId="181" formatCode="#,##0_);[Red]\(#,##0\)"/>
    <numFmt numFmtId="182" formatCode="#,##0.000000000_);[Red]\(#,##0.000000000\)"/>
    <numFmt numFmtId="183" formatCode="#,##0_ "/>
    <numFmt numFmtId="184" formatCode="&quot;0&quot;0"/>
  </numFmts>
  <fonts count="93">
    <font>
      <sz val="11"/>
      <name val="ＭＳ Ｐ明朝"/>
      <family val="1"/>
      <charset val="128"/>
    </font>
    <font>
      <sz val="11"/>
      <color theme="1"/>
      <name val="ＭＳ Ｐゴシック"/>
      <family val="2"/>
      <charset val="128"/>
      <scheme val="minor"/>
    </font>
    <font>
      <sz val="11"/>
      <name val="ＭＳ Ｐ明朝"/>
      <family val="1"/>
      <charset val="128"/>
    </font>
    <font>
      <sz val="14"/>
      <name val="ＭＳ 明朝"/>
      <family val="1"/>
      <charset val="128"/>
    </font>
    <font>
      <sz val="6"/>
      <name val="ＭＳ Ｐ明朝"/>
      <family val="1"/>
      <charset val="128"/>
    </font>
    <font>
      <sz val="6"/>
      <name val="ＭＳ ゴシック"/>
      <family val="3"/>
      <charset val="128"/>
    </font>
    <font>
      <sz val="11"/>
      <color theme="1"/>
      <name val="ＭＳ 明朝"/>
      <family val="1"/>
      <charset val="128"/>
    </font>
    <font>
      <sz val="10"/>
      <color theme="1"/>
      <name val="ＭＳ 明朝"/>
      <family val="1"/>
      <charset val="128"/>
    </font>
    <font>
      <strike/>
      <sz val="11"/>
      <color theme="1"/>
      <name val="ＭＳ 明朝"/>
      <family val="1"/>
      <charset val="128"/>
    </font>
    <font>
      <sz val="9"/>
      <color theme="1"/>
      <name val="ＭＳ 明朝"/>
      <family val="1"/>
      <charset val="128"/>
    </font>
    <font>
      <sz val="11"/>
      <color theme="1"/>
      <name val="ＭＳ Ｐ明朝"/>
      <family val="1"/>
      <charset val="128"/>
    </font>
    <font>
      <sz val="13"/>
      <name val="ＭＳ 明朝"/>
      <family val="1"/>
      <charset val="128"/>
    </font>
    <font>
      <sz val="14"/>
      <color theme="1"/>
      <name val="ＭＳ 明朝"/>
      <family val="1"/>
      <charset val="128"/>
    </font>
    <font>
      <sz val="8"/>
      <color theme="1"/>
      <name val="ＭＳ 明朝"/>
      <family val="1"/>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明朝"/>
      <family val="1"/>
      <charset val="128"/>
    </font>
    <font>
      <strike/>
      <sz val="11"/>
      <color theme="1"/>
      <name val="ＭＳ Ｐゴシック"/>
      <family val="3"/>
      <charset val="128"/>
    </font>
    <font>
      <sz val="12"/>
      <color theme="1"/>
      <name val="ＭＳ ゴシック"/>
      <family val="3"/>
      <charset val="128"/>
    </font>
    <font>
      <sz val="11"/>
      <color theme="1"/>
      <name val="ＭＳ Ｐゴシック"/>
      <family val="3"/>
      <charset val="128"/>
      <scheme val="minor"/>
    </font>
    <font>
      <sz val="12"/>
      <color theme="1"/>
      <name val="ＭＳ Ｐゴシック"/>
      <family val="3"/>
      <charset val="128"/>
      <scheme val="minor"/>
    </font>
    <font>
      <b/>
      <sz val="11"/>
      <color theme="1"/>
      <name val="ＭＳ 明朝"/>
      <family val="1"/>
      <charset val="128"/>
    </font>
    <font>
      <sz val="10"/>
      <color theme="1"/>
      <name val="ＭＳ Ｐ明朝"/>
      <family val="1"/>
      <charset val="128"/>
    </font>
    <font>
      <sz val="11"/>
      <name val="平成ゴシック"/>
      <family val="3"/>
      <charset val="128"/>
    </font>
    <font>
      <b/>
      <sz val="14"/>
      <color theme="1"/>
      <name val="ＭＳ 明朝"/>
      <family val="1"/>
      <charset val="128"/>
    </font>
    <font>
      <b/>
      <sz val="12"/>
      <color theme="1"/>
      <name val="ＭＳ Ｐゴシック"/>
      <family val="3"/>
      <charset val="128"/>
      <scheme val="minor"/>
    </font>
    <font>
      <b/>
      <sz val="8"/>
      <color theme="1"/>
      <name val="ＭＳ 明朝"/>
      <family val="1"/>
      <charset val="128"/>
    </font>
    <font>
      <strike/>
      <sz val="9"/>
      <color theme="1"/>
      <name val="ＭＳ 明朝"/>
      <family val="1"/>
      <charset val="128"/>
    </font>
    <font>
      <strike/>
      <sz val="11"/>
      <color theme="1"/>
      <name val="ＭＳ Ｐ明朝"/>
      <family val="1"/>
      <charset val="128"/>
    </font>
    <font>
      <sz val="12"/>
      <color theme="1"/>
      <name val="ＭＳ Ｐゴシック"/>
      <family val="3"/>
      <charset val="128"/>
    </font>
    <font>
      <sz val="12"/>
      <color theme="1"/>
      <name val="ＭＳ Ｐ明朝"/>
      <family val="1"/>
      <charset val="128"/>
    </font>
    <font>
      <b/>
      <sz val="12"/>
      <color theme="1"/>
      <name val="ＭＳ ゴシック"/>
      <family val="3"/>
      <charset val="128"/>
    </font>
    <font>
      <b/>
      <sz val="10"/>
      <color theme="1"/>
      <name val="ＭＳ 明朝"/>
      <family val="1"/>
      <charset val="128"/>
    </font>
    <font>
      <b/>
      <sz val="12"/>
      <color theme="1"/>
      <name val="ＭＳ 明朝"/>
      <family val="1"/>
      <charset val="128"/>
    </font>
    <font>
      <b/>
      <sz val="9"/>
      <color theme="1"/>
      <name val="ＭＳ 明朝"/>
      <family val="1"/>
      <charset val="128"/>
    </font>
    <font>
      <b/>
      <sz val="16"/>
      <color theme="1"/>
      <name val="ＭＳ 明朝"/>
      <family val="1"/>
      <charset val="128"/>
    </font>
    <font>
      <sz val="11"/>
      <color theme="0"/>
      <name val="ＭＳ Ｐ明朝"/>
      <family val="1"/>
      <charset val="128"/>
    </font>
    <font>
      <sz val="11"/>
      <name val="ＭＳ 明朝"/>
      <family val="1"/>
      <charset val="128"/>
    </font>
    <font>
      <sz val="12"/>
      <name val="ＭＳ 明朝"/>
      <family val="1"/>
      <charset val="128"/>
    </font>
    <font>
      <u/>
      <sz val="11"/>
      <color theme="1"/>
      <name val="ＭＳ Ｐゴシック"/>
      <family val="3"/>
      <charset val="128"/>
      <scheme val="minor"/>
    </font>
    <font>
      <sz val="14"/>
      <color theme="1"/>
      <name val="ＭＳ Ｐゴシック"/>
      <family val="3"/>
      <charset val="128"/>
      <scheme val="minor"/>
    </font>
    <font>
      <u/>
      <sz val="11"/>
      <color rgb="FFFF0000"/>
      <name val="ＭＳ 明朝"/>
      <family val="1"/>
      <charset val="128"/>
    </font>
    <font>
      <u/>
      <sz val="8"/>
      <color rgb="FFFF0000"/>
      <name val="ＭＳ 明朝"/>
      <family val="1"/>
      <charset val="128"/>
    </font>
    <font>
      <sz val="8"/>
      <name val="ＭＳ Ｐゴシック"/>
      <family val="3"/>
      <charset val="128"/>
    </font>
    <font>
      <sz val="9"/>
      <name val="ＭＳ Ｐゴシック"/>
      <family val="3"/>
      <charset val="128"/>
    </font>
    <font>
      <sz val="9"/>
      <name val="ＭＳ Ｐゴシック"/>
      <family val="3"/>
      <charset val="128"/>
      <scheme val="minor"/>
    </font>
    <font>
      <b/>
      <sz val="9"/>
      <color indexed="10"/>
      <name val="ＭＳ Ｐゴシック"/>
      <family val="3"/>
      <charset val="128"/>
      <scheme val="minor"/>
    </font>
    <font>
      <b/>
      <sz val="8"/>
      <color indexed="10"/>
      <name val="ＭＳ Ｐゴシック"/>
      <family val="3"/>
      <charset val="128"/>
      <scheme val="minor"/>
    </font>
    <font>
      <b/>
      <sz val="10"/>
      <color indexed="10"/>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8"/>
      <name val="ＭＳ Ｐゴシック"/>
      <family val="3"/>
      <charset val="128"/>
      <scheme val="minor"/>
    </font>
    <font>
      <sz val="8"/>
      <color indexed="8"/>
      <name val="ＭＳ ゴシック"/>
      <family val="3"/>
      <charset val="128"/>
    </font>
    <font>
      <sz val="8"/>
      <color indexed="18"/>
      <name val="ＭＳ Ｐゴシック"/>
      <family val="3"/>
      <charset val="128"/>
    </font>
    <font>
      <b/>
      <sz val="9"/>
      <color indexed="81"/>
      <name val="ＭＳ Ｐゴシック"/>
      <family val="3"/>
      <charset val="128"/>
    </font>
    <font>
      <i/>
      <sz val="20"/>
      <name val="HGP創英角ｺﾞｼｯｸUB"/>
      <family val="3"/>
      <charset val="128"/>
    </font>
    <font>
      <sz val="9"/>
      <color theme="1"/>
      <name val="ＭＳ Ｐゴシック"/>
      <family val="3"/>
      <charset val="128"/>
    </font>
    <font>
      <sz val="8"/>
      <color theme="1"/>
      <name val="ＭＳ Ｐゴシック"/>
      <family val="3"/>
      <charset val="128"/>
    </font>
    <font>
      <sz val="8"/>
      <color rgb="FFFF0000"/>
      <name val="ＭＳ Ｐゴシック"/>
      <family val="3"/>
      <charset val="128"/>
    </font>
    <font>
      <sz val="8"/>
      <color rgb="FFFF0000"/>
      <name val="ＭＳ Ｐゴシック"/>
      <family val="3"/>
      <charset val="128"/>
      <scheme val="major"/>
    </font>
    <font>
      <i/>
      <sz val="8"/>
      <color rgb="FFFF0000"/>
      <name val="ＭＳ Ｐゴシック"/>
      <family val="3"/>
      <charset val="128"/>
      <scheme val="major"/>
    </font>
    <font>
      <sz val="9"/>
      <color indexed="81"/>
      <name val="MS P ゴシック"/>
      <family val="3"/>
      <charset val="128"/>
    </font>
    <font>
      <b/>
      <sz val="9"/>
      <color indexed="81"/>
      <name val="MS P ゴシック"/>
      <family val="3"/>
      <charset val="128"/>
    </font>
    <font>
      <sz val="20"/>
      <name val="HGP創英角ｺﾞｼｯｸUB"/>
      <family val="3"/>
      <charset val="128"/>
    </font>
    <font>
      <sz val="20"/>
      <color rgb="FF3333FF"/>
      <name val="HGP創英角ｺﾞｼｯｸUB"/>
      <family val="3"/>
      <charset val="128"/>
    </font>
    <font>
      <sz val="6"/>
      <name val="ＭＳ Ｐゴシック"/>
      <family val="3"/>
      <charset val="128"/>
      <scheme val="minor"/>
    </font>
    <font>
      <sz val="6"/>
      <color theme="1"/>
      <name val="ＭＳ Ｐゴシック"/>
      <family val="3"/>
      <charset val="128"/>
    </font>
    <font>
      <sz val="9"/>
      <name val="ＭＳ 明朝"/>
      <family val="1"/>
      <charset val="128"/>
    </font>
    <font>
      <b/>
      <sz val="10"/>
      <color indexed="10"/>
      <name val="ＭＳ 明朝"/>
      <family val="1"/>
      <charset val="128"/>
    </font>
    <font>
      <sz val="10"/>
      <name val="ＭＳ 明朝"/>
      <family val="1"/>
      <charset val="128"/>
    </font>
    <font>
      <sz val="20"/>
      <name val="ＭＳ 明朝"/>
      <family val="1"/>
      <charset val="128"/>
    </font>
    <font>
      <b/>
      <sz val="9"/>
      <color indexed="10"/>
      <name val="ＭＳ Ｐ明朝"/>
      <family val="1"/>
      <charset val="128"/>
    </font>
    <font>
      <sz val="6"/>
      <color theme="1"/>
      <name val="ＭＳ 明朝"/>
      <family val="1"/>
      <charset val="128"/>
    </font>
    <font>
      <sz val="10"/>
      <name val="ＭＳ Ｐ明朝"/>
      <family val="1"/>
      <charset val="128"/>
    </font>
    <font>
      <sz val="8"/>
      <name val="ＭＳ 明朝"/>
      <family val="1"/>
      <charset val="128"/>
    </font>
    <font>
      <sz val="14"/>
      <color theme="1"/>
      <name val="ＭＳ Ｐゴシック"/>
      <family val="3"/>
      <charset val="128"/>
    </font>
    <font>
      <b/>
      <sz val="10"/>
      <color rgb="FF0000FF"/>
      <name val="ＭＳ 明朝"/>
      <family val="1"/>
      <charset val="128"/>
    </font>
    <font>
      <b/>
      <sz val="10"/>
      <color indexed="12"/>
      <name val="ＭＳ 明朝"/>
      <family val="1"/>
      <charset val="128"/>
    </font>
    <font>
      <b/>
      <sz val="10"/>
      <name val="ＭＳ 明朝"/>
      <family val="1"/>
      <charset val="128"/>
    </font>
    <font>
      <b/>
      <sz val="10"/>
      <color rgb="FF0070C0"/>
      <name val="ＭＳ 明朝"/>
      <family val="1"/>
      <charset val="128"/>
    </font>
    <font>
      <b/>
      <sz val="10"/>
      <color theme="4" tint="-0.249977111117893"/>
      <name val="ＭＳ 明朝"/>
      <family val="1"/>
      <charset val="128"/>
    </font>
    <font>
      <b/>
      <sz val="11"/>
      <color rgb="FF0000FF"/>
      <name val="ＭＳ Ｐ明朝"/>
      <family val="1"/>
      <charset val="128"/>
    </font>
    <font>
      <b/>
      <sz val="11"/>
      <name val="ＭＳ 明朝"/>
      <family val="1"/>
      <charset val="128"/>
    </font>
    <font>
      <sz val="10"/>
      <color rgb="FFFF0000"/>
      <name val="ＭＳ 明朝"/>
      <family val="1"/>
      <charset val="128"/>
    </font>
    <font>
      <sz val="12"/>
      <color rgb="FFFF0000"/>
      <name val="ＭＳ 明朝"/>
      <family val="1"/>
      <charset val="128"/>
    </font>
    <font>
      <sz val="6"/>
      <color rgb="FFFF0000"/>
      <name val="ＭＳ 明朝"/>
      <family val="1"/>
      <charset val="128"/>
    </font>
    <font>
      <sz val="6"/>
      <name val="ＭＳ 明朝"/>
      <family val="1"/>
      <charset val="128"/>
    </font>
    <font>
      <b/>
      <sz val="10"/>
      <color theme="3"/>
      <name val="ＭＳ 明朝"/>
      <family val="1"/>
      <charset val="128"/>
    </font>
    <font>
      <sz val="8"/>
      <name val="ＭＳ Ｐ明朝"/>
      <family val="1"/>
      <charset val="128"/>
    </font>
    <font>
      <sz val="9"/>
      <color rgb="FFFF0000"/>
      <name val="ＭＳ 明朝"/>
      <family val="1"/>
      <charset val="128"/>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1"/>
        <bgColor indexed="64"/>
      </patternFill>
    </fill>
    <fill>
      <patternFill patternType="solid">
        <fgColor theme="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66"/>
        <bgColor indexed="64"/>
      </patternFill>
    </fill>
    <fill>
      <patternFill patternType="solid">
        <fgColor indexed="65"/>
        <bgColor indexed="64"/>
      </patternFill>
    </fill>
    <fill>
      <patternFill patternType="solid">
        <fgColor rgb="FF00B0F0"/>
        <bgColor indexed="64"/>
      </patternFill>
    </fill>
    <fill>
      <patternFill patternType="solid">
        <fgColor rgb="FFFF0000"/>
        <bgColor indexed="64"/>
      </patternFill>
    </fill>
    <fill>
      <patternFill patternType="solid">
        <fgColor theme="1" tint="0.499984740745262"/>
        <bgColor indexed="64"/>
      </patternFill>
    </fill>
  </fills>
  <borders count="1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style="thin">
        <color indexed="64"/>
      </left>
      <right/>
      <top style="hair">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3">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5" fillId="0" borderId="0"/>
    <xf numFmtId="1" fontId="3" fillId="0" borderId="0"/>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0" fontId="25" fillId="0" borderId="0"/>
    <xf numFmtId="0" fontId="2" fillId="0" borderId="0"/>
    <xf numFmtId="0" fontId="25" fillId="0" borderId="0"/>
    <xf numFmtId="6" fontId="2" fillId="0" borderId="0" applyFont="0" applyFill="0" applyBorder="0" applyAlignment="0" applyProtection="0">
      <alignment vertical="center"/>
    </xf>
    <xf numFmtId="0" fontId="15" fillId="0" borderId="0"/>
  </cellStyleXfs>
  <cellXfs count="1483">
    <xf numFmtId="0" fontId="0" fillId="0" borderId="0" xfId="0"/>
    <xf numFmtId="0" fontId="6" fillId="0" borderId="0" xfId="0" applyFont="1"/>
    <xf numFmtId="0" fontId="6" fillId="0" borderId="8" xfId="0" applyFont="1" applyBorder="1"/>
    <xf numFmtId="0" fontId="8" fillId="0" borderId="13" xfId="0" applyFont="1" applyBorder="1" applyAlignment="1">
      <alignment horizontal="center"/>
    </xf>
    <xf numFmtId="0" fontId="8" fillId="0" borderId="13" xfId="0" applyFont="1" applyBorder="1" applyAlignment="1">
      <alignment horizontal="distributed"/>
    </xf>
    <xf numFmtId="0" fontId="8" fillId="0" borderId="13" xfId="0" applyFont="1" applyBorder="1"/>
    <xf numFmtId="38" fontId="8" fillId="0" borderId="13" xfId="1" applyFont="1" applyBorder="1" applyAlignment="1">
      <alignment horizontal="center"/>
    </xf>
    <xf numFmtId="38" fontId="6" fillId="0" borderId="13" xfId="1"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0" xfId="0" applyFont="1" applyAlignment="1">
      <alignment horizontal="centerContinuous"/>
    </xf>
    <xf numFmtId="0" fontId="6" fillId="0" borderId="0" xfId="0" applyFont="1" applyAlignment="1">
      <alignment vertical="center"/>
    </xf>
    <xf numFmtId="0" fontId="7" fillId="0" borderId="1"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xf>
    <xf numFmtId="0" fontId="6" fillId="0" borderId="4" xfId="0" applyFont="1" applyBorder="1"/>
    <xf numFmtId="0" fontId="7" fillId="0" borderId="0" xfId="0" applyFont="1" applyAlignment="1">
      <alignment horizontal="center"/>
    </xf>
    <xf numFmtId="0" fontId="7" fillId="0" borderId="0" xfId="0" applyFont="1"/>
    <xf numFmtId="0" fontId="7" fillId="0" borderId="11" xfId="0" applyFont="1" applyBorder="1" applyAlignment="1">
      <alignment horizontal="distributed" indent="2"/>
    </xf>
    <xf numFmtId="0" fontId="7" fillId="0" borderId="11" xfId="0" applyFont="1" applyBorder="1" applyAlignment="1">
      <alignment horizontal="center"/>
    </xf>
    <xf numFmtId="0" fontId="7" fillId="0" borderId="6"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7" xfId="0" applyFont="1" applyBorder="1"/>
    <xf numFmtId="57" fontId="7" fillId="0" borderId="8" xfId="0" applyNumberFormat="1" applyFont="1" applyBorder="1" applyAlignment="1">
      <alignment horizontal="center"/>
    </xf>
    <xf numFmtId="57" fontId="7" fillId="0" borderId="9" xfId="0" applyNumberFormat="1" applyFont="1" applyBorder="1" applyAlignment="1">
      <alignment horizontal="center"/>
    </xf>
    <xf numFmtId="0" fontId="7" fillId="0" borderId="9" xfId="0" applyFont="1" applyBorder="1" applyAlignment="1">
      <alignment horizontal="center"/>
    </xf>
    <xf numFmtId="0" fontId="6" fillId="0" borderId="10" xfId="0" applyFont="1" applyBorder="1" applyAlignment="1">
      <alignment vertical="center"/>
    </xf>
    <xf numFmtId="0" fontId="6" fillId="0" borderId="0" xfId="0" applyFont="1" applyAlignment="1">
      <alignment shrinkToFit="1"/>
    </xf>
    <xf numFmtId="0" fontId="13" fillId="0" borderId="0" xfId="0" applyFont="1" applyAlignment="1">
      <alignment horizontal="center" vertical="center" wrapText="1"/>
    </xf>
    <xf numFmtId="0" fontId="7" fillId="0" borderId="11" xfId="0" applyFont="1" applyBorder="1" applyAlignment="1">
      <alignment horizontal="center" shrinkToFit="1"/>
    </xf>
    <xf numFmtId="0" fontId="20" fillId="0" borderId="0" xfId="0" applyFont="1" applyAlignment="1">
      <alignment vertical="center"/>
    </xf>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distributed"/>
    </xf>
    <xf numFmtId="0" fontId="16" fillId="0" borderId="0" xfId="0" applyFont="1"/>
    <xf numFmtId="38" fontId="6" fillId="0" borderId="0" xfId="2" applyFont="1" applyFill="1" applyBorder="1" applyAlignment="1">
      <alignment horizontal="center"/>
    </xf>
    <xf numFmtId="0" fontId="6" fillId="0" borderId="10" xfId="0" applyFont="1" applyBorder="1" applyAlignment="1">
      <alignment horizontal="right"/>
    </xf>
    <xf numFmtId="0" fontId="6" fillId="0" borderId="8" xfId="0" applyFont="1" applyBorder="1" applyAlignment="1">
      <alignment shrinkToFit="1"/>
    </xf>
    <xf numFmtId="0" fontId="6" fillId="0" borderId="8" xfId="0" applyFont="1" applyBorder="1" applyAlignment="1">
      <alignment horizontal="center" shrinkToFit="1"/>
    </xf>
    <xf numFmtId="0" fontId="6" fillId="0" borderId="0" xfId="0" applyFont="1" applyAlignment="1">
      <alignment horizontal="center" shrinkToFit="1"/>
    </xf>
    <xf numFmtId="0" fontId="6" fillId="0" borderId="0" xfId="0" applyFont="1" applyAlignment="1">
      <alignment horizontal="right" vertical="center"/>
    </xf>
    <xf numFmtId="0" fontId="6" fillId="0" borderId="0" xfId="0" applyFont="1" applyAlignment="1">
      <alignment horizontal="center" vertical="center"/>
    </xf>
    <xf numFmtId="38" fontId="6" fillId="0" borderId="0" xfId="1" applyFont="1" applyBorder="1" applyAlignment="1" applyProtection="1">
      <alignment horizontal="center"/>
    </xf>
    <xf numFmtId="0" fontId="6" fillId="0" borderId="8" xfId="0" applyFont="1" applyBorder="1" applyAlignment="1">
      <alignment vertical="center"/>
    </xf>
    <xf numFmtId="0" fontId="9" fillId="0" borderId="83" xfId="0" applyFont="1" applyBorder="1" applyAlignment="1" applyProtection="1">
      <alignment horizontal="center"/>
      <protection locked="0"/>
    </xf>
    <xf numFmtId="0" fontId="6" fillId="0" borderId="55" xfId="0" applyFont="1" applyBorder="1"/>
    <xf numFmtId="0" fontId="10" fillId="0" borderId="8" xfId="0" applyFont="1" applyBorder="1" applyAlignment="1">
      <alignment vertical="center"/>
    </xf>
    <xf numFmtId="0" fontId="18" fillId="0" borderId="0" xfId="0" applyFont="1" applyAlignment="1">
      <alignment vertical="center"/>
    </xf>
    <xf numFmtId="0" fontId="6" fillId="0" borderId="13" xfId="0" applyFont="1" applyBorder="1"/>
    <xf numFmtId="0" fontId="16" fillId="0" borderId="0" xfId="0" applyFont="1" applyAlignment="1">
      <alignment vertical="center" wrapText="1"/>
    </xf>
    <xf numFmtId="178" fontId="16" fillId="0" borderId="0" xfId="0" applyNumberFormat="1" applyFont="1"/>
    <xf numFmtId="0" fontId="16" fillId="0" borderId="9" xfId="0" applyFont="1" applyBorder="1"/>
    <xf numFmtId="38" fontId="6" fillId="0" borderId="0" xfId="1" applyFont="1" applyFill="1" applyBorder="1" applyAlignment="1" applyProtection="1">
      <alignment horizontal="right"/>
    </xf>
    <xf numFmtId="0" fontId="16" fillId="0" borderId="4" xfId="0" applyFont="1" applyBorder="1"/>
    <xf numFmtId="0" fontId="16" fillId="0" borderId="13" xfId="0" applyFont="1" applyBorder="1"/>
    <xf numFmtId="0" fontId="16" fillId="0" borderId="12" xfId="0" applyFont="1" applyBorder="1"/>
    <xf numFmtId="0" fontId="6" fillId="0" borderId="12" xfId="0" applyFont="1" applyBorder="1"/>
    <xf numFmtId="0" fontId="6" fillId="0" borderId="4" xfId="0" applyFont="1" applyBorder="1" applyAlignment="1">
      <alignment horizontal="right"/>
    </xf>
    <xf numFmtId="38" fontId="6" fillId="0" borderId="0" xfId="1" applyFont="1" applyFill="1" applyBorder="1" applyAlignment="1"/>
    <xf numFmtId="38" fontId="6" fillId="0" borderId="0" xfId="2" applyFont="1" applyBorder="1" applyAlignment="1"/>
    <xf numFmtId="38" fontId="6" fillId="0" borderId="10" xfId="1" applyFont="1" applyFill="1" applyBorder="1" applyAlignment="1">
      <alignment horizontal="righ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5" xfId="0" applyFont="1" applyBorder="1"/>
    <xf numFmtId="38" fontId="6" fillId="0" borderId="0" xfId="1" applyFont="1" applyFill="1" applyBorder="1" applyAlignment="1">
      <alignment horizontal="left"/>
    </xf>
    <xf numFmtId="0" fontId="10" fillId="0" borderId="0" xfId="0" applyFont="1" applyAlignment="1">
      <alignment horizontal="left"/>
    </xf>
    <xf numFmtId="0" fontId="6" fillId="0" borderId="14" xfId="0" applyFont="1" applyBorder="1" applyAlignment="1">
      <alignment horizontal="center" vertical="center"/>
    </xf>
    <xf numFmtId="0" fontId="6" fillId="0" borderId="10" xfId="0" applyFont="1" applyBorder="1"/>
    <xf numFmtId="0" fontId="6" fillId="0" borderId="14" xfId="0" applyFont="1" applyBorder="1" applyAlignment="1">
      <alignment vertical="center"/>
    </xf>
    <xf numFmtId="0" fontId="6" fillId="0" borderId="15" xfId="0" applyFont="1" applyBorder="1" applyAlignment="1">
      <alignment vertical="center"/>
    </xf>
    <xf numFmtId="0" fontId="6" fillId="0" borderId="0" xfId="0" applyFont="1" applyAlignment="1">
      <alignment horizontal="left" vertical="top" wrapText="1"/>
    </xf>
    <xf numFmtId="0" fontId="6" fillId="0" borderId="1" xfId="0" applyFont="1" applyBorder="1"/>
    <xf numFmtId="0" fontId="6" fillId="0" borderId="2" xfId="0" applyFont="1" applyBorder="1"/>
    <xf numFmtId="0" fontId="6" fillId="0" borderId="3" xfId="0" applyFont="1" applyBorder="1"/>
    <xf numFmtId="0" fontId="6" fillId="2" borderId="0" xfId="0" applyFont="1" applyFill="1"/>
    <xf numFmtId="38" fontId="6" fillId="0" borderId="0" xfId="1" applyFont="1" applyFill="1" applyBorder="1" applyAlignment="1">
      <alignment horizontal="right"/>
    </xf>
    <xf numFmtId="38" fontId="6" fillId="0" borderId="0" xfId="1" applyFont="1" applyBorder="1" applyAlignment="1">
      <alignment horizontal="right"/>
    </xf>
    <xf numFmtId="38" fontId="6" fillId="0" borderId="13" xfId="1" applyFont="1" applyBorder="1" applyAlignment="1"/>
    <xf numFmtId="49" fontId="9" fillId="0" borderId="2" xfId="0" applyNumberFormat="1" applyFont="1" applyBorder="1" applyAlignment="1">
      <alignment wrapText="1"/>
    </xf>
    <xf numFmtId="49" fontId="9" fillId="0" borderId="0" xfId="0" applyNumberFormat="1" applyFont="1" applyAlignment="1">
      <alignment vertical="center" wrapText="1"/>
    </xf>
    <xf numFmtId="0" fontId="10" fillId="0" borderId="0" xfId="0" applyFont="1" applyAlignment="1">
      <alignment vertical="center" wrapText="1"/>
    </xf>
    <xf numFmtId="0" fontId="10" fillId="0" borderId="0" xfId="0" applyFont="1"/>
    <xf numFmtId="0" fontId="22" fillId="0" borderId="0" xfId="4" applyFont="1" applyAlignment="1">
      <alignment vertical="center"/>
    </xf>
    <xf numFmtId="0" fontId="22" fillId="0" borderId="13" xfId="4" applyFont="1" applyBorder="1" applyAlignment="1">
      <alignment vertical="center"/>
    </xf>
    <xf numFmtId="0" fontId="22" fillId="0" borderId="3" xfId="4" applyFont="1" applyBorder="1" applyAlignment="1">
      <alignment vertical="center"/>
    </xf>
    <xf numFmtId="0" fontId="22" fillId="0" borderId="7" xfId="4" applyFont="1" applyBorder="1" applyAlignment="1">
      <alignment vertical="center"/>
    </xf>
    <xf numFmtId="0" fontId="22" fillId="0" borderId="9" xfId="4" applyFont="1" applyBorder="1" applyAlignment="1">
      <alignment vertical="center"/>
    </xf>
    <xf numFmtId="0" fontId="22" fillId="0" borderId="7" xfId="4" applyFont="1" applyBorder="1" applyAlignment="1">
      <alignment horizontal="center" vertical="center"/>
    </xf>
    <xf numFmtId="0" fontId="22" fillId="0" borderId="9"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vertical="center"/>
    </xf>
    <xf numFmtId="0" fontId="22" fillId="0" borderId="12" xfId="4" applyFont="1" applyBorder="1" applyAlignment="1">
      <alignment horizontal="center" vertical="center"/>
    </xf>
    <xf numFmtId="0" fontId="22" fillId="0" borderId="5" xfId="4" applyFont="1" applyBorder="1" applyAlignment="1">
      <alignment horizontal="center" vertical="center"/>
    </xf>
    <xf numFmtId="0" fontId="22" fillId="0" borderId="12" xfId="4" applyFont="1" applyBorder="1" applyAlignment="1">
      <alignment vertical="center"/>
    </xf>
    <xf numFmtId="0" fontId="22" fillId="0" borderId="9" xfId="4" applyFont="1" applyBorder="1" applyAlignment="1">
      <alignment horizontal="right" vertical="center"/>
    </xf>
    <xf numFmtId="0" fontId="22" fillId="0" borderId="7" xfId="4" applyFont="1" applyBorder="1" applyAlignment="1">
      <alignment horizontal="right" vertical="center"/>
    </xf>
    <xf numFmtId="0" fontId="22" fillId="0" borderId="0" xfId="0" applyFont="1" applyAlignment="1">
      <alignment vertical="center"/>
    </xf>
    <xf numFmtId="0" fontId="9" fillId="0" borderId="0" xfId="0" applyFont="1"/>
    <xf numFmtId="0" fontId="6" fillId="0" borderId="14" xfId="0" applyFont="1" applyBorder="1"/>
    <xf numFmtId="0" fontId="13" fillId="0" borderId="15" xfId="0" applyFont="1" applyBorder="1"/>
    <xf numFmtId="0" fontId="13" fillId="0" borderId="10" xfId="0" applyFont="1" applyBorder="1"/>
    <xf numFmtId="0" fontId="13" fillId="0" borderId="14" xfId="0" applyFont="1" applyBorder="1"/>
    <xf numFmtId="176" fontId="6" fillId="0" borderId="14" xfId="1" applyNumberFormat="1" applyFont="1" applyFill="1" applyBorder="1" applyAlignment="1"/>
    <xf numFmtId="0" fontId="6" fillId="0" borderId="2" xfId="0" applyFont="1" applyBorder="1" applyAlignment="1">
      <alignment horizontal="center"/>
    </xf>
    <xf numFmtId="38" fontId="6" fillId="0" borderId="2" xfId="0" applyNumberFormat="1" applyFont="1" applyBorder="1"/>
    <xf numFmtId="176" fontId="6" fillId="0" borderId="10" xfId="0" applyNumberFormat="1" applyFont="1" applyBorder="1" applyAlignment="1">
      <alignment horizontal="center"/>
    </xf>
    <xf numFmtId="38" fontId="6" fillId="0" borderId="0" xfId="0" applyNumberFormat="1" applyFont="1"/>
    <xf numFmtId="0" fontId="7" fillId="0" borderId="14" xfId="0" applyFont="1" applyBorder="1"/>
    <xf numFmtId="179" fontId="6" fillId="0" borderId="0" xfId="1" applyNumberFormat="1" applyFont="1" applyFill="1" applyBorder="1" applyAlignment="1"/>
    <xf numFmtId="179" fontId="6" fillId="0" borderId="0" xfId="0" applyNumberFormat="1" applyFont="1"/>
    <xf numFmtId="38" fontId="6" fillId="0" borderId="2" xfId="1" applyFont="1" applyFill="1" applyBorder="1" applyAlignment="1">
      <alignment horizontal="right"/>
    </xf>
    <xf numFmtId="0" fontId="6" fillId="0" borderId="3" xfId="0" applyFont="1" applyBorder="1" applyAlignment="1">
      <alignment horizontal="right"/>
    </xf>
    <xf numFmtId="0" fontId="6" fillId="0" borderId="2" xfId="0" applyFont="1" applyBorder="1" applyAlignment="1">
      <alignment horizontal="left"/>
    </xf>
    <xf numFmtId="38" fontId="6" fillId="0" borderId="82" xfId="1" applyFont="1" applyFill="1" applyBorder="1" applyAlignment="1">
      <alignment horizontal="right"/>
    </xf>
    <xf numFmtId="0" fontId="6" fillId="0" borderId="59" xfId="0" applyFont="1" applyBorder="1" applyAlignment="1">
      <alignment horizontal="right"/>
    </xf>
    <xf numFmtId="0" fontId="6" fillId="0" borderId="82" xfId="0" applyFont="1" applyBorder="1" applyAlignment="1">
      <alignment horizontal="left"/>
    </xf>
    <xf numFmtId="0" fontId="9" fillId="0" borderId="2" xfId="0" applyFont="1" applyBorder="1"/>
    <xf numFmtId="0" fontId="6" fillId="0" borderId="9" xfId="0" applyFont="1" applyBorder="1" applyAlignment="1">
      <alignment horizontal="center"/>
    </xf>
    <xf numFmtId="0" fontId="6" fillId="0" borderId="14" xfId="0" applyFont="1" applyBorder="1" applyAlignment="1">
      <alignment horizontal="center"/>
    </xf>
    <xf numFmtId="38" fontId="6" fillId="0" borderId="0" xfId="1" applyFont="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16" fillId="0" borderId="0" xfId="4" applyFont="1"/>
    <xf numFmtId="0" fontId="16" fillId="0" borderId="0" xfId="8" applyFont="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vertical="center"/>
    </xf>
    <xf numFmtId="57" fontId="7" fillId="0" borderId="8" xfId="0" applyNumberFormat="1" applyFont="1" applyBorder="1" applyAlignment="1">
      <alignment horizontal="center" vertical="center"/>
    </xf>
    <xf numFmtId="57" fontId="7" fillId="0" borderId="9" xfId="0" applyNumberFormat="1" applyFont="1" applyBorder="1" applyAlignment="1">
      <alignment horizontal="center" vertical="center"/>
    </xf>
    <xf numFmtId="0" fontId="7" fillId="0" borderId="9" xfId="0" applyFont="1" applyBorder="1" applyAlignment="1">
      <alignment horizontal="center" vertical="center"/>
    </xf>
    <xf numFmtId="0" fontId="26" fillId="0" borderId="0" xfId="0" applyFont="1" applyAlignment="1">
      <alignment vertical="center"/>
    </xf>
    <xf numFmtId="0" fontId="27" fillId="0" borderId="0" xfId="0" applyFont="1"/>
    <xf numFmtId="0" fontId="27" fillId="0" borderId="0" xfId="0" applyFont="1" applyAlignment="1">
      <alignment vertical="center"/>
    </xf>
    <xf numFmtId="0" fontId="26" fillId="0" borderId="0" xfId="0" applyFont="1"/>
    <xf numFmtId="0" fontId="21" fillId="0" borderId="0" xfId="4" applyFont="1"/>
    <xf numFmtId="0" fontId="21" fillId="0" borderId="0" xfId="8" applyFont="1" applyAlignment="1">
      <alignment horizontal="left" vertical="center"/>
    </xf>
    <xf numFmtId="0" fontId="21" fillId="0" borderId="0" xfId="8" applyFont="1"/>
    <xf numFmtId="0" fontId="21" fillId="0" borderId="0" xfId="9" applyFont="1"/>
    <xf numFmtId="0" fontId="16" fillId="0" borderId="0" xfId="8" applyFont="1"/>
    <xf numFmtId="0" fontId="16" fillId="0" borderId="0" xfId="9" applyFont="1"/>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6" fillId="0" borderId="0" xfId="2" applyFont="1" applyBorder="1" applyAlignment="1">
      <alignment horizontal="center"/>
    </xf>
    <xf numFmtId="0" fontId="6" fillId="0" borderId="0" xfId="0" applyFont="1" applyAlignment="1">
      <alignment horizontal="left"/>
    </xf>
    <xf numFmtId="0" fontId="24" fillId="0" borderId="0" xfId="0" applyFont="1" applyAlignment="1">
      <alignment horizontal="left" wrapText="1"/>
    </xf>
    <xf numFmtId="0" fontId="6" fillId="0" borderId="15" xfId="0" applyFont="1" applyBorder="1" applyAlignment="1">
      <alignment horizontal="center"/>
    </xf>
    <xf numFmtId="0" fontId="6" fillId="0" borderId="10" xfId="0" applyFont="1" applyBorder="1" applyAlignment="1">
      <alignment horizontal="center"/>
    </xf>
    <xf numFmtId="38" fontId="6" fillId="0" borderId="0" xfId="1" applyFont="1" applyBorder="1" applyAlignment="1" applyProtection="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38" fontId="23" fillId="0" borderId="0" xfId="1" applyFont="1" applyBorder="1" applyAlignment="1" applyProtection="1">
      <alignment horizontal="center"/>
    </xf>
    <xf numFmtId="38" fontId="6" fillId="0" borderId="0" xfId="1" applyFont="1" applyBorder="1" applyAlignment="1"/>
    <xf numFmtId="38" fontId="6" fillId="0" borderId="0" xfId="1" applyFont="1" applyFill="1" applyBorder="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2" fillId="0" borderId="0" xfId="0" applyFont="1" applyAlignment="1">
      <alignment horizontal="center"/>
    </xf>
    <xf numFmtId="0" fontId="6" fillId="0" borderId="14" xfId="0" applyFont="1" applyBorder="1" applyAlignment="1">
      <alignment horizontal="right" vertical="center"/>
    </xf>
    <xf numFmtId="38" fontId="6" fillId="0" borderId="0" xfId="1" applyFont="1" applyBorder="1" applyAlignment="1">
      <alignment horizontal="center"/>
    </xf>
    <xf numFmtId="0" fontId="7" fillId="0" borderId="5" xfId="0" applyFont="1" applyBorder="1"/>
    <xf numFmtId="0" fontId="6" fillId="0" borderId="11" xfId="0" applyFont="1" applyBorder="1" applyAlignment="1" applyProtection="1">
      <alignment horizontal="center" vertical="center"/>
      <protection locked="0"/>
    </xf>
    <xf numFmtId="38" fontId="6" fillId="0" borderId="15" xfId="1" applyFont="1" applyFill="1" applyBorder="1" applyAlignment="1" applyProtection="1">
      <alignment horizontal="right"/>
    </xf>
    <xf numFmtId="0" fontId="6" fillId="0" borderId="15" xfId="0" applyFont="1" applyBorder="1" applyAlignment="1">
      <alignment horizontal="right"/>
    </xf>
    <xf numFmtId="38" fontId="6" fillId="0" borderId="10" xfId="1" applyFont="1" applyFill="1" applyBorder="1" applyAlignment="1" applyProtection="1">
      <alignment horizontal="right"/>
    </xf>
    <xf numFmtId="38" fontId="6" fillId="0" borderId="15" xfId="1" applyFont="1" applyFill="1" applyBorder="1" applyAlignment="1" applyProtection="1">
      <alignment horizontal="left"/>
    </xf>
    <xf numFmtId="0" fontId="23" fillId="0" borderId="14" xfId="0" applyFont="1" applyBorder="1" applyAlignment="1">
      <alignment horizontal="center"/>
    </xf>
    <xf numFmtId="0" fontId="17" fillId="0" borderId="0" xfId="0" applyFont="1"/>
    <xf numFmtId="0" fontId="6" fillId="0" borderId="0" xfId="0" applyFont="1" applyAlignment="1">
      <alignment horizontal="center" wrapText="1"/>
    </xf>
    <xf numFmtId="0" fontId="6" fillId="0" borderId="11" xfId="0" applyFont="1" applyBorder="1"/>
    <xf numFmtId="0" fontId="6" fillId="0" borderId="37" xfId="0" applyFont="1" applyBorder="1" applyAlignment="1">
      <alignment horizontal="right"/>
    </xf>
    <xf numFmtId="0" fontId="6" fillId="0" borderId="40" xfId="0" applyFont="1" applyBorder="1"/>
    <xf numFmtId="0" fontId="6" fillId="0" borderId="41" xfId="0" applyFont="1" applyBorder="1"/>
    <xf numFmtId="0" fontId="6" fillId="0" borderId="45" xfId="0" applyFont="1" applyBorder="1" applyAlignment="1">
      <alignment horizontal="right"/>
    </xf>
    <xf numFmtId="0" fontId="6" fillId="0" borderId="48" xfId="0" applyFont="1" applyBorder="1"/>
    <xf numFmtId="0" fontId="6" fillId="0" borderId="11" xfId="0" applyFont="1" applyBorder="1" applyProtection="1">
      <protection locked="0"/>
    </xf>
    <xf numFmtId="0" fontId="23" fillId="0" borderId="0" xfId="0" applyFont="1"/>
    <xf numFmtId="38" fontId="23" fillId="0" borderId="0" xfId="1" applyFont="1" applyBorder="1" applyAlignment="1" applyProtection="1"/>
    <xf numFmtId="176" fontId="23" fillId="0" borderId="0" xfId="0" applyNumberFormat="1" applyFont="1" applyAlignment="1">
      <alignment shrinkToFit="1"/>
    </xf>
    <xf numFmtId="176" fontId="6" fillId="0" borderId="0" xfId="0" applyNumberFormat="1" applyFont="1" applyAlignment="1">
      <alignment shrinkToFit="1"/>
    </xf>
    <xf numFmtId="38" fontId="23" fillId="0" borderId="0" xfId="1" applyFont="1" applyFill="1" applyBorder="1" applyAlignment="1" applyProtection="1"/>
    <xf numFmtId="0" fontId="6" fillId="0" borderId="8" xfId="0" applyFont="1" applyBorder="1" applyAlignment="1">
      <alignment horizontal="right" vertical="center"/>
    </xf>
    <xf numFmtId="0" fontId="6" fillId="0" borderId="9" xfId="0" applyFont="1" applyBorder="1" applyAlignment="1">
      <alignment vertical="center"/>
    </xf>
    <xf numFmtId="0" fontId="13" fillId="0" borderId="8" xfId="0" applyFont="1" applyBorder="1" applyAlignment="1">
      <alignment wrapText="1"/>
    </xf>
    <xf numFmtId="0" fontId="13" fillId="0" borderId="0" xfId="0" applyFont="1" applyAlignment="1">
      <alignment wrapText="1"/>
    </xf>
    <xf numFmtId="0" fontId="6" fillId="0" borderId="49" xfId="0" applyFont="1" applyBorder="1" applyAlignment="1" applyProtection="1">
      <alignment horizontal="center"/>
      <protection locked="0"/>
    </xf>
    <xf numFmtId="38" fontId="6" fillId="0" borderId="0" xfId="7" applyFont="1" applyFill="1" applyBorder="1" applyAlignment="1" applyProtection="1"/>
    <xf numFmtId="0" fontId="6" fillId="0" borderId="18" xfId="0" applyFont="1" applyBorder="1" applyAlignment="1" applyProtection="1">
      <alignment horizontal="center"/>
      <protection locked="0"/>
    </xf>
    <xf numFmtId="0" fontId="18" fillId="0" borderId="0" xfId="0" applyFont="1"/>
    <xf numFmtId="0" fontId="8" fillId="0" borderId="0" xfId="0" applyFont="1"/>
    <xf numFmtId="0" fontId="6" fillId="0" borderId="83" xfId="0" applyFont="1" applyBorder="1" applyAlignment="1" applyProtection="1">
      <alignment horizontal="center"/>
      <protection locked="0"/>
    </xf>
    <xf numFmtId="38" fontId="6" fillId="0" borderId="0" xfId="1" applyFont="1" applyBorder="1" applyAlignment="1" applyProtection="1"/>
    <xf numFmtId="0" fontId="9" fillId="0" borderId="0" xfId="0" applyFont="1" applyAlignment="1">
      <alignment horizontal="left" vertical="center"/>
    </xf>
    <xf numFmtId="38" fontId="6" fillId="0" borderId="0" xfId="1" applyFont="1" applyFill="1" applyBorder="1" applyAlignment="1" applyProtection="1"/>
    <xf numFmtId="0" fontId="9" fillId="0" borderId="0" xfId="0" applyFont="1" applyAlignment="1">
      <alignment horizontal="left" vertical="center" wrapText="1"/>
    </xf>
    <xf numFmtId="0" fontId="23" fillId="0" borderId="0" xfId="0" applyFont="1" applyAlignment="1">
      <alignment horizontal="center" vertical="center"/>
    </xf>
    <xf numFmtId="38" fontId="23" fillId="0" borderId="0" xfId="1" applyFont="1" applyFill="1" applyBorder="1" applyAlignment="1" applyProtection="1">
      <alignment vertical="center"/>
    </xf>
    <xf numFmtId="0" fontId="9" fillId="0" borderId="0" xfId="0" applyFont="1" applyAlignment="1">
      <alignment vertical="center" wrapText="1"/>
    </xf>
    <xf numFmtId="0" fontId="6" fillId="0" borderId="50" xfId="0" applyFont="1" applyBorder="1"/>
    <xf numFmtId="0" fontId="6" fillId="0" borderId="51" xfId="0" applyFont="1" applyBorder="1"/>
    <xf numFmtId="0" fontId="6" fillId="0" borderId="52" xfId="0" applyFont="1" applyBorder="1"/>
    <xf numFmtId="38" fontId="6" fillId="0" borderId="0" xfId="0" applyNumberFormat="1" applyFont="1" applyAlignment="1">
      <alignment shrinkToFit="1"/>
    </xf>
    <xf numFmtId="49" fontId="9" fillId="0" borderId="0" xfId="0" applyNumberFormat="1" applyFont="1"/>
    <xf numFmtId="49" fontId="29" fillId="0" borderId="0" xfId="0" applyNumberFormat="1" applyFont="1" applyAlignment="1">
      <alignment wrapText="1"/>
    </xf>
    <xf numFmtId="0" fontId="30" fillId="0" borderId="0" xfId="0" applyFont="1" applyAlignment="1">
      <alignment wrapText="1"/>
    </xf>
    <xf numFmtId="0" fontId="31" fillId="0" borderId="0" xfId="0" applyFont="1" applyAlignment="1">
      <alignment vertical="center"/>
    </xf>
    <xf numFmtId="0" fontId="31" fillId="0" borderId="0" xfId="0" applyFont="1" applyAlignment="1">
      <alignment horizontal="right" vertical="center"/>
    </xf>
    <xf numFmtId="0" fontId="33" fillId="0" borderId="65" xfId="0" applyFont="1" applyBorder="1" applyAlignment="1">
      <alignment vertical="center" wrapText="1"/>
    </xf>
    <xf numFmtId="0" fontId="33" fillId="0" borderId="76" xfId="0" applyFont="1" applyBorder="1" applyAlignment="1">
      <alignment horizontal="center" vertical="center" wrapText="1"/>
    </xf>
    <xf numFmtId="178" fontId="20" fillId="0" borderId="77" xfId="0" applyNumberFormat="1" applyFont="1" applyBorder="1" applyAlignment="1" applyProtection="1">
      <alignment horizontal="left" vertical="center" wrapText="1"/>
      <protection locked="0"/>
    </xf>
    <xf numFmtId="178" fontId="20" fillId="0" borderId="76" xfId="1" applyNumberFormat="1" applyFont="1" applyFill="1" applyBorder="1" applyAlignment="1" applyProtection="1">
      <alignment horizontal="right" vertical="center" wrapText="1"/>
      <protection locked="0"/>
    </xf>
    <xf numFmtId="178" fontId="20" fillId="0" borderId="80" xfId="1" applyNumberFormat="1" applyFont="1" applyFill="1" applyBorder="1" applyAlignment="1" applyProtection="1">
      <alignment horizontal="center" vertical="center" wrapText="1"/>
      <protection locked="0"/>
    </xf>
    <xf numFmtId="178" fontId="31" fillId="0" borderId="77" xfId="1" applyNumberFormat="1" applyFont="1" applyFill="1" applyBorder="1" applyAlignment="1" applyProtection="1">
      <alignment horizontal="right" vertical="center"/>
      <protection locked="0"/>
    </xf>
    <xf numFmtId="178" fontId="31" fillId="0" borderId="78" xfId="0" applyNumberFormat="1" applyFont="1" applyBorder="1" applyAlignment="1" applyProtection="1">
      <alignment horizontal="right" vertical="center"/>
      <protection locked="0"/>
    </xf>
    <xf numFmtId="178" fontId="31" fillId="0" borderId="76" xfId="0" applyNumberFormat="1" applyFont="1" applyBorder="1" applyAlignment="1">
      <alignment horizontal="right" vertical="center"/>
    </xf>
    <xf numFmtId="178" fontId="31" fillId="0" borderId="79" xfId="0" applyNumberFormat="1" applyFont="1" applyBorder="1" applyAlignment="1" applyProtection="1">
      <alignment vertical="center"/>
      <protection locked="0"/>
    </xf>
    <xf numFmtId="178" fontId="31" fillId="0" borderId="0" xfId="0" applyNumberFormat="1" applyFont="1" applyAlignment="1">
      <alignment vertical="center"/>
    </xf>
    <xf numFmtId="178" fontId="20" fillId="0" borderId="0" xfId="0" applyNumberFormat="1" applyFont="1" applyAlignment="1">
      <alignment horizontal="left" vertical="center" wrapText="1"/>
    </xf>
    <xf numFmtId="178" fontId="20" fillId="0" borderId="0" xfId="1" applyNumberFormat="1" applyFont="1" applyFill="1" applyBorder="1" applyAlignment="1">
      <alignment horizontal="left" vertical="center" wrapText="1"/>
    </xf>
    <xf numFmtId="178" fontId="31" fillId="0" borderId="0" xfId="1" applyNumberFormat="1" applyFont="1" applyFill="1" applyBorder="1" applyAlignment="1">
      <alignment horizontal="right" vertical="center"/>
    </xf>
    <xf numFmtId="178" fontId="31" fillId="0" borderId="0" xfId="0" applyNumberFormat="1" applyFont="1" applyAlignment="1">
      <alignment horizontal="left" vertical="center"/>
    </xf>
    <xf numFmtId="178" fontId="31" fillId="0" borderId="0" xfId="0" applyNumberFormat="1" applyFont="1" applyAlignment="1">
      <alignment horizontal="right" vertical="center"/>
    </xf>
    <xf numFmtId="178" fontId="20" fillId="0" borderId="0" xfId="0" applyNumberFormat="1" applyFont="1" applyAlignment="1">
      <alignment horizontal="left" vertical="center"/>
    </xf>
    <xf numFmtId="178" fontId="31" fillId="0" borderId="0" xfId="0" applyNumberFormat="1" applyFont="1" applyAlignment="1">
      <alignment horizontal="left" vertical="center" wrapText="1"/>
    </xf>
    <xf numFmtId="38" fontId="20"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Font="1" applyAlignment="1">
      <alignment horizontal="left" vertical="center"/>
    </xf>
    <xf numFmtId="56" fontId="7" fillId="0" borderId="8" xfId="0" applyNumberFormat="1" applyFont="1" applyBorder="1" applyAlignment="1">
      <alignment horizontal="center"/>
    </xf>
    <xf numFmtId="56" fontId="7" fillId="0" borderId="9" xfId="0" applyNumberFormat="1" applyFont="1" applyBorder="1" applyAlignment="1">
      <alignment horizontal="center"/>
    </xf>
    <xf numFmtId="0" fontId="7" fillId="0" borderId="60" xfId="0" applyFont="1" applyBorder="1"/>
    <xf numFmtId="0" fontId="7" fillId="0" borderId="61" xfId="0" applyFont="1" applyBorder="1"/>
    <xf numFmtId="0" fontId="7" fillId="0" borderId="62" xfId="0" applyFont="1" applyBorder="1" applyAlignment="1">
      <alignment horizontal="center"/>
    </xf>
    <xf numFmtId="0" fontId="7" fillId="0" borderId="62" xfId="0" applyFont="1" applyBorder="1"/>
    <xf numFmtId="0" fontId="7" fillId="0" borderId="63" xfId="0" applyFont="1" applyBorder="1" applyAlignment="1">
      <alignment horizontal="center"/>
    </xf>
    <xf numFmtId="0" fontId="34" fillId="0" borderId="64" xfId="0" applyFont="1" applyBorder="1" applyAlignment="1">
      <alignment horizontal="center"/>
    </xf>
    <xf numFmtId="0" fontId="6" fillId="0" borderId="0" xfId="3" applyFont="1"/>
    <xf numFmtId="0" fontId="6" fillId="0" borderId="0" xfId="3" applyFont="1" applyAlignment="1">
      <alignment horizontal="centerContinuous"/>
    </xf>
    <xf numFmtId="0" fontId="36" fillId="0" borderId="0" xfId="3" applyFont="1" applyAlignment="1">
      <alignment wrapText="1"/>
    </xf>
    <xf numFmtId="49" fontId="13" fillId="0" borderId="6" xfId="0" applyNumberFormat="1" applyFont="1" applyBorder="1" applyAlignment="1">
      <alignment horizontal="center" vertical="center" wrapText="1"/>
    </xf>
    <xf numFmtId="0" fontId="7" fillId="0" borderId="14" xfId="0" applyFont="1" applyBorder="1" applyAlignment="1">
      <alignment horizontal="left" vertical="top" wrapText="1"/>
    </xf>
    <xf numFmtId="0" fontId="7" fillId="0" borderId="0" xfId="3" applyFont="1"/>
    <xf numFmtId="0" fontId="17" fillId="0" borderId="0" xfId="0" applyFont="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top"/>
    </xf>
    <xf numFmtId="0" fontId="7" fillId="0" borderId="12" xfId="0" applyFont="1" applyBorder="1" applyAlignment="1">
      <alignment vertical="center"/>
    </xf>
    <xf numFmtId="38" fontId="6" fillId="0" borderId="0" xfId="2" applyFont="1" applyFill="1" applyBorder="1" applyAlignment="1"/>
    <xf numFmtId="0" fontId="9" fillId="2" borderId="11" xfId="0" applyFont="1" applyFill="1" applyBorder="1" applyAlignment="1">
      <alignment horizontal="center" vertical="center"/>
    </xf>
    <xf numFmtId="0" fontId="13" fillId="0" borderId="0" xfId="0" applyFont="1" applyAlignment="1">
      <alignment shrinkToFit="1"/>
    </xf>
    <xf numFmtId="0" fontId="10" fillId="0" borderId="84" xfId="0" applyFont="1" applyBorder="1"/>
    <xf numFmtId="0" fontId="10" fillId="0" borderId="18" xfId="0" applyFont="1" applyBorder="1"/>
    <xf numFmtId="0" fontId="16" fillId="0" borderId="0" xfId="8" applyFont="1" applyAlignment="1">
      <alignment horizontal="right"/>
    </xf>
    <xf numFmtId="0" fontId="16" fillId="0" borderId="0" xfId="4" applyFont="1" applyAlignment="1">
      <alignment horizontal="right"/>
    </xf>
    <xf numFmtId="0" fontId="16" fillId="0" borderId="0" xfId="4" applyFont="1" applyAlignment="1">
      <alignment horizontal="left"/>
    </xf>
    <xf numFmtId="0" fontId="21" fillId="0" borderId="0" xfId="8" applyFont="1" applyAlignment="1">
      <alignment horizontal="right"/>
    </xf>
    <xf numFmtId="0" fontId="21" fillId="0" borderId="0" xfId="4" applyFont="1" applyAlignment="1">
      <alignment horizontal="right"/>
    </xf>
    <xf numFmtId="0" fontId="21" fillId="0" borderId="0" xfId="4" applyFont="1" applyAlignment="1">
      <alignment horizontal="left"/>
    </xf>
    <xf numFmtId="0" fontId="21" fillId="0" borderId="0" xfId="0" applyFont="1"/>
    <xf numFmtId="38" fontId="6" fillId="0" borderId="0" xfId="1" applyFont="1" applyBorder="1" applyAlignment="1">
      <alignment horizontal="left"/>
    </xf>
    <xf numFmtId="0" fontId="7" fillId="0" borderId="5" xfId="0" applyFont="1" applyBorder="1" applyAlignment="1">
      <alignment vertical="center"/>
    </xf>
    <xf numFmtId="0" fontId="23" fillId="0" borderId="0" xfId="0" applyFont="1" applyAlignment="1">
      <alignment shrinkToFit="1"/>
    </xf>
    <xf numFmtId="0" fontId="31" fillId="0" borderId="0" xfId="0" applyFont="1"/>
    <xf numFmtId="0" fontId="31" fillId="0" borderId="0" xfId="0" applyFont="1" applyAlignment="1">
      <alignment horizontal="right"/>
    </xf>
    <xf numFmtId="0" fontId="20" fillId="0" borderId="0" xfId="0" applyFont="1"/>
    <xf numFmtId="178" fontId="31" fillId="0" borderId="79" xfId="0" applyNumberFormat="1" applyFont="1" applyBorder="1" applyProtection="1">
      <protection locked="0"/>
    </xf>
    <xf numFmtId="178" fontId="31" fillId="0" borderId="0" xfId="0" applyNumberFormat="1" applyFont="1"/>
    <xf numFmtId="56" fontId="7" fillId="0" borderId="8" xfId="0" applyNumberFormat="1" applyFont="1" applyBorder="1" applyAlignment="1">
      <alignment horizontal="center" vertical="center"/>
    </xf>
    <xf numFmtId="56" fontId="7" fillId="0" borderId="9" xfId="0" applyNumberFormat="1" applyFont="1" applyBorder="1" applyAlignment="1">
      <alignment horizontal="center"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horizontal="center" vertical="center"/>
    </xf>
    <xf numFmtId="0" fontId="7" fillId="0" borderId="62" xfId="0" applyFont="1" applyBorder="1" applyAlignment="1">
      <alignment vertical="center"/>
    </xf>
    <xf numFmtId="0" fontId="7" fillId="0" borderId="63" xfId="0" applyFont="1" applyBorder="1" applyAlignment="1">
      <alignment horizontal="center" vertical="center"/>
    </xf>
    <xf numFmtId="0" fontId="34" fillId="0" borderId="64" xfId="0" applyFont="1" applyBorder="1" applyAlignment="1">
      <alignment horizontal="center" vertical="center"/>
    </xf>
    <xf numFmtId="0" fontId="6" fillId="0" borderId="13" xfId="0" applyFont="1" applyBorder="1" applyAlignment="1">
      <alignment horizontal="left"/>
    </xf>
    <xf numFmtId="0" fontId="30" fillId="0" borderId="0" xfId="0" applyFont="1"/>
    <xf numFmtId="0" fontId="10" fillId="0" borderId="0" xfId="0" applyFont="1" applyAlignment="1">
      <alignment horizontal="center" vertical="center"/>
    </xf>
    <xf numFmtId="0" fontId="10" fillId="0" borderId="6"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horizontal="center" vertical="center"/>
    </xf>
    <xf numFmtId="0" fontId="10" fillId="0" borderId="15" xfId="0" applyFont="1" applyBorder="1" applyAlignment="1">
      <alignment vertical="center"/>
    </xf>
    <xf numFmtId="0" fontId="10" fillId="0" borderId="6" xfId="0" applyFont="1" applyBorder="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xf>
    <xf numFmtId="0" fontId="10" fillId="0" borderId="14"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horizontal="left" vertical="center" indent="1"/>
    </xf>
    <xf numFmtId="0" fontId="10" fillId="0" borderId="10" xfId="0" applyFont="1" applyBorder="1" applyAlignment="1">
      <alignment horizontal="center" vertical="center"/>
    </xf>
    <xf numFmtId="0" fontId="22" fillId="0" borderId="0" xfId="0" applyFont="1"/>
    <xf numFmtId="0" fontId="22" fillId="0" borderId="0" xfId="0" applyFont="1" applyAlignment="1">
      <alignment horizontal="center"/>
    </xf>
    <xf numFmtId="0" fontId="22" fillId="0" borderId="0" xfId="4" applyFont="1"/>
    <xf numFmtId="0" fontId="22" fillId="0" borderId="0" xfId="0" applyFont="1" applyAlignment="1">
      <alignment horizontal="center" vertical="center"/>
    </xf>
    <xf numFmtId="0" fontId="10" fillId="2" borderId="0" xfId="0" applyFont="1" applyFill="1" applyAlignment="1">
      <alignment horizontal="center"/>
    </xf>
    <xf numFmtId="0" fontId="10" fillId="5" borderId="13" xfId="0" applyFont="1" applyFill="1" applyBorder="1"/>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6" fillId="0" borderId="6"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6" fillId="0" borderId="7"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9" fillId="0" borderId="6" xfId="0" applyFont="1" applyBorder="1" applyAlignment="1" applyProtection="1">
      <alignment vertical="center"/>
      <protection locked="0"/>
    </xf>
    <xf numFmtId="0" fontId="17" fillId="0" borderId="6"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17" fillId="0" borderId="9"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0" fontId="17" fillId="0" borderId="14"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5" xfId="0" applyFont="1" applyBorder="1" applyAlignment="1" applyProtection="1">
      <alignment vertical="center"/>
      <protection locked="0"/>
    </xf>
    <xf numFmtId="38" fontId="17" fillId="0" borderId="8" xfId="1" applyFont="1" applyFill="1" applyBorder="1" applyAlignment="1" applyProtection="1">
      <alignment horizontal="right" vertical="center"/>
      <protection locked="0"/>
    </xf>
    <xf numFmtId="38" fontId="17" fillId="0" borderId="8"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38" fontId="17" fillId="0" borderId="4" xfId="1" applyFont="1" applyFill="1" applyBorder="1" applyAlignment="1" applyProtection="1">
      <alignment horizontal="right" vertical="center"/>
      <protection locked="0"/>
    </xf>
    <xf numFmtId="38" fontId="17" fillId="0" borderId="4" xfId="1" applyFont="1" applyFill="1" applyBorder="1" applyAlignment="1" applyProtection="1">
      <alignment horizontal="right" vertical="center"/>
    </xf>
    <xf numFmtId="38" fontId="17" fillId="0" borderId="5" xfId="1" applyFont="1" applyFill="1" applyBorder="1" applyAlignment="1" applyProtection="1">
      <alignment horizontal="right" vertical="center"/>
    </xf>
    <xf numFmtId="38" fontId="17" fillId="0" borderId="11" xfId="1" applyFont="1" applyBorder="1" applyAlignment="1" applyProtection="1">
      <alignment horizontal="right" vertical="center"/>
    </xf>
    <xf numFmtId="0" fontId="17" fillId="0" borderId="0" xfId="0" applyFont="1" applyAlignment="1" applyProtection="1">
      <alignment horizontal="centerContinuous" vertical="center"/>
      <protection locked="0"/>
    </xf>
    <xf numFmtId="0" fontId="9" fillId="0" borderId="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6" xfId="0"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38" fontId="6" fillId="0" borderId="8" xfId="1" applyFont="1" applyBorder="1" applyAlignment="1" applyProtection="1">
      <alignment horizontal="right" vertical="center" shrinkToFit="1"/>
      <protection locked="0"/>
    </xf>
    <xf numFmtId="38" fontId="6" fillId="0" borderId="5" xfId="1" applyFont="1" applyBorder="1" applyAlignment="1" applyProtection="1">
      <alignment horizontal="right" vertical="center"/>
      <protection locked="0"/>
    </xf>
    <xf numFmtId="38" fontId="6" fillId="0" borderId="4" xfId="1" applyFont="1" applyBorder="1" applyAlignment="1" applyProtection="1">
      <alignment horizontal="right" vertical="center" shrinkToFit="1"/>
      <protection locked="0"/>
    </xf>
    <xf numFmtId="0" fontId="6" fillId="0" borderId="14" xfId="0" applyFont="1" applyBorder="1" applyAlignment="1" applyProtection="1">
      <alignment horizontal="centerContinuous" vertical="center"/>
      <protection locked="0"/>
    </xf>
    <xf numFmtId="0" fontId="6" fillId="0" borderId="15" xfId="0" applyFont="1" applyBorder="1" applyAlignment="1" applyProtection="1">
      <alignment horizontal="centerContinuous" vertical="center"/>
      <protection locked="0"/>
    </xf>
    <xf numFmtId="0" fontId="6" fillId="0" borderId="10" xfId="0" applyFont="1" applyBorder="1" applyAlignment="1" applyProtection="1">
      <alignment horizontal="centerContinuous" vertical="center"/>
      <protection locked="0"/>
    </xf>
    <xf numFmtId="0" fontId="6" fillId="0" borderId="10"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0" fontId="6" fillId="0" borderId="9"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38" fontId="6" fillId="0" borderId="8" xfId="1" applyFont="1" applyBorder="1" applyAlignment="1" applyProtection="1">
      <alignment horizontal="right" vertical="center"/>
    </xf>
    <xf numFmtId="38" fontId="6" fillId="0" borderId="4" xfId="1" applyFont="1" applyBorder="1" applyAlignment="1" applyProtection="1">
      <alignment horizontal="right" vertical="center"/>
    </xf>
    <xf numFmtId="38" fontId="6" fillId="0" borderId="7" xfId="1" applyFont="1" applyBorder="1" applyAlignment="1" applyProtection="1">
      <alignment horizontal="right" vertical="center"/>
    </xf>
    <xf numFmtId="38" fontId="6" fillId="0" borderId="5" xfId="1" applyFont="1" applyBorder="1" applyAlignment="1" applyProtection="1">
      <alignment horizontal="right" vertical="center"/>
    </xf>
    <xf numFmtId="38" fontId="6" fillId="0" borderId="11" xfId="1" applyFont="1" applyBorder="1" applyAlignment="1" applyProtection="1">
      <alignment horizontal="right" vertical="center"/>
    </xf>
    <xf numFmtId="0" fontId="12" fillId="0" borderId="0" xfId="0" applyFont="1" applyAlignment="1" applyProtection="1">
      <alignment vertical="center"/>
      <protection locked="0"/>
    </xf>
    <xf numFmtId="0" fontId="42"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12" fillId="0" borderId="6"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12" fillId="0" borderId="6"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3" fillId="2" borderId="7" xfId="0" applyFont="1" applyFill="1" applyBorder="1" applyAlignment="1">
      <alignment vertical="center"/>
    </xf>
    <xf numFmtId="38" fontId="12" fillId="9" borderId="7" xfId="1" applyFont="1" applyFill="1" applyBorder="1" applyAlignment="1" applyProtection="1">
      <alignment horizontal="right" vertical="center"/>
      <protection locked="0"/>
    </xf>
    <xf numFmtId="38" fontId="12" fillId="9" borderId="8"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xf>
    <xf numFmtId="38" fontId="12" fillId="8" borderId="8" xfId="1" applyFont="1" applyFill="1" applyBorder="1" applyAlignment="1" applyProtection="1">
      <alignment horizontal="right" vertical="center"/>
      <protection locked="0"/>
    </xf>
    <xf numFmtId="38" fontId="12" fillId="2" borderId="7" xfId="1" applyFont="1" applyFill="1" applyBorder="1" applyAlignment="1" applyProtection="1">
      <alignment horizontal="right" vertical="center"/>
    </xf>
    <xf numFmtId="0" fontId="3" fillId="2" borderId="5" xfId="0" applyFont="1" applyFill="1" applyBorder="1" applyAlignment="1">
      <alignment vertical="center"/>
    </xf>
    <xf numFmtId="38" fontId="12" fillId="9" borderId="5" xfId="1" applyFont="1" applyFill="1" applyBorder="1" applyAlignment="1" applyProtection="1">
      <alignment horizontal="right" vertical="center"/>
      <protection locked="0"/>
    </xf>
    <xf numFmtId="38" fontId="12" fillId="9" borderId="4"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xf>
    <xf numFmtId="38" fontId="12" fillId="8" borderId="4" xfId="1" applyFont="1" applyFill="1" applyBorder="1" applyAlignment="1" applyProtection="1">
      <alignment horizontal="right" vertical="center"/>
      <protection locked="0"/>
    </xf>
    <xf numFmtId="38" fontId="12" fillId="2" borderId="5" xfId="1" applyFont="1" applyFill="1" applyBorder="1" applyAlignment="1" applyProtection="1">
      <alignment horizontal="right" vertical="center"/>
    </xf>
    <xf numFmtId="0" fontId="12" fillId="0" borderId="11" xfId="0" applyFont="1" applyBorder="1" applyAlignment="1" applyProtection="1">
      <alignment horizontal="center" vertical="center"/>
      <protection locked="0"/>
    </xf>
    <xf numFmtId="38" fontId="12" fillId="2" borderId="11" xfId="1" applyFont="1" applyFill="1" applyBorder="1" applyAlignment="1" applyProtection="1">
      <alignment horizontal="right" vertical="center"/>
    </xf>
    <xf numFmtId="0" fontId="12" fillId="0" borderId="0" xfId="0" applyFont="1" applyAlignment="1" applyProtection="1">
      <alignment horizontal="center" vertical="center"/>
      <protection locked="0"/>
    </xf>
    <xf numFmtId="0" fontId="3"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38" fontId="12" fillId="9" borderId="9" xfId="1" applyFont="1" applyFill="1" applyBorder="1" applyAlignment="1" applyProtection="1">
      <alignment vertical="center"/>
      <protection locked="0"/>
    </xf>
    <xf numFmtId="0" fontId="12" fillId="9" borderId="8" xfId="0" applyFont="1" applyFill="1" applyBorder="1" applyAlignment="1" applyProtection="1">
      <alignment horizontal="left" vertical="center"/>
      <protection locked="0"/>
    </xf>
    <xf numFmtId="0" fontId="12" fillId="9" borderId="0" xfId="0" applyFont="1" applyFill="1" applyAlignment="1" applyProtection="1">
      <alignment vertical="center"/>
      <protection locked="0"/>
    </xf>
    <xf numFmtId="0" fontId="12" fillId="9" borderId="9" xfId="0" applyFont="1" applyFill="1" applyBorder="1" applyAlignment="1" applyProtection="1">
      <alignment vertical="center"/>
      <protection locked="0"/>
    </xf>
    <xf numFmtId="20" fontId="12" fillId="0" borderId="9" xfId="0" applyNumberFormat="1" applyFont="1" applyBorder="1" applyAlignment="1" applyProtection="1">
      <alignment horizontal="left" vertical="center"/>
      <protection locked="0"/>
    </xf>
    <xf numFmtId="6" fontId="12" fillId="0" borderId="9" xfId="11" applyFont="1" applyBorder="1" applyAlignment="1" applyProtection="1">
      <alignment horizontal="left" vertical="center"/>
      <protection locked="0"/>
    </xf>
    <xf numFmtId="0" fontId="12" fillId="0" borderId="14" xfId="0" applyFont="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0" xfId="0" applyFont="1" applyBorder="1" applyAlignment="1" applyProtection="1">
      <alignment vertical="center"/>
      <protection locked="0"/>
    </xf>
    <xf numFmtId="38" fontId="12" fillId="9" borderId="10" xfId="0" applyNumberFormat="1" applyFont="1" applyFill="1" applyBorder="1" applyAlignment="1" applyProtection="1">
      <alignment vertical="center"/>
      <protection locked="0"/>
    </xf>
    <xf numFmtId="0" fontId="6" fillId="9" borderId="9" xfId="0" applyFont="1" applyFill="1" applyBorder="1" applyAlignment="1" applyProtection="1">
      <alignment vertical="center"/>
      <protection locked="0"/>
    </xf>
    <xf numFmtId="0" fontId="6" fillId="9" borderId="0" xfId="0" applyFont="1" applyFill="1" applyAlignment="1" applyProtection="1">
      <alignment vertical="center"/>
      <protection locked="0"/>
    </xf>
    <xf numFmtId="38" fontId="6" fillId="9" borderId="9" xfId="1" applyFont="1" applyFill="1" applyBorder="1" applyAlignment="1" applyProtection="1">
      <alignment horizontal="right" vertical="center"/>
      <protection locked="0"/>
    </xf>
    <xf numFmtId="38" fontId="6" fillId="9" borderId="9" xfId="1" applyFont="1" applyFill="1" applyBorder="1" applyAlignment="1" applyProtection="1">
      <alignment vertical="center"/>
      <protection locked="0"/>
    </xf>
    <xf numFmtId="38" fontId="6" fillId="9" borderId="10" xfId="1" applyFont="1" applyFill="1" applyBorder="1" applyAlignment="1" applyProtection="1">
      <alignment vertical="center"/>
      <protection locked="0"/>
    </xf>
    <xf numFmtId="38" fontId="6" fillId="9" borderId="7" xfId="1" applyFont="1" applyFill="1" applyBorder="1" applyAlignment="1" applyProtection="1">
      <alignment horizontal="right" vertical="center"/>
      <protection locked="0"/>
    </xf>
    <xf numFmtId="38" fontId="6" fillId="9" borderId="5" xfId="1" applyFont="1" applyFill="1" applyBorder="1" applyAlignment="1" applyProtection="1">
      <alignment horizontal="right" vertical="center"/>
      <protection locked="0"/>
    </xf>
    <xf numFmtId="38" fontId="6" fillId="9" borderId="8" xfId="1" applyFont="1" applyFill="1" applyBorder="1" applyAlignment="1" applyProtection="1">
      <alignment horizontal="right" vertical="center"/>
      <protection locked="0"/>
    </xf>
    <xf numFmtId="38" fontId="6" fillId="9" borderId="4" xfId="1" applyFont="1" applyFill="1" applyBorder="1" applyAlignment="1" applyProtection="1">
      <alignment horizontal="right" vertical="center"/>
      <protection locked="0"/>
    </xf>
    <xf numFmtId="38" fontId="6" fillId="2" borderId="7" xfId="1" applyFont="1" applyFill="1" applyBorder="1" applyAlignment="1" applyProtection="1">
      <alignment horizontal="right" vertical="center"/>
    </xf>
    <xf numFmtId="38" fontId="6" fillId="2" borderId="5" xfId="1" applyFont="1" applyFill="1" applyBorder="1" applyAlignment="1" applyProtection="1">
      <alignment horizontal="right" vertical="center"/>
    </xf>
    <xf numFmtId="0" fontId="6" fillId="2" borderId="7"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38" fontId="6" fillId="2" borderId="8" xfId="1" applyFont="1" applyFill="1" applyBorder="1" applyAlignment="1" applyProtection="1">
      <alignment horizontal="right" vertical="center"/>
    </xf>
    <xf numFmtId="38" fontId="6" fillId="2" borderId="4" xfId="1" applyFont="1" applyFill="1" applyBorder="1" applyAlignment="1" applyProtection="1">
      <alignment horizontal="right" vertical="center"/>
    </xf>
    <xf numFmtId="38" fontId="6" fillId="5" borderId="8" xfId="1" applyFont="1" applyFill="1" applyBorder="1" applyAlignment="1" applyProtection="1">
      <alignment horizontal="right" vertical="center" shrinkToFit="1"/>
      <protection locked="0"/>
    </xf>
    <xf numFmtId="38" fontId="6" fillId="5" borderId="4" xfId="1" applyFont="1" applyFill="1" applyBorder="1" applyAlignment="1" applyProtection="1">
      <alignment horizontal="right" vertical="center" shrinkToFit="1"/>
      <protection locked="0"/>
    </xf>
    <xf numFmtId="0" fontId="10" fillId="0" borderId="0" xfId="0" applyFont="1" applyAlignment="1">
      <alignment horizontal="right"/>
    </xf>
    <xf numFmtId="0" fontId="12" fillId="0" borderId="0" xfId="0" applyFont="1" applyAlignment="1">
      <alignment horizontal="left" vertical="center" shrinkToFit="1"/>
    </xf>
    <xf numFmtId="0" fontId="22" fillId="0" borderId="0" xfId="0" applyFont="1" applyAlignment="1">
      <alignment horizontal="left" vertical="center" shrinkToFit="1"/>
    </xf>
    <xf numFmtId="38" fontId="6" fillId="0" borderId="15" xfId="2" applyFont="1" applyFill="1" applyBorder="1" applyAlignment="1" applyProtection="1">
      <alignment horizontal="right"/>
    </xf>
    <xf numFmtId="38" fontId="6" fillId="0" borderId="10" xfId="2" applyFont="1" applyFill="1" applyBorder="1" applyAlignment="1" applyProtection="1">
      <alignment horizontal="right"/>
    </xf>
    <xf numFmtId="38" fontId="6" fillId="0" borderId="15" xfId="2" applyFont="1" applyFill="1" applyBorder="1" applyAlignment="1" applyProtection="1">
      <alignment horizontal="left"/>
    </xf>
    <xf numFmtId="176" fontId="6" fillId="0" borderId="14" xfId="2" applyNumberFormat="1" applyFont="1" applyFill="1" applyBorder="1" applyAlignment="1"/>
    <xf numFmtId="179" fontId="6" fillId="0" borderId="0" xfId="2" applyNumberFormat="1" applyFont="1" applyFill="1" applyBorder="1" applyAlignment="1"/>
    <xf numFmtId="38" fontId="23" fillId="0" borderId="0" xfId="2" applyFont="1" applyBorder="1" applyAlignment="1" applyProtection="1"/>
    <xf numFmtId="38" fontId="6" fillId="0" borderId="0" xfId="2" applyFont="1" applyBorder="1" applyAlignment="1" applyProtection="1"/>
    <xf numFmtId="38" fontId="6" fillId="0" borderId="0" xfId="2" applyFont="1" applyFill="1" applyBorder="1" applyAlignment="1" applyProtection="1">
      <alignment horizontal="right"/>
    </xf>
    <xf numFmtId="0" fontId="10" fillId="0" borderId="9" xfId="0" applyFont="1" applyBorder="1"/>
    <xf numFmtId="0" fontId="6" fillId="0" borderId="13" xfId="0" applyFont="1" applyBorder="1" applyAlignment="1">
      <alignment shrinkToFit="1"/>
    </xf>
    <xf numFmtId="0" fontId="10" fillId="0" borderId="12" xfId="0" applyFont="1" applyBorder="1"/>
    <xf numFmtId="38" fontId="6" fillId="0" borderId="0" xfId="2" applyFont="1" applyBorder="1" applyAlignment="1">
      <alignment horizontal="center" vertical="center"/>
    </xf>
    <xf numFmtId="38" fontId="17" fillId="0" borderId="10" xfId="0" applyNumberFormat="1" applyFont="1" applyBorder="1" applyAlignment="1" applyProtection="1">
      <alignment vertical="center"/>
      <protection locked="0"/>
    </xf>
    <xf numFmtId="181" fontId="45" fillId="0" borderId="0" xfId="4" applyNumberFormat="1" applyFont="1" applyAlignment="1">
      <alignment vertical="center"/>
    </xf>
    <xf numFmtId="181" fontId="45" fillId="0" borderId="0" xfId="4" applyNumberFormat="1" applyFont="1" applyAlignment="1">
      <alignment horizontal="right" vertical="center"/>
    </xf>
    <xf numFmtId="181" fontId="46" fillId="0" borderId="0" xfId="4" applyNumberFormat="1" applyFont="1" applyAlignment="1">
      <alignment vertical="center"/>
    </xf>
    <xf numFmtId="181" fontId="45" fillId="0" borderId="0" xfId="4" applyNumberFormat="1" applyFont="1" applyAlignment="1">
      <alignment vertical="center" shrinkToFit="1"/>
    </xf>
    <xf numFmtId="181" fontId="45" fillId="0" borderId="0" xfId="4" applyNumberFormat="1" applyFont="1" applyAlignment="1">
      <alignment horizontal="center" vertical="center"/>
    </xf>
    <xf numFmtId="57" fontId="45" fillId="0" borderId="0" xfId="4" applyNumberFormat="1" applyFont="1" applyAlignment="1">
      <alignment horizontal="center" vertical="center"/>
    </xf>
    <xf numFmtId="181" fontId="47" fillId="0" borderId="11" xfId="4" applyNumberFormat="1" applyFont="1" applyBorder="1" applyAlignment="1">
      <alignment vertical="center"/>
    </xf>
    <xf numFmtId="182" fontId="47" fillId="0" borderId="11" xfId="4" applyNumberFormat="1" applyFont="1" applyBorder="1" applyAlignment="1">
      <alignment horizontal="right" vertical="center"/>
    </xf>
    <xf numFmtId="181" fontId="45" fillId="0" borderId="85" xfId="4" applyNumberFormat="1" applyFont="1" applyBorder="1" applyAlignment="1">
      <alignment vertical="center"/>
    </xf>
    <xf numFmtId="181" fontId="48" fillId="9" borderId="86" xfId="4" applyNumberFormat="1" applyFont="1" applyFill="1" applyBorder="1" applyAlignment="1">
      <alignment vertical="center"/>
    </xf>
    <xf numFmtId="181" fontId="49" fillId="9" borderId="87" xfId="4" applyNumberFormat="1" applyFont="1" applyFill="1" applyBorder="1" applyAlignment="1">
      <alignment vertical="center" shrinkToFit="1"/>
    </xf>
    <xf numFmtId="181" fontId="50" fillId="9" borderId="88" xfId="4" quotePrefix="1" applyNumberFormat="1" applyFont="1" applyFill="1" applyBorder="1" applyAlignment="1">
      <alignment horizontal="center" vertical="center" shrinkToFit="1"/>
    </xf>
    <xf numFmtId="181" fontId="51" fillId="9" borderId="89" xfId="4" applyNumberFormat="1" applyFont="1" applyFill="1" applyBorder="1" applyAlignment="1">
      <alignment vertical="center" shrinkToFit="1"/>
    </xf>
    <xf numFmtId="181" fontId="48" fillId="9" borderId="87" xfId="4" applyNumberFormat="1" applyFont="1" applyFill="1" applyBorder="1" applyAlignment="1">
      <alignment horizontal="right" vertical="center" shrinkToFit="1"/>
    </xf>
    <xf numFmtId="0" fontId="51" fillId="9" borderId="90" xfId="4" applyFont="1" applyFill="1" applyBorder="1" applyAlignment="1">
      <alignment vertical="center" shrinkToFit="1"/>
    </xf>
    <xf numFmtId="58" fontId="51" fillId="9" borderId="87" xfId="4" applyNumberFormat="1" applyFont="1" applyFill="1" applyBorder="1" applyAlignment="1">
      <alignment horizontal="center" vertical="center" shrinkToFit="1"/>
    </xf>
    <xf numFmtId="181" fontId="51" fillId="9" borderId="91" xfId="4" applyNumberFormat="1" applyFont="1" applyFill="1" applyBorder="1" applyAlignment="1">
      <alignment vertical="center" shrinkToFit="1"/>
    </xf>
    <xf numFmtId="181" fontId="51" fillId="0" borderId="92" xfId="4" applyNumberFormat="1" applyFont="1" applyBorder="1" applyAlignment="1">
      <alignment vertical="center"/>
    </xf>
    <xf numFmtId="181" fontId="46" fillId="0" borderId="93" xfId="4" applyNumberFormat="1" applyFont="1" applyBorder="1" applyAlignment="1">
      <alignment vertical="center"/>
    </xf>
    <xf numFmtId="181" fontId="52" fillId="10" borderId="94" xfId="4" applyNumberFormat="1" applyFont="1" applyFill="1" applyBorder="1" applyAlignment="1">
      <alignment vertical="center" shrinkToFit="1"/>
    </xf>
    <xf numFmtId="181" fontId="52" fillId="10" borderId="95" xfId="4" applyNumberFormat="1" applyFont="1" applyFill="1" applyBorder="1" applyAlignment="1">
      <alignment vertical="center" shrinkToFit="1"/>
    </xf>
    <xf numFmtId="181" fontId="52" fillId="0" borderId="95" xfId="4" applyNumberFormat="1" applyFont="1" applyBorder="1" applyAlignment="1">
      <alignment vertical="center" shrinkToFit="1"/>
    </xf>
    <xf numFmtId="181" fontId="52" fillId="0" borderId="96" xfId="4" applyNumberFormat="1" applyFont="1" applyBorder="1" applyAlignment="1">
      <alignment vertical="center" shrinkToFit="1"/>
    </xf>
    <xf numFmtId="181" fontId="47" fillId="0" borderId="97" xfId="4" applyNumberFormat="1" applyFont="1" applyBorder="1" applyAlignment="1">
      <alignment vertical="center" shrinkToFit="1"/>
    </xf>
    <xf numFmtId="181" fontId="47" fillId="0" borderId="98" xfId="4" applyNumberFormat="1" applyFont="1" applyBorder="1" applyAlignment="1">
      <alignment vertical="center" shrinkToFit="1"/>
    </xf>
    <xf numFmtId="181" fontId="51" fillId="0" borderId="96" xfId="4" applyNumberFormat="1" applyFont="1" applyBorder="1" applyAlignment="1">
      <alignment vertical="center" shrinkToFit="1"/>
    </xf>
    <xf numFmtId="181" fontId="51" fillId="0" borderId="95" xfId="4" applyNumberFormat="1" applyFont="1" applyBorder="1" applyAlignment="1">
      <alignment vertical="center" shrinkToFit="1"/>
    </xf>
    <xf numFmtId="181" fontId="51" fillId="0" borderId="97" xfId="4" applyNumberFormat="1" applyFont="1" applyBorder="1" applyAlignment="1">
      <alignment vertical="center" shrinkToFit="1"/>
    </xf>
    <xf numFmtId="58" fontId="53" fillId="0" borderId="99" xfId="4" applyNumberFormat="1" applyFont="1" applyBorder="1" applyAlignment="1">
      <alignment horizontal="left" vertical="center" shrinkToFit="1"/>
    </xf>
    <xf numFmtId="181" fontId="51" fillId="0" borderId="16" xfId="4" applyNumberFormat="1" applyFont="1" applyBorder="1" applyAlignment="1">
      <alignment vertical="center" shrinkToFit="1"/>
    </xf>
    <xf numFmtId="58" fontId="51" fillId="0" borderId="96" xfId="4" applyNumberFormat="1" applyFont="1" applyBorder="1" applyAlignment="1">
      <alignment horizontal="center" vertical="center" shrinkToFit="1"/>
    </xf>
    <xf numFmtId="181" fontId="51" fillId="0" borderId="98" xfId="4" applyNumberFormat="1" applyFont="1" applyBorder="1" applyAlignment="1">
      <alignment vertical="center" shrinkToFit="1"/>
    </xf>
    <xf numFmtId="181" fontId="54" fillId="0" borderId="0" xfId="4" applyNumberFormat="1" applyFont="1" applyAlignment="1">
      <alignment vertical="center"/>
    </xf>
    <xf numFmtId="181" fontId="51" fillId="0" borderId="0" xfId="4" applyNumberFormat="1" applyFont="1" applyAlignment="1">
      <alignment vertical="center"/>
    </xf>
    <xf numFmtId="181" fontId="51" fillId="0" borderId="12" xfId="4" applyNumberFormat="1" applyFont="1" applyBorder="1" applyAlignment="1">
      <alignment vertical="center"/>
    </xf>
    <xf numFmtId="181" fontId="51" fillId="0" borderId="5" xfId="4" applyNumberFormat="1" applyFont="1" applyBorder="1" applyAlignment="1">
      <alignment vertical="center"/>
    </xf>
    <xf numFmtId="183" fontId="55" fillId="0" borderId="5" xfId="12" applyNumberFormat="1" applyFont="1" applyBorder="1" applyAlignment="1">
      <alignment horizontal="center" vertical="center"/>
    </xf>
    <xf numFmtId="181" fontId="52" fillId="10" borderId="100" xfId="4" applyNumberFormat="1" applyFont="1" applyFill="1" applyBorder="1" applyAlignment="1">
      <alignment vertical="center" shrinkToFit="1"/>
    </xf>
    <xf numFmtId="181" fontId="52" fillId="10" borderId="16" xfId="4" applyNumberFormat="1" applyFont="1" applyFill="1" applyBorder="1" applyAlignment="1">
      <alignment vertical="center" shrinkToFit="1"/>
    </xf>
    <xf numFmtId="181" fontId="52" fillId="0" borderId="16" xfId="4" applyNumberFormat="1" applyFont="1" applyBorder="1" applyAlignment="1">
      <alignment vertical="center" shrinkToFit="1"/>
    </xf>
    <xf numFmtId="181" fontId="52" fillId="0" borderId="22" xfId="4" applyNumberFormat="1" applyFont="1" applyBorder="1" applyAlignment="1">
      <alignment vertical="center" shrinkToFit="1"/>
    </xf>
    <xf numFmtId="181" fontId="47" fillId="0" borderId="101" xfId="4" applyNumberFormat="1" applyFont="1" applyBorder="1" applyAlignment="1">
      <alignment vertical="center" shrinkToFit="1"/>
    </xf>
    <xf numFmtId="181" fontId="51" fillId="0" borderId="22" xfId="4" applyNumberFormat="1" applyFont="1" applyBorder="1" applyAlignment="1">
      <alignment vertical="center" shrinkToFit="1"/>
    </xf>
    <xf numFmtId="181" fontId="51" fillId="0" borderId="101" xfId="4" applyNumberFormat="1" applyFont="1" applyBorder="1" applyAlignment="1">
      <alignment vertical="center" shrinkToFit="1"/>
    </xf>
    <xf numFmtId="58" fontId="51" fillId="0" borderId="22" xfId="4" applyNumberFormat="1" applyFont="1" applyBorder="1" applyAlignment="1">
      <alignment horizontal="center" vertical="center" shrinkToFit="1"/>
    </xf>
    <xf numFmtId="181" fontId="51" fillId="0" borderId="102" xfId="4" applyNumberFormat="1" applyFont="1" applyBorder="1" applyAlignment="1">
      <alignment vertical="center" shrinkToFit="1"/>
    </xf>
    <xf numFmtId="181" fontId="45" fillId="0" borderId="8" xfId="4" applyNumberFormat="1" applyFont="1" applyBorder="1" applyAlignment="1">
      <alignment vertical="center"/>
    </xf>
    <xf numFmtId="181" fontId="51" fillId="0" borderId="103" xfId="4" applyNumberFormat="1" applyFont="1" applyBorder="1" applyAlignment="1">
      <alignment vertical="center"/>
    </xf>
    <xf numFmtId="183" fontId="55" fillId="0" borderId="103" xfId="12" applyNumberFormat="1" applyFont="1" applyBorder="1" applyAlignment="1">
      <alignment horizontal="center" vertical="center"/>
    </xf>
    <xf numFmtId="181" fontId="46" fillId="0" borderId="104" xfId="4" applyNumberFormat="1" applyFont="1" applyBorder="1" applyAlignment="1">
      <alignment vertical="center"/>
    </xf>
    <xf numFmtId="181" fontId="47" fillId="0" borderId="102" xfId="4" applyNumberFormat="1" applyFont="1" applyBorder="1" applyAlignment="1">
      <alignment vertical="center" shrinkToFit="1"/>
    </xf>
    <xf numFmtId="181" fontId="51" fillId="0" borderId="11" xfId="4" applyNumberFormat="1" applyFont="1" applyBorder="1" applyAlignment="1">
      <alignment vertical="center"/>
    </xf>
    <xf numFmtId="183" fontId="55" fillId="0" borderId="10" xfId="12" applyNumberFormat="1" applyFont="1" applyBorder="1" applyAlignment="1">
      <alignment horizontal="center" vertical="center"/>
    </xf>
    <xf numFmtId="181" fontId="51" fillId="2" borderId="5" xfId="4" applyNumberFormat="1" applyFont="1" applyFill="1" applyBorder="1" applyAlignment="1">
      <alignment vertical="center"/>
    </xf>
    <xf numFmtId="181" fontId="51" fillId="0" borderId="7" xfId="4" applyNumberFormat="1" applyFont="1" applyBorder="1" applyAlignment="1">
      <alignment vertical="center"/>
    </xf>
    <xf numFmtId="183" fontId="55" fillId="0" borderId="3" xfId="12" applyNumberFormat="1" applyFont="1" applyBorder="1" applyAlignment="1">
      <alignment horizontal="center" vertical="center"/>
    </xf>
    <xf numFmtId="181" fontId="51" fillId="0" borderId="6" xfId="4" applyNumberFormat="1" applyFont="1" applyBorder="1" applyAlignment="1">
      <alignment vertical="center"/>
    </xf>
    <xf numFmtId="181" fontId="45" fillId="0" borderId="8" xfId="4" applyNumberFormat="1" applyFont="1" applyBorder="1" applyAlignment="1">
      <alignment horizontal="center" vertical="center"/>
    </xf>
    <xf numFmtId="181" fontId="45" fillId="0" borderId="14" xfId="4" applyNumberFormat="1" applyFont="1" applyBorder="1" applyAlignment="1">
      <alignment horizontal="center" vertical="center"/>
    </xf>
    <xf numFmtId="181" fontId="45" fillId="0" borderId="11" xfId="4" applyNumberFormat="1" applyFont="1" applyBorder="1" applyAlignment="1">
      <alignment horizontal="center" vertical="center"/>
    </xf>
    <xf numFmtId="181" fontId="45" fillId="0" borderId="10" xfId="4" applyNumberFormat="1" applyFont="1" applyBorder="1" applyAlignment="1">
      <alignment horizontal="center" vertical="center"/>
    </xf>
    <xf numFmtId="58" fontId="53" fillId="0" borderId="16" xfId="4" applyNumberFormat="1" applyFont="1" applyBorder="1" applyAlignment="1">
      <alignment horizontal="left" vertical="center" shrinkToFit="1"/>
    </xf>
    <xf numFmtId="181" fontId="45" fillId="0" borderId="0" xfId="4" applyNumberFormat="1" applyFont="1" applyAlignment="1">
      <alignment horizontal="right" vertical="center" wrapText="1"/>
    </xf>
    <xf numFmtId="181" fontId="59" fillId="9" borderId="105" xfId="4" applyNumberFormat="1" applyFont="1" applyFill="1" applyBorder="1" applyAlignment="1">
      <alignment horizontal="distributed" vertical="center" justifyLastLine="1"/>
    </xf>
    <xf numFmtId="181" fontId="60" fillId="9" borderId="106" xfId="4" applyNumberFormat="1" applyFont="1" applyFill="1" applyBorder="1" applyAlignment="1">
      <alignment horizontal="distributed" vertical="center" shrinkToFit="1"/>
    </xf>
    <xf numFmtId="181" fontId="60" fillId="9" borderId="5" xfId="4" quotePrefix="1" applyNumberFormat="1" applyFont="1" applyFill="1" applyBorder="1" applyAlignment="1">
      <alignment horizontal="distributed" vertical="center" shrinkToFit="1"/>
    </xf>
    <xf numFmtId="181" fontId="60" fillId="9" borderId="5" xfId="4" applyNumberFormat="1" applyFont="1" applyFill="1" applyBorder="1" applyAlignment="1">
      <alignment horizontal="distributed" vertical="center" shrinkToFit="1"/>
    </xf>
    <xf numFmtId="181" fontId="60" fillId="9" borderId="5" xfId="4" quotePrefix="1" applyNumberFormat="1" applyFont="1" applyFill="1" applyBorder="1" applyAlignment="1">
      <alignment horizontal="distributed" vertical="center" wrapText="1" shrinkToFit="1"/>
    </xf>
    <xf numFmtId="181" fontId="45" fillId="9" borderId="5" xfId="4" applyNumberFormat="1" applyFont="1" applyFill="1" applyBorder="1" applyAlignment="1">
      <alignment horizontal="distributed" vertical="center" shrinkToFit="1"/>
    </xf>
    <xf numFmtId="181" fontId="45" fillId="9" borderId="107" xfId="4" applyNumberFormat="1" applyFont="1" applyFill="1" applyBorder="1" applyAlignment="1">
      <alignment horizontal="distributed" vertical="center" shrinkToFit="1"/>
    </xf>
    <xf numFmtId="181" fontId="45" fillId="9" borderId="106" xfId="4" applyNumberFormat="1" applyFont="1" applyFill="1" applyBorder="1" applyAlignment="1">
      <alignment horizontal="center" vertical="center" shrinkToFit="1"/>
    </xf>
    <xf numFmtId="181" fontId="45" fillId="9" borderId="4" xfId="4" applyNumberFormat="1" applyFont="1" applyFill="1" applyBorder="1" applyAlignment="1">
      <alignment horizontal="center" vertical="center" wrapText="1" shrinkToFit="1"/>
    </xf>
    <xf numFmtId="181" fontId="56" fillId="9" borderId="108" xfId="4" applyNumberFormat="1" applyFont="1" applyFill="1" applyBorder="1" applyAlignment="1">
      <alignment horizontal="distributed" vertical="center" justifyLastLine="1"/>
    </xf>
    <xf numFmtId="181" fontId="56" fillId="9" borderId="109" xfId="4" applyNumberFormat="1" applyFont="1" applyFill="1" applyBorder="1" applyAlignment="1">
      <alignment horizontal="distributed" vertical="center" justifyLastLine="1"/>
    </xf>
    <xf numFmtId="181" fontId="56" fillId="9" borderId="4" xfId="4" applyNumberFormat="1" applyFont="1" applyFill="1" applyBorder="1" applyAlignment="1">
      <alignment horizontal="distributed" vertical="center" justifyLastLine="1"/>
    </xf>
    <xf numFmtId="181" fontId="45" fillId="9" borderId="4" xfId="4" applyNumberFormat="1" applyFont="1" applyFill="1" applyBorder="1" applyAlignment="1">
      <alignment horizontal="center" vertical="center" shrinkToFit="1"/>
    </xf>
    <xf numFmtId="181" fontId="45" fillId="9" borderId="108" xfId="4" applyNumberFormat="1" applyFont="1" applyFill="1" applyBorder="1" applyAlignment="1">
      <alignment horizontal="distributed" vertical="center" justifyLastLine="1"/>
    </xf>
    <xf numFmtId="181" fontId="45" fillId="9" borderId="4" xfId="4" applyNumberFormat="1" applyFont="1" applyFill="1" applyBorder="1" applyAlignment="1">
      <alignment horizontal="distributed" vertical="center" justifyLastLine="1"/>
    </xf>
    <xf numFmtId="57" fontId="45" fillId="9" borderId="4" xfId="4" applyNumberFormat="1" applyFont="1" applyFill="1" applyBorder="1" applyAlignment="1">
      <alignment horizontal="distributed" vertical="center" justifyLastLine="1"/>
    </xf>
    <xf numFmtId="181" fontId="45" fillId="0" borderId="0" xfId="4" applyNumberFormat="1" applyFont="1" applyAlignment="1">
      <alignment horizontal="center" vertical="center" wrapText="1"/>
    </xf>
    <xf numFmtId="181" fontId="59" fillId="9" borderId="110" xfId="4" applyNumberFormat="1" applyFont="1" applyFill="1" applyBorder="1" applyAlignment="1">
      <alignment horizontal="distributed" vertical="center" justifyLastLine="1"/>
    </xf>
    <xf numFmtId="181" fontId="45" fillId="9" borderId="115" xfId="4" applyNumberFormat="1" applyFont="1" applyFill="1" applyBorder="1" applyAlignment="1">
      <alignment horizontal="center" vertical="center" shrinkToFit="1"/>
    </xf>
    <xf numFmtId="181" fontId="61" fillId="0" borderId="0" xfId="4" applyNumberFormat="1" applyFont="1" applyAlignment="1">
      <alignment vertical="center"/>
    </xf>
    <xf numFmtId="181" fontId="61" fillId="0" borderId="0" xfId="4" applyNumberFormat="1" applyFont="1" applyAlignment="1">
      <alignment horizontal="right" vertical="center"/>
    </xf>
    <xf numFmtId="181" fontId="62" fillId="0" borderId="0" xfId="4" applyNumberFormat="1" applyFont="1" applyAlignment="1">
      <alignment horizontal="center" vertical="center" wrapText="1"/>
    </xf>
    <xf numFmtId="181" fontId="62" fillId="0" borderId="0" xfId="4" applyNumberFormat="1" applyFont="1" applyAlignment="1">
      <alignment vertical="center" shrinkToFit="1"/>
    </xf>
    <xf numFmtId="181" fontId="62" fillId="0" borderId="0" xfId="4" applyNumberFormat="1" applyFont="1" applyAlignment="1">
      <alignment horizontal="center" vertical="center" wrapText="1" shrinkToFit="1"/>
    </xf>
    <xf numFmtId="181" fontId="63" fillId="0" borderId="0" xfId="4" quotePrefix="1" applyNumberFormat="1" applyFont="1" applyAlignment="1">
      <alignment horizontal="left" vertical="center" wrapText="1"/>
    </xf>
    <xf numFmtId="181" fontId="46" fillId="0" borderId="0" xfId="4" applyNumberFormat="1" applyFont="1" applyAlignment="1">
      <alignment vertical="center" shrinkToFit="1"/>
    </xf>
    <xf numFmtId="181" fontId="58" fillId="0" borderId="0" xfId="4" quotePrefix="1" applyNumberFormat="1" applyFont="1" applyAlignment="1">
      <alignment horizontal="left" vertical="center"/>
    </xf>
    <xf numFmtId="181" fontId="66" fillId="0" borderId="0" xfId="4" quotePrefix="1" applyNumberFormat="1" applyFont="1" applyAlignment="1">
      <alignment horizontal="left" vertical="center"/>
    </xf>
    <xf numFmtId="57" fontId="62" fillId="0" borderId="0" xfId="4" applyNumberFormat="1" applyFont="1" applyAlignment="1">
      <alignment horizontal="center" vertical="center"/>
    </xf>
    <xf numFmtId="181" fontId="45" fillId="9" borderId="120" xfId="4" applyNumberFormat="1" applyFont="1" applyFill="1" applyBorder="1" applyAlignment="1">
      <alignment horizontal="distributed" vertical="center" justifyLastLine="1"/>
    </xf>
    <xf numFmtId="181" fontId="45" fillId="9" borderId="116" xfId="4" applyNumberFormat="1" applyFont="1" applyFill="1" applyBorder="1" applyAlignment="1">
      <alignment horizontal="distributed" vertical="center" justifyLastLine="1"/>
    </xf>
    <xf numFmtId="181" fontId="45" fillId="9" borderId="121" xfId="4" applyNumberFormat="1" applyFont="1" applyFill="1" applyBorder="1" applyAlignment="1">
      <alignment horizontal="center" vertical="center" shrinkToFit="1"/>
    </xf>
    <xf numFmtId="57" fontId="45" fillId="9" borderId="122" xfId="4" applyNumberFormat="1" applyFont="1" applyFill="1" applyBorder="1" applyAlignment="1">
      <alignment horizontal="distributed" vertical="center" justifyLastLine="1"/>
    </xf>
    <xf numFmtId="181" fontId="45" fillId="9" borderId="10" xfId="4" applyNumberFormat="1" applyFont="1" applyFill="1" applyBorder="1" applyAlignment="1">
      <alignment horizontal="distributed" vertical="center" justifyLastLine="1"/>
    </xf>
    <xf numFmtId="181" fontId="45" fillId="9" borderId="12" xfId="4" applyNumberFormat="1" applyFont="1" applyFill="1" applyBorder="1" applyAlignment="1">
      <alignment horizontal="distributed" vertical="center" justifyLastLine="1"/>
    </xf>
    <xf numFmtId="181" fontId="45" fillId="9" borderId="14" xfId="4" applyNumberFormat="1" applyFont="1" applyFill="1" applyBorder="1" applyAlignment="1">
      <alignment horizontal="center" vertical="center" wrapText="1" shrinkToFit="1"/>
    </xf>
    <xf numFmtId="181" fontId="45" fillId="9" borderId="108" xfId="4" applyNumberFormat="1" applyFont="1" applyFill="1" applyBorder="1" applyAlignment="1">
      <alignment horizontal="center" vertical="center" shrinkToFit="1"/>
    </xf>
    <xf numFmtId="181" fontId="45" fillId="9" borderId="122" xfId="4" applyNumberFormat="1" applyFont="1" applyFill="1" applyBorder="1" applyAlignment="1">
      <alignment horizontal="distributed" vertical="center" justifyLastLine="1"/>
    </xf>
    <xf numFmtId="181" fontId="59" fillId="9" borderId="105" xfId="4" applyNumberFormat="1" applyFont="1" applyFill="1" applyBorder="1" applyAlignment="1">
      <alignment horizontal="distributed" vertical="center" wrapText="1" justifyLastLine="1"/>
    </xf>
    <xf numFmtId="58" fontId="51" fillId="0" borderId="123" xfId="4" applyNumberFormat="1" applyFont="1" applyBorder="1" applyAlignment="1">
      <alignment vertical="center" shrinkToFit="1"/>
    </xf>
    <xf numFmtId="181" fontId="51" fillId="0" borderId="21" xfId="4" applyNumberFormat="1" applyFont="1" applyBorder="1" applyAlignment="1">
      <alignment vertical="center" shrinkToFit="1"/>
    </xf>
    <xf numFmtId="181" fontId="51" fillId="0" borderId="124" xfId="4" applyNumberFormat="1" applyFont="1" applyBorder="1" applyAlignment="1">
      <alignment vertical="center" shrinkToFit="1"/>
    </xf>
    <xf numFmtId="181" fontId="51" fillId="0" borderId="125" xfId="4" applyNumberFormat="1" applyFont="1" applyBorder="1" applyAlignment="1">
      <alignment vertical="center" shrinkToFit="1"/>
    </xf>
    <xf numFmtId="58" fontId="53" fillId="0" borderId="123" xfId="4" applyNumberFormat="1" applyFont="1" applyBorder="1" applyAlignment="1">
      <alignment horizontal="left" vertical="center" shrinkToFit="1"/>
    </xf>
    <xf numFmtId="181" fontId="46" fillId="10" borderId="104" xfId="4" applyNumberFormat="1" applyFont="1" applyFill="1" applyBorder="1" applyAlignment="1">
      <alignment vertical="center"/>
    </xf>
    <xf numFmtId="181" fontId="51" fillId="9" borderId="126" xfId="4" applyNumberFormat="1" applyFont="1" applyFill="1" applyBorder="1" applyAlignment="1">
      <alignment vertical="center" shrinkToFit="1"/>
    </xf>
    <xf numFmtId="181" fontId="51" fillId="9" borderId="127" xfId="4" applyNumberFormat="1" applyFont="1" applyFill="1" applyBorder="1" applyAlignment="1">
      <alignment vertical="center" shrinkToFit="1"/>
    </xf>
    <xf numFmtId="181" fontId="51" fillId="9" borderId="128" xfId="4" applyNumberFormat="1" applyFont="1" applyFill="1" applyBorder="1" applyAlignment="1">
      <alignment vertical="center" shrinkToFit="1"/>
    </xf>
    <xf numFmtId="58" fontId="51" fillId="9" borderId="129" xfId="4" applyNumberFormat="1" applyFont="1" applyFill="1" applyBorder="1" applyAlignment="1">
      <alignment horizontal="center" vertical="center" shrinkToFit="1"/>
    </xf>
    <xf numFmtId="0" fontId="51" fillId="9" borderId="130" xfId="4" applyFont="1" applyFill="1" applyBorder="1" applyAlignment="1">
      <alignment vertical="center" shrinkToFit="1"/>
    </xf>
    <xf numFmtId="0" fontId="51" fillId="9" borderId="131" xfId="4" applyFont="1" applyFill="1" applyBorder="1" applyAlignment="1">
      <alignment vertical="center" shrinkToFit="1"/>
    </xf>
    <xf numFmtId="181" fontId="48" fillId="9" borderId="129" xfId="4" applyNumberFormat="1" applyFont="1" applyFill="1" applyBorder="1" applyAlignment="1">
      <alignment horizontal="right" vertical="center" shrinkToFit="1"/>
    </xf>
    <xf numFmtId="181" fontId="48" fillId="9" borderId="130" xfId="4" applyNumberFormat="1" applyFont="1" applyFill="1" applyBorder="1" applyAlignment="1">
      <alignment horizontal="right" vertical="center" shrinkToFit="1"/>
    </xf>
    <xf numFmtId="181" fontId="48" fillId="9" borderId="127" xfId="4" applyNumberFormat="1" applyFont="1" applyFill="1" applyBorder="1" applyAlignment="1">
      <alignment horizontal="right" vertical="center" shrinkToFit="1"/>
    </xf>
    <xf numFmtId="181" fontId="51" fillId="9" borderId="131" xfId="4" applyNumberFormat="1" applyFont="1" applyFill="1" applyBorder="1" applyAlignment="1">
      <alignment vertical="center" shrinkToFit="1"/>
    </xf>
    <xf numFmtId="181" fontId="50" fillId="9" borderId="132" xfId="4" quotePrefix="1" applyNumberFormat="1" applyFont="1" applyFill="1" applyBorder="1" applyAlignment="1">
      <alignment horizontal="center" vertical="center" shrinkToFit="1"/>
    </xf>
    <xf numFmtId="181" fontId="49" fillId="9" borderId="129" xfId="4" applyNumberFormat="1" applyFont="1" applyFill="1" applyBorder="1" applyAlignment="1">
      <alignment vertical="center" shrinkToFit="1"/>
    </xf>
    <xf numFmtId="181" fontId="48" fillId="9" borderId="133" xfId="4" applyNumberFormat="1" applyFont="1" applyFill="1" applyBorder="1" applyAlignment="1">
      <alignment vertical="center"/>
    </xf>
    <xf numFmtId="58" fontId="51" fillId="0" borderId="57" xfId="4" applyNumberFormat="1" applyFont="1" applyBorder="1" applyAlignment="1">
      <alignment horizontal="center" vertical="center" shrinkToFit="1"/>
    </xf>
    <xf numFmtId="58" fontId="53" fillId="0" borderId="134" xfId="4" applyNumberFormat="1" applyFont="1" applyBorder="1" applyAlignment="1">
      <alignment horizontal="left" vertical="center" shrinkToFit="1"/>
    </xf>
    <xf numFmtId="0" fontId="51" fillId="0" borderId="0" xfId="4" applyFont="1" applyAlignment="1">
      <alignment horizontal="left" vertical="center" shrinkToFit="1"/>
    </xf>
    <xf numFmtId="181" fontId="52" fillId="0" borderId="22" xfId="4" applyNumberFormat="1" applyFont="1" applyBorder="1" applyAlignment="1">
      <alignment horizontal="right" vertical="center" shrinkToFit="1"/>
    </xf>
    <xf numFmtId="181" fontId="68" fillId="0" borderId="16" xfId="4" applyNumberFormat="1" applyFont="1" applyBorder="1" applyAlignment="1">
      <alignment vertical="center" shrinkToFit="1"/>
    </xf>
    <xf numFmtId="181" fontId="46" fillId="0" borderId="135" xfId="4" applyNumberFormat="1" applyFont="1" applyBorder="1" applyAlignment="1">
      <alignment vertical="center"/>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0" fillId="0" borderId="0" xfId="0" applyAlignment="1">
      <alignment horizontal="left"/>
    </xf>
    <xf numFmtId="0" fontId="0" fillId="0" borderId="0" xfId="0" applyAlignment="1">
      <alignment horizontal="right"/>
    </xf>
    <xf numFmtId="181" fontId="69" fillId="9" borderId="105" xfId="4" applyNumberFormat="1" applyFont="1" applyFill="1" applyBorder="1" applyAlignment="1">
      <alignment horizontal="distributed" vertical="center" wrapText="1" justifyLastLine="1"/>
    </xf>
    <xf numFmtId="0" fontId="17" fillId="11" borderId="5" xfId="0" applyFont="1" applyFill="1" applyBorder="1" applyAlignment="1" applyProtection="1">
      <alignment horizontal="center" vertical="center"/>
      <protection locked="0"/>
    </xf>
    <xf numFmtId="0" fontId="17" fillId="11" borderId="6" xfId="0" applyFont="1" applyFill="1" applyBorder="1" applyAlignment="1" applyProtection="1">
      <alignment horizontal="right" vertical="center"/>
      <protection locked="0"/>
    </xf>
    <xf numFmtId="38" fontId="17" fillId="11" borderId="138" xfId="1" applyFont="1" applyFill="1" applyBorder="1" applyAlignment="1" applyProtection="1">
      <alignment horizontal="right"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14" xfId="0" applyFont="1" applyBorder="1" applyAlignment="1">
      <alignment horizontal="center" vertical="center"/>
    </xf>
    <xf numFmtId="38" fontId="6" fillId="0" borderId="0" xfId="2" applyFont="1" applyFill="1" applyBorder="1" applyAlignment="1" applyProtection="1"/>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xf>
    <xf numFmtId="38" fontId="6" fillId="0" borderId="0" xfId="2" applyFont="1" applyBorder="1" applyAlignment="1" applyProtection="1">
      <alignment horizontal="center" vertical="center"/>
    </xf>
    <xf numFmtId="38" fontId="6" fillId="0" borderId="0" xfId="2" applyFont="1" applyBorder="1" applyAlignment="1" applyProtection="1">
      <alignment horizontal="center" wrapText="1"/>
    </xf>
    <xf numFmtId="0" fontId="10" fillId="0" borderId="13" xfId="0" applyFont="1" applyBorder="1"/>
    <xf numFmtId="0" fontId="10" fillId="0" borderId="0" xfId="0" applyFont="1" applyAlignment="1">
      <alignment horizontal="center"/>
    </xf>
    <xf numFmtId="0" fontId="39" fillId="0" borderId="7" xfId="0" applyFont="1" applyBorder="1" applyAlignment="1">
      <alignment vertical="center"/>
    </xf>
    <xf numFmtId="38" fontId="17" fillId="12" borderId="8" xfId="1" applyFont="1" applyFill="1" applyBorder="1" applyAlignment="1" applyProtection="1">
      <alignment horizontal="right" vertical="center"/>
      <protection locked="0"/>
    </xf>
    <xf numFmtId="0" fontId="39" fillId="0" borderId="5" xfId="0" applyFont="1" applyBorder="1" applyAlignment="1">
      <alignment vertical="center"/>
    </xf>
    <xf numFmtId="0" fontId="6" fillId="0" borderId="0" xfId="0" applyFont="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38" fontId="17" fillId="0" borderId="136" xfId="1" applyFont="1" applyFill="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17" fillId="0" borderId="2" xfId="0" applyFont="1" applyBorder="1" applyAlignment="1" applyProtection="1">
      <alignment horizontal="right" vertical="center"/>
      <protection locked="0"/>
    </xf>
    <xf numFmtId="38" fontId="17" fillId="0" borderId="15" xfId="0" applyNumberFormat="1" applyFont="1" applyBorder="1" applyAlignment="1" applyProtection="1">
      <alignment vertical="center"/>
      <protection locked="0"/>
    </xf>
    <xf numFmtId="0" fontId="39" fillId="0" borderId="0" xfId="0" applyFont="1"/>
    <xf numFmtId="0" fontId="39" fillId="0" borderId="0" xfId="3" applyFont="1"/>
    <xf numFmtId="0" fontId="17" fillId="0" borderId="0" xfId="0" applyFont="1" applyAlignment="1">
      <alignment horizontal="right" vertical="center"/>
    </xf>
    <xf numFmtId="0" fontId="71" fillId="0" borderId="0" xfId="3" applyFont="1" applyAlignment="1">
      <alignment horizontal="center"/>
    </xf>
    <xf numFmtId="0" fontId="72" fillId="0" borderId="0" xfId="3" applyFont="1"/>
    <xf numFmtId="0" fontId="72" fillId="0" borderId="0" xfId="0" applyFont="1"/>
    <xf numFmtId="0" fontId="3" fillId="0" borderId="0" xfId="0" applyFont="1" applyAlignment="1">
      <alignment horizontal="center"/>
    </xf>
    <xf numFmtId="0" fontId="74" fillId="0" borderId="0" xfId="3" applyFont="1" applyAlignment="1">
      <alignment wrapText="1"/>
    </xf>
    <xf numFmtId="0" fontId="74" fillId="0" borderId="0" xfId="3" applyFont="1"/>
    <xf numFmtId="177" fontId="31" fillId="0" borderId="1" xfId="0" applyNumberFormat="1" applyFont="1" applyBorder="1" applyAlignment="1" applyProtection="1">
      <alignment horizontal="center" vertical="center" shrinkToFit="1"/>
      <protection locked="0"/>
    </xf>
    <xf numFmtId="49" fontId="40" fillId="0" borderId="4"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40" fillId="0" borderId="11"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3" fillId="0" borderId="141" xfId="0" applyFont="1" applyBorder="1"/>
    <xf numFmtId="0" fontId="3" fillId="0" borderId="0" xfId="0" applyFont="1"/>
    <xf numFmtId="0" fontId="40" fillId="0" borderId="11" xfId="0" applyFont="1" applyBorder="1" applyAlignment="1">
      <alignment horizontal="center" vertical="center"/>
    </xf>
    <xf numFmtId="0" fontId="40" fillId="0" borderId="14" xfId="0" applyFont="1" applyBorder="1" applyAlignment="1">
      <alignment horizontal="center" vertical="center"/>
    </xf>
    <xf numFmtId="0" fontId="40" fillId="0" borderId="14" xfId="0" applyFont="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5" xfId="0" applyFont="1" applyBorder="1" applyAlignment="1" applyProtection="1">
      <alignment horizontal="center" vertical="center"/>
      <protection locked="0"/>
    </xf>
    <xf numFmtId="0" fontId="40" fillId="0" borderId="10" xfId="0" applyFont="1" applyBorder="1" applyAlignment="1">
      <alignment horizontal="center" vertical="center"/>
    </xf>
    <xf numFmtId="0" fontId="40" fillId="0" borderId="11" xfId="0" applyFont="1" applyBorder="1" applyAlignment="1">
      <alignment horizontal="center" vertical="center" shrinkToFit="1"/>
    </xf>
    <xf numFmtId="0" fontId="40" fillId="0" borderId="14" xfId="0" applyFont="1" applyBorder="1" applyAlignment="1" applyProtection="1">
      <alignment vertical="center"/>
      <protection locked="0"/>
    </xf>
    <xf numFmtId="0" fontId="39" fillId="0" borderId="0" xfId="0" applyFont="1" applyAlignment="1">
      <alignment vertical="center"/>
    </xf>
    <xf numFmtId="0" fontId="72" fillId="0" borderId="11" xfId="0" applyFont="1" applyBorder="1" applyAlignment="1">
      <alignment horizontal="center" vertical="center"/>
    </xf>
    <xf numFmtId="49" fontId="77" fillId="0" borderId="10" xfId="0" applyNumberFormat="1" applyFont="1" applyBorder="1" applyAlignment="1">
      <alignment horizontal="center" vertical="center" wrapText="1"/>
    </xf>
    <xf numFmtId="49" fontId="77" fillId="0" borderId="11" xfId="0" applyNumberFormat="1" applyFont="1" applyBorder="1" applyAlignment="1">
      <alignment horizontal="center" vertical="center" wrapText="1"/>
    </xf>
    <xf numFmtId="49" fontId="72" fillId="0" borderId="14" xfId="0" applyNumberFormat="1" applyFont="1" applyBorder="1" applyAlignment="1">
      <alignment horizontal="center" vertical="center"/>
    </xf>
    <xf numFmtId="49" fontId="77" fillId="0" borderId="14" xfId="3" applyNumberFormat="1" applyFont="1" applyBorder="1" applyAlignment="1">
      <alignment horizontal="center" vertical="center" wrapText="1"/>
    </xf>
    <xf numFmtId="0" fontId="3" fillId="0" borderId="11" xfId="0" applyFont="1" applyBorder="1" applyAlignment="1">
      <alignment horizontal="center" vertical="center"/>
    </xf>
    <xf numFmtId="0" fontId="70" fillId="0" borderId="57" xfId="0" applyFont="1" applyBorder="1" applyAlignment="1">
      <alignment horizontal="center" vertical="center" wrapText="1"/>
    </xf>
    <xf numFmtId="0" fontId="72" fillId="0" borderId="19" xfId="0" applyFont="1" applyBorder="1" applyAlignment="1" applyProtection="1">
      <alignment horizontal="center" vertical="center"/>
      <protection locked="0"/>
    </xf>
    <xf numFmtId="0" fontId="79" fillId="0" borderId="57" xfId="0" applyFont="1" applyBorder="1" applyAlignment="1">
      <alignment horizontal="center" vertical="center"/>
    </xf>
    <xf numFmtId="0" fontId="80" fillId="0" borderId="19" xfId="3" applyFont="1" applyBorder="1" applyAlignment="1" applyProtection="1">
      <alignment horizontal="center" vertical="center"/>
      <protection locked="0"/>
    </xf>
    <xf numFmtId="0" fontId="80" fillId="0" borderId="57" xfId="3" applyFont="1" applyBorder="1" applyAlignment="1" applyProtection="1">
      <alignment horizontal="center" vertical="center"/>
      <protection locked="0"/>
    </xf>
    <xf numFmtId="0" fontId="70" fillId="0" borderId="142" xfId="0" applyFont="1" applyBorder="1" applyAlignment="1">
      <alignment horizontal="center" vertical="center" wrapText="1"/>
    </xf>
    <xf numFmtId="0" fontId="72" fillId="0" borderId="5" xfId="0" applyFont="1" applyBorder="1" applyAlignment="1" applyProtection="1">
      <alignment horizontal="center" vertical="center"/>
      <protection locked="0"/>
    </xf>
    <xf numFmtId="0" fontId="79" fillId="0" borderId="4" xfId="0" applyFont="1" applyBorder="1" applyAlignment="1">
      <alignment horizontal="center" vertical="center"/>
    </xf>
    <xf numFmtId="0" fontId="71" fillId="0" borderId="8" xfId="3" applyFont="1" applyBorder="1" applyAlignment="1" applyProtection="1">
      <alignment horizontal="center" vertical="center"/>
      <protection locked="0"/>
    </xf>
    <xf numFmtId="0" fontId="71" fillId="0" borderId="17" xfId="3" applyFont="1" applyBorder="1" applyAlignment="1" applyProtection="1">
      <alignment horizontal="center" vertical="center"/>
      <protection locked="0"/>
    </xf>
    <xf numFmtId="0" fontId="3" fillId="0" borderId="18" xfId="0" applyFont="1" applyBorder="1" applyAlignment="1">
      <alignment horizontal="center" vertical="center"/>
    </xf>
    <xf numFmtId="0" fontId="81" fillId="0" borderId="5" xfId="0" applyFont="1" applyBorder="1" applyAlignment="1" applyProtection="1">
      <alignment horizontal="center" vertical="center"/>
      <protection locked="0"/>
    </xf>
    <xf numFmtId="0" fontId="70" fillId="0" borderId="19" xfId="0" applyFont="1" applyBorder="1" applyAlignment="1">
      <alignment horizontal="center" vertical="center" wrapText="1"/>
    </xf>
    <xf numFmtId="0" fontId="72" fillId="0" borderId="18" xfId="0" applyFont="1" applyBorder="1" applyAlignment="1">
      <alignment wrapText="1"/>
    </xf>
    <xf numFmtId="0" fontId="72" fillId="0" borderId="143" xfId="0" applyFont="1" applyBorder="1" applyAlignment="1">
      <alignment wrapText="1"/>
    </xf>
    <xf numFmtId="0" fontId="70" fillId="0" borderId="5" xfId="0" applyFont="1" applyBorder="1" applyAlignment="1">
      <alignment horizontal="center" vertical="center" wrapText="1"/>
    </xf>
    <xf numFmtId="0" fontId="72" fillId="0" borderId="144" xfId="0" applyFont="1" applyBorder="1"/>
    <xf numFmtId="0" fontId="72" fillId="0" borderId="92" xfId="0" applyFont="1" applyBorder="1"/>
    <xf numFmtId="0" fontId="70" fillId="0" borderId="4" xfId="0" applyFont="1" applyBorder="1" applyAlignment="1">
      <alignment horizontal="center" vertical="center" wrapText="1"/>
    </xf>
    <xf numFmtId="0" fontId="72" fillId="0" borderId="145" xfId="0" applyFont="1" applyBorder="1" applyAlignment="1" applyProtection="1">
      <alignment horizontal="center" vertical="center"/>
      <protection locked="0"/>
    </xf>
    <xf numFmtId="0" fontId="79" fillId="0" borderId="87" xfId="0" applyFont="1" applyBorder="1" applyAlignment="1">
      <alignment horizontal="center" vertical="center"/>
    </xf>
    <xf numFmtId="0" fontId="71" fillId="0" borderId="87" xfId="3" applyFont="1" applyBorder="1" applyAlignment="1" applyProtection="1">
      <alignment horizontal="center" vertical="center"/>
      <protection locked="0"/>
    </xf>
    <xf numFmtId="0" fontId="72" fillId="0" borderId="146" xfId="0" applyFont="1" applyBorder="1"/>
    <xf numFmtId="0" fontId="72" fillId="0" borderId="0" xfId="0" applyFont="1" applyAlignment="1">
      <alignment vertical="center"/>
    </xf>
    <xf numFmtId="0" fontId="70" fillId="0" borderId="0" xfId="0" applyFont="1" applyAlignment="1">
      <alignment horizontal="center" vertical="center" wrapText="1"/>
    </xf>
    <xf numFmtId="0" fontId="72" fillId="0" borderId="0" xfId="0" applyFont="1" applyAlignment="1">
      <alignment horizontal="center" vertical="center"/>
    </xf>
    <xf numFmtId="0" fontId="82" fillId="0" borderId="148" xfId="0" applyFont="1" applyBorder="1" applyAlignment="1">
      <alignment horizontal="center" vertical="center"/>
    </xf>
    <xf numFmtId="0" fontId="83" fillId="0" borderId="148" xfId="3" applyFont="1" applyBorder="1" applyAlignment="1">
      <alignment horizontal="center" vertical="center"/>
    </xf>
    <xf numFmtId="0" fontId="7" fillId="0" borderId="117" xfId="0" applyFont="1" applyBorder="1" applyAlignment="1">
      <alignment horizontal="left" vertical="top"/>
    </xf>
    <xf numFmtId="0" fontId="7" fillId="0" borderId="149" xfId="0" applyFont="1" applyBorder="1" applyAlignment="1">
      <alignment horizontal="left" vertical="top"/>
    </xf>
    <xf numFmtId="0" fontId="81" fillId="0" borderId="0" xfId="0" applyFont="1" applyAlignment="1">
      <alignment horizontal="center"/>
    </xf>
    <xf numFmtId="0" fontId="72" fillId="0" borderId="0" xfId="0" applyFont="1" applyAlignment="1">
      <alignment horizontal="center"/>
    </xf>
    <xf numFmtId="0" fontId="83" fillId="0" borderId="152" xfId="0" applyFont="1" applyBorder="1" applyAlignment="1">
      <alignment horizontal="center" vertical="center"/>
    </xf>
    <xf numFmtId="0" fontId="83" fillId="0" borderId="153" xfId="3" applyFont="1" applyBorder="1" applyAlignment="1">
      <alignment horizontal="center" vertical="center"/>
    </xf>
    <xf numFmtId="0" fontId="84" fillId="13" borderId="145" xfId="0" applyFont="1" applyFill="1" applyBorder="1" applyAlignment="1">
      <alignment horizontal="center" vertical="center"/>
    </xf>
    <xf numFmtId="0" fontId="84" fillId="13" borderId="86" xfId="0" applyFont="1" applyFill="1" applyBorder="1" applyAlignment="1">
      <alignment horizontal="center" vertical="center"/>
    </xf>
    <xf numFmtId="0" fontId="72" fillId="0" borderId="0" xfId="0" applyFont="1" applyAlignment="1">
      <alignment horizontal="right"/>
    </xf>
    <xf numFmtId="0" fontId="72" fillId="0" borderId="14" xfId="0" applyFont="1" applyBorder="1" applyAlignment="1">
      <alignment horizontal="left" vertical="top" wrapText="1"/>
    </xf>
    <xf numFmtId="0" fontId="72" fillId="0" borderId="10" xfId="0" applyFont="1" applyBorder="1" applyAlignment="1">
      <alignment horizontal="left" vertical="center"/>
    </xf>
    <xf numFmtId="0" fontId="72" fillId="0" borderId="14" xfId="0" applyFont="1" applyBorder="1" applyAlignment="1">
      <alignment horizontal="left" vertical="top"/>
    </xf>
    <xf numFmtId="0" fontId="72" fillId="0" borderId="12" xfId="0" applyFont="1" applyBorder="1" applyAlignment="1">
      <alignment vertical="center"/>
    </xf>
    <xf numFmtId="0" fontId="86" fillId="0" borderId="0" xfId="0" applyFont="1"/>
    <xf numFmtId="0" fontId="87" fillId="0" borderId="0" xfId="0" applyFont="1"/>
    <xf numFmtId="0" fontId="39" fillId="0" borderId="0" xfId="0" applyFont="1" applyAlignment="1">
      <alignment horizontal="center"/>
    </xf>
    <xf numFmtId="0" fontId="3" fillId="0" borderId="0" xfId="0" applyFont="1" applyAlignment="1">
      <alignment horizontal="left"/>
    </xf>
    <xf numFmtId="0" fontId="40" fillId="0" borderId="4" xfId="0" applyFont="1" applyBorder="1" applyAlignment="1" applyProtection="1">
      <alignment vertical="center"/>
      <protection locked="0"/>
    </xf>
    <xf numFmtId="0" fontId="72" fillId="0" borderId="154" xfId="0" applyFont="1" applyBorder="1" applyAlignment="1">
      <alignment horizontal="center" vertical="center"/>
    </xf>
    <xf numFmtId="0" fontId="72" fillId="0" borderId="9" xfId="0" applyFont="1" applyBorder="1" applyProtection="1">
      <protection locked="0"/>
    </xf>
    <xf numFmtId="0" fontId="70" fillId="0" borderId="16" xfId="0" applyFont="1" applyBorder="1" applyAlignment="1">
      <alignment horizontal="center" vertical="center" wrapText="1"/>
    </xf>
    <xf numFmtId="0" fontId="72" fillId="0" borderId="16" xfId="0" applyFont="1" applyBorder="1" applyAlignment="1" applyProtection="1">
      <alignment horizontal="center" vertical="center"/>
      <protection locked="0"/>
    </xf>
    <xf numFmtId="0" fontId="79" fillId="0" borderId="22" xfId="0" applyFont="1" applyBorder="1" applyAlignment="1">
      <alignment horizontal="center" vertical="center"/>
    </xf>
    <xf numFmtId="0" fontId="71" fillId="0" borderId="22" xfId="3" applyFont="1" applyBorder="1" applyAlignment="1" applyProtection="1">
      <alignment horizontal="center" vertical="center"/>
      <protection locked="0"/>
    </xf>
    <xf numFmtId="0" fontId="71" fillId="0" borderId="16" xfId="3"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40" fillId="0" borderId="18" xfId="0" applyFont="1" applyBorder="1" applyAlignment="1">
      <alignment horizontal="center" vertical="center"/>
    </xf>
    <xf numFmtId="0" fontId="72" fillId="0" borderId="58" xfId="0" applyFont="1" applyBorder="1" applyAlignment="1">
      <alignment horizontal="center" vertical="center" wrapText="1"/>
    </xf>
    <xf numFmtId="0" fontId="72" fillId="0" borderId="17" xfId="0" applyFont="1" applyBorder="1" applyAlignment="1" applyProtection="1">
      <alignment horizontal="center" vertical="center"/>
      <protection locked="0"/>
    </xf>
    <xf numFmtId="0" fontId="72" fillId="0" borderId="59" xfId="0" applyFont="1" applyBorder="1" applyAlignment="1" applyProtection="1">
      <alignment horizontal="center" vertical="center"/>
      <protection locked="0"/>
    </xf>
    <xf numFmtId="0" fontId="79" fillId="0" borderId="8" xfId="0" applyFont="1" applyBorder="1" applyAlignment="1">
      <alignment horizontal="center" vertical="center"/>
    </xf>
    <xf numFmtId="0" fontId="80" fillId="0" borderId="17" xfId="3" applyFont="1" applyBorder="1" applyAlignment="1" applyProtection="1">
      <alignment horizontal="center" vertical="center"/>
      <protection locked="0"/>
    </xf>
    <xf numFmtId="0" fontId="80" fillId="0" borderId="8" xfId="3" applyFont="1" applyBorder="1" applyAlignment="1" applyProtection="1">
      <alignment horizontal="center" vertical="center"/>
      <protection locked="0"/>
    </xf>
    <xf numFmtId="0" fontId="70" fillId="0" borderId="8" xfId="0" applyFont="1" applyBorder="1" applyAlignment="1">
      <alignment horizontal="center" vertical="center" wrapText="1"/>
    </xf>
    <xf numFmtId="0" fontId="72" fillId="0" borderId="5" xfId="0" applyFont="1" applyBorder="1" applyAlignment="1">
      <alignment horizontal="center" vertical="center"/>
    </xf>
    <xf numFmtId="0" fontId="79" fillId="0" borderId="11" xfId="0" applyFont="1" applyBorder="1" applyAlignment="1">
      <alignment horizontal="center" vertical="center"/>
    </xf>
    <xf numFmtId="0" fontId="71" fillId="0" borderId="154" xfId="3" applyFont="1" applyBorder="1" applyAlignment="1">
      <alignment horizontal="center" vertical="center"/>
    </xf>
    <xf numFmtId="0" fontId="72" fillId="0" borderId="12" xfId="0" applyFont="1" applyBorder="1" applyProtection="1">
      <protection locked="0"/>
    </xf>
    <xf numFmtId="0" fontId="70" fillId="0" borderId="5" xfId="0" applyFont="1" applyBorder="1" applyProtection="1">
      <protection locked="0"/>
    </xf>
    <xf numFmtId="0" fontId="70" fillId="0" borderId="9" xfId="0" applyFont="1" applyBorder="1" applyProtection="1">
      <protection locked="0"/>
    </xf>
    <xf numFmtId="0" fontId="70" fillId="0" borderId="12" xfId="0" applyFont="1" applyBorder="1" applyAlignment="1" applyProtection="1">
      <alignment wrapText="1"/>
      <protection locked="0"/>
    </xf>
    <xf numFmtId="0" fontId="72" fillId="12" borderId="19" xfId="0" applyFont="1" applyFill="1" applyBorder="1" applyAlignment="1" applyProtection="1">
      <alignment horizontal="center" vertical="center"/>
      <protection locked="0"/>
    </xf>
    <xf numFmtId="0" fontId="72" fillId="12" borderId="16" xfId="0" applyFont="1" applyFill="1" applyBorder="1" applyAlignment="1" applyProtection="1">
      <alignment horizontal="center" vertical="center"/>
      <protection locked="0"/>
    </xf>
    <xf numFmtId="0" fontId="72" fillId="12" borderId="17" xfId="0" applyFont="1" applyFill="1" applyBorder="1" applyAlignment="1" applyProtection="1">
      <alignment horizontal="center" vertical="center"/>
      <protection locked="0"/>
    </xf>
    <xf numFmtId="0" fontId="72" fillId="12" borderId="59" xfId="0" applyFont="1" applyFill="1" applyBorder="1" applyAlignment="1" applyProtection="1">
      <alignment horizontal="center" vertical="center"/>
      <protection locked="0"/>
    </xf>
    <xf numFmtId="0" fontId="70" fillId="0" borderId="11" xfId="0" applyFont="1" applyBorder="1" applyAlignment="1">
      <alignment horizontal="center" vertical="center" wrapText="1"/>
    </xf>
    <xf numFmtId="0" fontId="72" fillId="0" borderId="7" xfId="0" applyFont="1" applyBorder="1" applyAlignment="1">
      <alignment horizontal="center" vertical="center"/>
    </xf>
    <xf numFmtId="0" fontId="79" fillId="0" borderId="6" xfId="0" applyFont="1" applyBorder="1" applyAlignment="1">
      <alignment horizontal="center" vertical="center"/>
    </xf>
    <xf numFmtId="0" fontId="71" fillId="0" borderId="155" xfId="3" applyFont="1" applyBorder="1" applyAlignment="1">
      <alignment horizontal="center" vertical="center"/>
    </xf>
    <xf numFmtId="0" fontId="72" fillId="0" borderId="155" xfId="0" applyFont="1" applyBorder="1" applyAlignment="1">
      <alignment horizontal="center" vertical="center"/>
    </xf>
    <xf numFmtId="0" fontId="70" fillId="0" borderId="5" xfId="0" applyFont="1" applyBorder="1" applyAlignment="1" applyProtection="1">
      <alignment wrapText="1"/>
      <protection locked="0"/>
    </xf>
    <xf numFmtId="0" fontId="72" fillId="0" borderId="148" xfId="0" applyFont="1" applyBorder="1" applyAlignment="1">
      <alignment horizontal="center" vertical="center"/>
    </xf>
    <xf numFmtId="0" fontId="81" fillId="0" borderId="120" xfId="3" applyFont="1" applyBorder="1" applyAlignment="1">
      <alignment horizontal="center" vertical="center"/>
    </xf>
    <xf numFmtId="0" fontId="81" fillId="0" borderId="114" xfId="3" applyFont="1" applyBorder="1" applyAlignment="1">
      <alignment horizontal="center" vertical="center"/>
    </xf>
    <xf numFmtId="0" fontId="7" fillId="0" borderId="115" xfId="0" applyFont="1" applyBorder="1" applyAlignment="1">
      <alignment horizontal="left" vertical="top"/>
    </xf>
    <xf numFmtId="0" fontId="7" fillId="0" borderId="85" xfId="0" applyFont="1" applyBorder="1" applyAlignment="1">
      <alignment horizontal="left" vertical="top"/>
    </xf>
    <xf numFmtId="0" fontId="72" fillId="0" borderId="6" xfId="0" applyFont="1" applyBorder="1" applyAlignment="1">
      <alignment horizontal="center" vertical="center"/>
    </xf>
    <xf numFmtId="0" fontId="90" fillId="0" borderId="6" xfId="3" applyFont="1" applyBorder="1" applyAlignment="1">
      <alignment horizontal="center" vertical="center"/>
    </xf>
    <xf numFmtId="0" fontId="90" fillId="0" borderId="1" xfId="3" applyFont="1" applyBorder="1" applyAlignment="1">
      <alignment horizontal="center" vertical="center"/>
    </xf>
    <xf numFmtId="0" fontId="84" fillId="0" borderId="8" xfId="0" applyFont="1" applyBorder="1"/>
    <xf numFmtId="0" fontId="84" fillId="0" borderId="106" xfId="0" applyFont="1" applyBorder="1"/>
    <xf numFmtId="0" fontId="72" fillId="0" borderId="11" xfId="0" applyFont="1" applyBorder="1" applyAlignment="1">
      <alignment wrapText="1"/>
    </xf>
    <xf numFmtId="0" fontId="72" fillId="0" borderId="11" xfId="0" applyFont="1" applyBorder="1"/>
    <xf numFmtId="0" fontId="10" fillId="0" borderId="6" xfId="0" applyFont="1" applyBorder="1" applyAlignment="1">
      <alignment horizontal="left" vertical="top"/>
    </xf>
    <xf numFmtId="0" fontId="10" fillId="0" borderId="2" xfId="0" applyFont="1" applyBorder="1" applyAlignment="1">
      <alignment horizontal="left" vertical="top"/>
    </xf>
    <xf numFmtId="0" fontId="10" fillId="0" borderId="20" xfId="0" applyFont="1" applyBorder="1" applyAlignment="1">
      <alignment horizontal="left" vertical="top"/>
    </xf>
    <xf numFmtId="0" fontId="84" fillId="0" borderId="145" xfId="0" applyFont="1" applyBorder="1"/>
    <xf numFmtId="0" fontId="84" fillId="0" borderId="86" xfId="0" applyFont="1" applyBorder="1"/>
    <xf numFmtId="0" fontId="71" fillId="0" borderId="0" xfId="3" applyFont="1" applyAlignment="1">
      <alignment horizontal="center" vertical="center"/>
    </xf>
    <xf numFmtId="0" fontId="84" fillId="13" borderId="0" xfId="0" applyFont="1" applyFill="1"/>
    <xf numFmtId="0" fontId="37" fillId="0" borderId="0" xfId="0" applyFont="1" applyAlignment="1">
      <alignment horizontal="centerContinuous" vertical="center"/>
    </xf>
    <xf numFmtId="0" fontId="35" fillId="0" borderId="0" xfId="0" applyFont="1" applyAlignment="1">
      <alignment horizontal="centerContinuous" vertical="center"/>
    </xf>
    <xf numFmtId="0" fontId="26" fillId="0" borderId="0" xfId="0" applyFont="1" applyAlignment="1">
      <alignment horizontal="left"/>
    </xf>
    <xf numFmtId="0" fontId="35" fillId="0" borderId="0" xfId="0" applyFont="1" applyAlignment="1">
      <alignment horizontal="left" vertical="center"/>
    </xf>
    <xf numFmtId="0" fontId="36" fillId="0" borderId="0" xfId="3" applyFont="1"/>
    <xf numFmtId="49" fontId="13" fillId="0" borderId="1" xfId="3" applyNumberFormat="1" applyFont="1" applyBorder="1" applyAlignment="1">
      <alignment horizontal="center" vertical="center" wrapText="1"/>
    </xf>
    <xf numFmtId="49" fontId="13" fillId="0" borderId="6" xfId="3" applyNumberFormat="1" applyFont="1" applyBorder="1" applyAlignment="1">
      <alignment horizontal="center" vertical="center" wrapText="1"/>
    </xf>
    <xf numFmtId="0" fontId="9" fillId="0" borderId="11" xfId="0" applyFont="1" applyBorder="1" applyAlignment="1">
      <alignment horizontal="center" vertical="center" wrapText="1"/>
    </xf>
    <xf numFmtId="0" fontId="7" fillId="5" borderId="57" xfId="0" applyFont="1" applyFill="1" applyBorder="1" applyAlignment="1">
      <alignment horizontal="center" vertical="center"/>
    </xf>
    <xf numFmtId="0" fontId="7" fillId="5" borderId="19" xfId="3" applyFont="1" applyFill="1" applyBorder="1" applyAlignment="1">
      <alignment horizontal="center" vertical="center"/>
    </xf>
    <xf numFmtId="0" fontId="7" fillId="5" borderId="57" xfId="3" applyFont="1" applyFill="1" applyBorder="1" applyAlignment="1">
      <alignment horizontal="center" vertical="center"/>
    </xf>
    <xf numFmtId="0" fontId="7" fillId="0" borderId="6" xfId="0" applyFont="1" applyBorder="1" applyAlignment="1">
      <alignment horizontal="left" vertical="top"/>
    </xf>
    <xf numFmtId="0" fontId="7" fillId="5" borderId="58" xfId="0" applyFont="1" applyFill="1" applyBorder="1" applyAlignment="1">
      <alignment horizontal="center" vertical="center"/>
    </xf>
    <xf numFmtId="0" fontId="7" fillId="5" borderId="58" xfId="3" applyFont="1" applyFill="1" applyBorder="1" applyAlignment="1">
      <alignment horizontal="center" vertical="center"/>
    </xf>
    <xf numFmtId="0" fontId="6" fillId="5" borderId="5" xfId="0" applyFont="1" applyFill="1" applyBorder="1"/>
    <xf numFmtId="0" fontId="34" fillId="0" borderId="0" xfId="3" applyFont="1" applyAlignment="1">
      <alignment horizontal="center"/>
    </xf>
    <xf numFmtId="0" fontId="7" fillId="0" borderId="0" xfId="0" applyFont="1" applyAlignment="1">
      <alignment vertical="center" wrapText="1"/>
    </xf>
    <xf numFmtId="0" fontId="7" fillId="0" borderId="0" xfId="3" applyFont="1" applyAlignment="1">
      <alignment vertical="center"/>
    </xf>
    <xf numFmtId="0" fontId="7" fillId="0" borderId="0" xfId="0" applyFont="1" applyAlignment="1">
      <alignment wrapText="1"/>
    </xf>
    <xf numFmtId="49" fontId="13"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13" fillId="0" borderId="0" xfId="3" applyNumberFormat="1" applyFont="1" applyAlignment="1">
      <alignment horizontal="center" vertical="center" wrapText="1"/>
    </xf>
    <xf numFmtId="0" fontId="34" fillId="0" borderId="0" xfId="0" applyFont="1" applyAlignment="1">
      <alignment horizontal="center" vertical="center"/>
    </xf>
    <xf numFmtId="0" fontId="34" fillId="0" borderId="0" xfId="3" applyFont="1" applyAlignment="1">
      <alignment horizontal="center" vertical="center"/>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7" fillId="5" borderId="14" xfId="3" applyFont="1" applyFill="1" applyBorder="1" applyAlignment="1">
      <alignment horizontal="center" vertical="center"/>
    </xf>
    <xf numFmtId="0" fontId="7" fillId="5" borderId="11" xfId="3" applyFont="1" applyFill="1" applyBorder="1" applyAlignment="1">
      <alignment horizontal="center" vertical="center"/>
    </xf>
    <xf numFmtId="0" fontId="7" fillId="5" borderId="3" xfId="3" applyFont="1" applyFill="1" applyBorder="1" applyAlignment="1">
      <alignment horizontal="center" vertical="center"/>
    </xf>
    <xf numFmtId="0" fontId="7" fillId="0" borderId="0" xfId="0" applyFont="1" applyAlignment="1">
      <alignment horizontal="left" vertical="top"/>
    </xf>
    <xf numFmtId="0" fontId="7" fillId="5" borderId="1" xfId="3" applyFont="1" applyFill="1" applyBorder="1" applyAlignment="1">
      <alignment horizontal="center" vertical="center"/>
    </xf>
    <xf numFmtId="0" fontId="7" fillId="5" borderId="6" xfId="3" applyFont="1" applyFill="1" applyBorder="1" applyAlignment="1">
      <alignment horizontal="center" vertical="center"/>
    </xf>
    <xf numFmtId="0" fontId="7" fillId="5" borderId="7" xfId="0" applyFont="1" applyFill="1" applyBorder="1"/>
    <xf numFmtId="0" fontId="7" fillId="0" borderId="2" xfId="0" applyFont="1" applyBorder="1" applyAlignment="1">
      <alignment horizontal="left" vertical="top"/>
    </xf>
    <xf numFmtId="0" fontId="7" fillId="0" borderId="3" xfId="0" applyFont="1" applyBorder="1" applyAlignment="1">
      <alignment horizontal="left" vertical="top"/>
    </xf>
    <xf numFmtId="0" fontId="7" fillId="5" borderId="5" xfId="0" applyFont="1" applyFill="1" applyBorder="1"/>
    <xf numFmtId="0" fontId="17" fillId="0" borderId="0" xfId="0" applyFont="1" applyAlignment="1">
      <alignment vertical="top" wrapText="1"/>
    </xf>
    <xf numFmtId="0" fontId="34" fillId="0" borderId="11" xfId="0" applyFont="1" applyBorder="1" applyAlignment="1">
      <alignment horizontal="center" vertical="center"/>
    </xf>
    <xf numFmtId="0" fontId="34" fillId="0" borderId="11" xfId="3" applyFont="1" applyBorder="1" applyAlignment="1">
      <alignment horizontal="center" vertical="center"/>
    </xf>
    <xf numFmtId="0" fontId="34" fillId="0" borderId="14" xfId="3" applyFont="1" applyBorder="1" applyAlignment="1">
      <alignment horizontal="center" vertical="center"/>
    </xf>
    <xf numFmtId="0" fontId="6" fillId="0" borderId="6" xfId="0" applyFont="1" applyBorder="1" applyAlignment="1">
      <alignment horizontal="left" vertical="top"/>
    </xf>
    <xf numFmtId="0" fontId="34" fillId="0" borderId="8" xfId="0" applyFont="1" applyBorder="1" applyAlignment="1">
      <alignment horizontal="center" vertical="center"/>
    </xf>
    <xf numFmtId="0" fontId="34" fillId="0" borderId="6" xfId="3" applyFont="1" applyBorder="1" applyAlignment="1">
      <alignment horizontal="center" vertical="center"/>
    </xf>
    <xf numFmtId="0" fontId="34" fillId="0" borderId="1" xfId="3" applyFont="1" applyBorder="1" applyAlignment="1">
      <alignment horizontal="center" vertical="center"/>
    </xf>
    <xf numFmtId="0" fontId="23" fillId="0" borderId="5" xfId="0" applyFont="1" applyBorder="1"/>
    <xf numFmtId="0" fontId="6" fillId="0" borderId="7" xfId="0" applyFont="1" applyBorder="1" applyAlignment="1">
      <alignment horizontal="left" vertical="top"/>
    </xf>
    <xf numFmtId="0" fontId="6" fillId="0" borderId="0" xfId="0" applyFont="1" applyAlignment="1">
      <alignment horizontal="left" vertical="top"/>
    </xf>
    <xf numFmtId="0" fontId="6" fillId="0" borderId="9" xfId="0" applyFont="1" applyBorder="1" applyAlignment="1">
      <alignment horizontal="left" vertical="top"/>
    </xf>
    <xf numFmtId="0" fontId="70" fillId="0" borderId="0" xfId="0" applyFont="1"/>
    <xf numFmtId="0" fontId="39" fillId="0" borderId="8" xfId="0" applyFont="1" applyBorder="1"/>
    <xf numFmtId="38" fontId="39" fillId="0" borderId="82" xfId="2" applyFont="1" applyFill="1" applyBorder="1" applyAlignment="1">
      <alignment horizontal="right"/>
    </xf>
    <xf numFmtId="0" fontId="39" fillId="0" borderId="59" xfId="0" applyFont="1" applyBorder="1" applyAlignment="1">
      <alignment horizontal="right"/>
    </xf>
    <xf numFmtId="0" fontId="39" fillId="0" borderId="82" xfId="0" applyFont="1" applyBorder="1" applyAlignment="1">
      <alignment horizontal="left"/>
    </xf>
    <xf numFmtId="0" fontId="43" fillId="0" borderId="0" xfId="0" applyFont="1"/>
    <xf numFmtId="0" fontId="44" fillId="0" borderId="8" xfId="0" applyFont="1" applyBorder="1" applyAlignment="1">
      <alignment wrapText="1"/>
    </xf>
    <xf numFmtId="0" fontId="39" fillId="0" borderId="0" xfId="0" applyFont="1" applyAlignment="1">
      <alignment horizontal="right"/>
    </xf>
    <xf numFmtId="38" fontId="39" fillId="0" borderId="0" xfId="2" applyFont="1" applyBorder="1" applyAlignment="1" applyProtection="1">
      <alignment horizontal="center"/>
    </xf>
    <xf numFmtId="0" fontId="39" fillId="0" borderId="8" xfId="0" applyFont="1" applyBorder="1" applyAlignment="1">
      <alignment horizontal="right"/>
    </xf>
    <xf numFmtId="38" fontId="85" fillId="0" borderId="0" xfId="2" applyFont="1" applyFill="1" applyBorder="1" applyAlignment="1" applyProtection="1"/>
    <xf numFmtId="0" fontId="39" fillId="0" borderId="9" xfId="0" applyFont="1" applyBorder="1"/>
    <xf numFmtId="0" fontId="77" fillId="0" borderId="0" xfId="0" applyFont="1" applyAlignment="1">
      <alignment wrapText="1"/>
    </xf>
    <xf numFmtId="0" fontId="39" fillId="0" borderId="0" xfId="0" applyFont="1" applyAlignment="1">
      <alignment horizontal="right" vertical="center"/>
    </xf>
    <xf numFmtId="0" fontId="39" fillId="0" borderId="0" xfId="0" applyFont="1" applyAlignment="1">
      <alignment horizontal="center" vertical="center"/>
    </xf>
    <xf numFmtId="0" fontId="39" fillId="14" borderId="8" xfId="0" applyFont="1" applyFill="1" applyBorder="1" applyAlignment="1">
      <alignment horizontal="right" vertical="center"/>
    </xf>
    <xf numFmtId="0" fontId="39" fillId="14" borderId="9" xfId="0" applyFont="1" applyFill="1" applyBorder="1" applyAlignment="1">
      <alignment vertical="center"/>
    </xf>
    <xf numFmtId="0" fontId="39" fillId="0" borderId="8" xfId="0" applyFont="1" applyBorder="1" applyAlignment="1">
      <alignment horizontal="right" vertical="center"/>
    </xf>
    <xf numFmtId="0" fontId="39" fillId="0" borderId="9" xfId="0" applyFont="1" applyBorder="1" applyAlignment="1">
      <alignment vertical="center"/>
    </xf>
    <xf numFmtId="0" fontId="91" fillId="0" borderId="0" xfId="0" applyFont="1" applyAlignment="1">
      <alignment vertical="center"/>
    </xf>
    <xf numFmtId="0" fontId="9" fillId="0" borderId="9" xfId="0" applyFont="1" applyBorder="1" applyAlignment="1">
      <alignment horizontal="left" vertical="center" wrapText="1"/>
    </xf>
    <xf numFmtId="0" fontId="6" fillId="16" borderId="0" xfId="0" applyFont="1" applyFill="1"/>
    <xf numFmtId="0" fontId="6" fillId="16" borderId="8" xfId="0" applyFont="1" applyFill="1" applyBorder="1"/>
    <xf numFmtId="0" fontId="9" fillId="16" borderId="0" xfId="0" applyFont="1" applyFill="1"/>
    <xf numFmtId="0" fontId="92" fillId="16" borderId="0" xfId="0" applyFont="1" applyFill="1"/>
    <xf numFmtId="0" fontId="6" fillId="16" borderId="0" xfId="0" applyFont="1" applyFill="1" applyAlignment="1">
      <alignment horizontal="right"/>
    </xf>
    <xf numFmtId="0" fontId="6" fillId="16" borderId="0" xfId="0" applyFont="1" applyFill="1" applyAlignment="1">
      <alignment horizontal="center"/>
    </xf>
    <xf numFmtId="0" fontId="23" fillId="16" borderId="0" xfId="0" applyFont="1" applyFill="1"/>
    <xf numFmtId="0" fontId="6" fillId="16" borderId="9" xfId="0" applyFont="1" applyFill="1" applyBorder="1"/>
    <xf numFmtId="0" fontId="9" fillId="16" borderId="83" xfId="0" applyFont="1" applyFill="1" applyBorder="1" applyAlignment="1" applyProtection="1">
      <alignment horizontal="center"/>
      <protection locked="0"/>
    </xf>
    <xf numFmtId="0" fontId="39" fillId="16" borderId="0" xfId="0" applyFont="1" applyFill="1"/>
    <xf numFmtId="0" fontId="8" fillId="16" borderId="0" xfId="0" applyFont="1" applyFill="1"/>
    <xf numFmtId="0" fontId="6" fillId="16" borderId="8" xfId="0" applyFont="1" applyFill="1" applyBorder="1" applyAlignment="1">
      <alignment horizontal="right"/>
    </xf>
    <xf numFmtId="0" fontId="6" fillId="16" borderId="83" xfId="0" applyFont="1" applyFill="1" applyBorder="1" applyAlignment="1" applyProtection="1">
      <alignment horizontal="center"/>
      <protection locked="0"/>
    </xf>
    <xf numFmtId="38" fontId="23" fillId="16" borderId="0" xfId="2" applyFont="1" applyFill="1" applyBorder="1" applyAlignment="1" applyProtection="1"/>
    <xf numFmtId="38" fontId="6" fillId="16" borderId="0" xfId="2" applyFont="1" applyFill="1" applyBorder="1" applyAlignment="1" applyProtection="1"/>
    <xf numFmtId="0" fontId="7" fillId="16" borderId="0" xfId="0" applyFont="1" applyFill="1"/>
    <xf numFmtId="0" fontId="39" fillId="0" borderId="0" xfId="0" applyFont="1" applyAlignment="1">
      <alignment horizontal="distributed"/>
    </xf>
    <xf numFmtId="0" fontId="70" fillId="0" borderId="0" xfId="0" applyFont="1" applyAlignment="1">
      <alignment horizontal="left" vertical="center"/>
    </xf>
    <xf numFmtId="0" fontId="39" fillId="0" borderId="0" xfId="0" applyFont="1" applyAlignment="1">
      <alignment horizontal="left" vertical="top" wrapText="1"/>
    </xf>
    <xf numFmtId="38" fontId="39" fillId="0" borderId="0" xfId="2" applyFont="1" applyFill="1" applyBorder="1" applyAlignment="1" applyProtection="1"/>
    <xf numFmtId="0" fontId="70" fillId="0" borderId="0" xfId="0" applyFont="1" applyAlignment="1">
      <alignment horizontal="left" vertical="center" wrapText="1"/>
    </xf>
    <xf numFmtId="0" fontId="17" fillId="0" borderId="0" xfId="0" applyFont="1" applyAlignment="1">
      <alignment horizontal="left"/>
    </xf>
    <xf numFmtId="0" fontId="10" fillId="5" borderId="0" xfId="0" applyFont="1" applyFill="1"/>
    <xf numFmtId="0" fontId="9" fillId="0" borderId="7" xfId="0" applyFont="1" applyBorder="1" applyAlignment="1" applyProtection="1">
      <alignment horizontal="center" vertical="center"/>
      <protection locked="0"/>
    </xf>
    <xf numFmtId="0" fontId="39" fillId="0" borderId="7" xfId="0" applyFont="1" applyBorder="1" applyAlignment="1">
      <alignment vertical="center" wrapText="1"/>
    </xf>
    <xf numFmtId="38" fontId="17" fillId="0" borderId="11" xfId="1" applyFont="1" applyFill="1" applyBorder="1" applyAlignment="1" applyProtection="1">
      <alignment horizontal="right" vertical="center"/>
    </xf>
    <xf numFmtId="38" fontId="17" fillId="0" borderId="7" xfId="1" applyFont="1" applyFill="1" applyBorder="1" applyAlignment="1" applyProtection="1">
      <alignment vertical="center"/>
    </xf>
    <xf numFmtId="38" fontId="17" fillId="0" borderId="5" xfId="1" applyFont="1" applyFill="1" applyBorder="1" applyAlignment="1" applyProtection="1">
      <alignment vertical="center"/>
    </xf>
    <xf numFmtId="38" fontId="17" fillId="0" borderId="5" xfId="1" applyFont="1" applyFill="1" applyBorder="1" applyAlignment="1" applyProtection="1">
      <alignment horizontal="center" vertical="center"/>
    </xf>
    <xf numFmtId="38" fontId="17" fillId="0" borderId="7" xfId="1" applyFont="1" applyFill="1" applyBorder="1" applyAlignment="1" applyProtection="1">
      <alignment horizontal="center" vertical="center"/>
    </xf>
    <xf numFmtId="0" fontId="17" fillId="0" borderId="12" xfId="0" applyFont="1" applyBorder="1" applyAlignment="1" applyProtection="1">
      <alignment vertical="center"/>
      <protection locked="0"/>
    </xf>
    <xf numFmtId="0" fontId="7" fillId="5" borderId="58" xfId="0" applyFont="1" applyFill="1" applyBorder="1" applyAlignment="1">
      <alignment vertical="center"/>
    </xf>
    <xf numFmtId="0" fontId="7" fillId="5" borderId="57" xfId="0" applyFont="1" applyFill="1" applyBorder="1" applyAlignment="1">
      <alignment vertical="center"/>
    </xf>
    <xf numFmtId="0" fontId="70" fillId="0" borderId="0" xfId="0" applyFont="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22" fillId="0" borderId="7" xfId="4" applyFont="1" applyBorder="1" applyAlignment="1">
      <alignment vertical="center" shrinkToFit="1"/>
    </xf>
    <xf numFmtId="180" fontId="22" fillId="0" borderId="9" xfId="4" applyNumberFormat="1" applyFont="1" applyBorder="1" applyAlignment="1">
      <alignment vertical="center"/>
    </xf>
    <xf numFmtId="180" fontId="22" fillId="0" borderId="7" xfId="4" applyNumberFormat="1" applyFont="1" applyBorder="1" applyAlignment="1">
      <alignment vertical="center"/>
    </xf>
    <xf numFmtId="180" fontId="22" fillId="0" borderId="12" xfId="4" applyNumberFormat="1" applyFont="1" applyBorder="1" applyAlignment="1">
      <alignment vertical="center"/>
    </xf>
    <xf numFmtId="180" fontId="22" fillId="0" borderId="5" xfId="4" applyNumberFormat="1" applyFont="1" applyBorder="1" applyAlignment="1">
      <alignment vertical="center"/>
    </xf>
    <xf numFmtId="0" fontId="26" fillId="0" borderId="0" xfId="0" applyFont="1" applyAlignment="1" applyProtection="1">
      <alignment horizontal="centerContinuous" vertical="center"/>
      <protection locked="0"/>
    </xf>
    <xf numFmtId="0" fontId="21" fillId="0" borderId="18" xfId="4" applyFont="1" applyBorder="1"/>
    <xf numFmtId="0" fontId="39" fillId="0" borderId="7" xfId="0" applyFont="1" applyBorder="1" applyAlignment="1">
      <alignment vertical="center" shrinkToFit="1"/>
    </xf>
    <xf numFmtId="0" fontId="39" fillId="0" borderId="5" xfId="0" applyFont="1" applyBorder="1" applyAlignment="1">
      <alignment vertical="center" shrinkToFit="1"/>
    </xf>
    <xf numFmtId="38" fontId="17" fillId="2" borderId="7" xfId="1" applyFont="1" applyFill="1" applyBorder="1" applyAlignment="1" applyProtection="1">
      <alignment horizontal="right" vertical="center"/>
      <protection locked="0"/>
    </xf>
    <xf numFmtId="38" fontId="17" fillId="2" borderId="8" xfId="1" applyFont="1" applyFill="1" applyBorder="1" applyAlignment="1" applyProtection="1">
      <alignment horizontal="right" vertical="center"/>
      <protection locked="0"/>
    </xf>
    <xf numFmtId="38" fontId="17" fillId="2" borderId="5" xfId="1" applyFont="1" applyFill="1" applyBorder="1" applyAlignment="1" applyProtection="1">
      <alignment horizontal="right" vertical="center"/>
      <protection locked="0"/>
    </xf>
    <xf numFmtId="38" fontId="17" fillId="2" borderId="4" xfId="1" applyFont="1" applyFill="1" applyBorder="1" applyAlignment="1" applyProtection="1">
      <alignment horizontal="right" vertical="center"/>
      <protection locked="0"/>
    </xf>
    <xf numFmtId="38" fontId="17" fillId="2" borderId="7" xfId="1" applyFont="1" applyFill="1" applyBorder="1" applyAlignment="1" applyProtection="1">
      <alignment horizontal="right" vertical="center"/>
    </xf>
    <xf numFmtId="38" fontId="17" fillId="2" borderId="5" xfId="1" applyFont="1" applyFill="1" applyBorder="1" applyAlignment="1" applyProtection="1">
      <alignment horizontal="right" vertical="center"/>
    </xf>
    <xf numFmtId="38" fontId="17" fillId="2" borderId="9" xfId="1" applyFont="1" applyFill="1" applyBorder="1" applyAlignment="1" applyProtection="1">
      <alignment vertical="center"/>
      <protection locked="0"/>
    </xf>
    <xf numFmtId="0" fontId="17" fillId="2" borderId="8" xfId="0" applyFont="1" applyFill="1" applyBorder="1" applyAlignment="1" applyProtection="1">
      <alignment horizontal="right" vertical="center"/>
      <protection locked="0"/>
    </xf>
    <xf numFmtId="0" fontId="17" fillId="2" borderId="0" xfId="0" applyFont="1" applyFill="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8" xfId="0" applyFont="1" applyFill="1" applyBorder="1" applyAlignment="1" applyProtection="1">
      <alignment vertical="center"/>
      <protection locked="0"/>
    </xf>
    <xf numFmtId="38" fontId="17" fillId="2" borderId="0" xfId="1" applyFont="1" applyFill="1" applyBorder="1" applyAlignment="1" applyProtection="1">
      <alignment vertical="center"/>
      <protection locked="0"/>
    </xf>
    <xf numFmtId="0" fontId="17" fillId="2" borderId="0" xfId="0" applyFont="1" applyFill="1" applyAlignment="1" applyProtection="1">
      <alignment horizontal="right" vertical="center"/>
      <protection locked="0"/>
    </xf>
    <xf numFmtId="0" fontId="17" fillId="2" borderId="13" xfId="0" applyFont="1" applyFill="1" applyBorder="1" applyAlignment="1" applyProtection="1">
      <alignment vertical="center"/>
      <protection locked="0"/>
    </xf>
    <xf numFmtId="0" fontId="21" fillId="2" borderId="0" xfId="4" applyFont="1" applyFill="1"/>
    <xf numFmtId="0" fontId="21" fillId="2" borderId="0" xfId="8" applyFont="1" applyFill="1" applyAlignment="1">
      <alignment horizontal="right"/>
    </xf>
    <xf numFmtId="0" fontId="21" fillId="2" borderId="0" xfId="8" applyFont="1" applyFill="1"/>
    <xf numFmtId="38" fontId="6" fillId="2" borderId="7" xfId="1" applyFont="1" applyFill="1" applyBorder="1" applyAlignment="1" applyProtection="1">
      <alignment horizontal="right" vertical="center"/>
      <protection locked="0"/>
    </xf>
    <xf numFmtId="38" fontId="6" fillId="2" borderId="8" xfId="1" applyFont="1" applyFill="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9" xfId="0" applyFont="1" applyFill="1" applyBorder="1" applyAlignment="1" applyProtection="1">
      <alignment vertical="center"/>
      <protection locked="0"/>
    </xf>
    <xf numFmtId="38" fontId="17" fillId="2" borderId="7" xfId="1" applyFont="1" applyFill="1" applyBorder="1" applyAlignment="1" applyProtection="1">
      <alignment vertical="center"/>
    </xf>
    <xf numFmtId="38" fontId="17" fillId="2" borderId="5" xfId="1" applyFont="1" applyFill="1" applyBorder="1" applyAlignment="1" applyProtection="1">
      <alignment vertical="center"/>
    </xf>
    <xf numFmtId="0" fontId="17" fillId="2" borderId="12" xfId="0" applyFont="1" applyFill="1" applyBorder="1" applyAlignment="1" applyProtection="1">
      <alignment vertical="center"/>
      <protection locked="0"/>
    </xf>
    <xf numFmtId="0" fontId="10" fillId="6" borderId="8" xfId="0" applyFont="1" applyFill="1" applyBorder="1" applyAlignment="1">
      <alignment horizontal="center" vertical="center"/>
    </xf>
    <xf numFmtId="0" fontId="38" fillId="7" borderId="0" xfId="0" applyFont="1" applyFill="1" applyAlignment="1">
      <alignment horizontal="center" vertical="center"/>
    </xf>
    <xf numFmtId="0" fontId="22" fillId="0" borderId="1" xfId="4" applyFont="1" applyBorder="1" applyAlignment="1">
      <alignment horizontal="center" vertical="center"/>
    </xf>
    <xf numFmtId="0" fontId="22" fillId="0" borderId="3" xfId="4" applyFont="1" applyBorder="1" applyAlignment="1">
      <alignment horizontal="center" vertical="center"/>
    </xf>
    <xf numFmtId="0" fontId="22" fillId="0" borderId="0" xfId="4" applyFont="1" applyAlignment="1">
      <alignment horizontal="center" vertical="center"/>
    </xf>
    <xf numFmtId="0" fontId="22" fillId="0" borderId="14" xfId="4" applyFont="1" applyBorder="1" applyAlignment="1">
      <alignment horizontal="center" vertical="center"/>
    </xf>
    <xf numFmtId="0" fontId="22" fillId="0" borderId="10" xfId="4" applyFont="1" applyBorder="1" applyAlignment="1">
      <alignment horizontal="center" vertical="center"/>
    </xf>
    <xf numFmtId="0" fontId="22" fillId="0" borderId="15" xfId="4"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183" fontId="10"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0" borderId="0" xfId="0" applyFont="1" applyAlignment="1">
      <alignment horizontal="left"/>
    </xf>
    <xf numFmtId="0" fontId="10" fillId="2" borderId="0" xfId="0" applyFont="1" applyFill="1" applyAlignment="1">
      <alignment horizontal="right"/>
    </xf>
    <xf numFmtId="0" fontId="10" fillId="0" borderId="0" xfId="0" applyFont="1" applyAlignment="1">
      <alignment horizontal="left" shrinkToFit="1"/>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40" fillId="0" borderId="8" xfId="0" applyFont="1" applyBorder="1" applyAlignment="1" applyProtection="1">
      <alignment horizontal="left" vertical="center" shrinkToFit="1"/>
      <protection locked="0"/>
    </xf>
    <xf numFmtId="0" fontId="40" fillId="0" borderId="0" xfId="0" applyFont="1" applyAlignment="1" applyProtection="1">
      <alignment horizontal="left" vertical="center" shrinkToFit="1"/>
      <protection locked="0"/>
    </xf>
    <xf numFmtId="0" fontId="40" fillId="0" borderId="9" xfId="0" applyFont="1" applyBorder="1" applyAlignment="1" applyProtection="1">
      <alignment horizontal="left" vertical="center" shrinkToFit="1"/>
      <protection locked="0"/>
    </xf>
    <xf numFmtId="38" fontId="17" fillId="0" borderId="137" xfId="1" applyFont="1" applyFill="1" applyBorder="1" applyAlignment="1" applyProtection="1">
      <alignment horizontal="center" vertical="center"/>
    </xf>
    <xf numFmtId="38" fontId="17" fillId="0" borderId="136" xfId="1"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7" fillId="11" borderId="6" xfId="0" applyFont="1" applyFill="1" applyBorder="1" applyAlignment="1" applyProtection="1">
      <alignment horizontal="center" vertical="center"/>
      <protection locked="0"/>
    </xf>
    <xf numFmtId="0" fontId="17" fillId="11" borderId="7" xfId="0" applyFont="1" applyFill="1" applyBorder="1" applyAlignment="1" applyProtection="1">
      <alignment horizontal="center" vertical="center"/>
      <protection locked="0"/>
    </xf>
    <xf numFmtId="0" fontId="17" fillId="11" borderId="6" xfId="0" applyFont="1" applyFill="1" applyBorder="1" applyAlignment="1" applyProtection="1">
      <alignment horizontal="center" vertical="center" wrapText="1" shrinkToFit="1"/>
      <protection locked="0"/>
    </xf>
    <xf numFmtId="0" fontId="17" fillId="11" borderId="7" xfId="0" applyFont="1" applyFill="1" applyBorder="1" applyAlignment="1" applyProtection="1">
      <alignment horizontal="center" vertical="center" shrinkToFit="1"/>
      <protection locked="0"/>
    </xf>
    <xf numFmtId="38" fontId="17" fillId="11" borderId="137" xfId="1" applyFont="1" applyFill="1" applyBorder="1" applyAlignment="1" applyProtection="1">
      <alignment horizontal="center" vertical="center"/>
    </xf>
    <xf numFmtId="38" fontId="17" fillId="11" borderId="136" xfId="1" applyFont="1" applyFill="1" applyBorder="1" applyAlignment="1" applyProtection="1">
      <alignment horizontal="center" vertical="center"/>
    </xf>
    <xf numFmtId="0" fontId="6" fillId="0" borderId="0" xfId="0" applyFont="1" applyAlignment="1">
      <alignment horizontal="right"/>
    </xf>
    <xf numFmtId="38" fontId="6" fillId="0" borderId="0" xfId="2" applyFont="1" applyBorder="1" applyAlignment="1">
      <alignment horizontal="center"/>
    </xf>
    <xf numFmtId="38" fontId="6" fillId="3" borderId="0" xfId="2" applyFont="1" applyFill="1" applyBorder="1" applyAlignment="1"/>
    <xf numFmtId="0" fontId="13" fillId="0" borderId="8"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top" wrapText="1"/>
    </xf>
    <xf numFmtId="38" fontId="6" fillId="0" borderId="0" xfId="2" applyFont="1" applyBorder="1" applyAlignment="1">
      <alignment horizontal="right"/>
    </xf>
    <xf numFmtId="0" fontId="13" fillId="0" borderId="0" xfId="0" applyFont="1" applyAlignment="1">
      <alignment horizontal="center" wrapText="1" shrinkToFit="1"/>
    </xf>
    <xf numFmtId="0" fontId="13" fillId="0" borderId="0" xfId="0" applyFont="1" applyAlignment="1">
      <alignment horizontal="center" shrinkToFit="1"/>
    </xf>
    <xf numFmtId="38" fontId="6" fillId="0" borderId="0" xfId="2" applyFont="1" applyFill="1" applyBorder="1" applyAlignment="1">
      <alignment horizontal="right" wrapText="1"/>
    </xf>
    <xf numFmtId="38" fontId="6" fillId="0" borderId="0" xfId="2" applyFont="1" applyFill="1" applyBorder="1" applyAlignment="1">
      <alignment horizontal="right"/>
    </xf>
    <xf numFmtId="0" fontId="6" fillId="0" borderId="13" xfId="0" applyFont="1" applyBorder="1" applyAlignment="1">
      <alignment horizontal="center"/>
    </xf>
    <xf numFmtId="0" fontId="6" fillId="0" borderId="0" xfId="0" applyFont="1" applyAlignment="1">
      <alignment horizontal="left"/>
    </xf>
    <xf numFmtId="0" fontId="7" fillId="0" borderId="0" xfId="0" applyFont="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xf>
    <xf numFmtId="0" fontId="6" fillId="0" borderId="13" xfId="0" applyFont="1" applyBorder="1" applyAlignment="1">
      <alignment horizontal="left" shrinkToFit="1"/>
    </xf>
    <xf numFmtId="0" fontId="6" fillId="2" borderId="13" xfId="0" applyFont="1" applyFill="1" applyBorder="1" applyAlignment="1">
      <alignment horizontal="center"/>
    </xf>
    <xf numFmtId="38" fontId="6" fillId="0" borderId="0" xfId="2" applyFont="1" applyBorder="1" applyAlignment="1">
      <alignment horizontal="right" wrapText="1"/>
    </xf>
    <xf numFmtId="0" fontId="13" fillId="0" borderId="0" xfId="0" applyFont="1" applyAlignment="1">
      <alignment horizontal="left" vertical="top"/>
    </xf>
    <xf numFmtId="0" fontId="6" fillId="0" borderId="8" xfId="0" applyFont="1" applyBorder="1" applyAlignment="1">
      <alignment horizontal="center" shrinkToFit="1"/>
    </xf>
    <xf numFmtId="0" fontId="6" fillId="0" borderId="0" xfId="0" applyFont="1" applyAlignment="1">
      <alignment horizontal="center" shrinkToFit="1"/>
    </xf>
    <xf numFmtId="38" fontId="13" fillId="2" borderId="0" xfId="6" applyFont="1" applyFill="1" applyBorder="1" applyAlignment="1">
      <alignment horizontal="center" shrinkToFit="1"/>
    </xf>
    <xf numFmtId="0" fontId="16" fillId="0" borderId="0" xfId="0" applyFont="1" applyAlignment="1">
      <alignment horizontal="center"/>
    </xf>
    <xf numFmtId="38" fontId="6" fillId="3" borderId="0" xfId="0" applyNumberFormat="1" applyFont="1" applyFill="1" applyAlignment="1">
      <alignment horizontal="right"/>
    </xf>
    <xf numFmtId="0" fontId="6" fillId="3" borderId="0" xfId="0" applyFont="1" applyFill="1" applyAlignment="1">
      <alignment horizontal="right"/>
    </xf>
    <xf numFmtId="0" fontId="7" fillId="0" borderId="8" xfId="0" applyFont="1" applyBorder="1" applyAlignment="1">
      <alignment horizontal="left" vertical="top"/>
    </xf>
    <xf numFmtId="0" fontId="7" fillId="0" borderId="4"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34" fillId="0" borderId="13" xfId="0" applyFont="1" applyBorder="1" applyAlignment="1">
      <alignment horizontal="center" vertical="center"/>
    </xf>
    <xf numFmtId="0" fontId="3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7" fillId="0" borderId="11" xfId="3" applyFont="1" applyBorder="1" applyAlignment="1">
      <alignment horizontal="center" vertical="center"/>
    </xf>
    <xf numFmtId="0" fontId="7" fillId="0" borderId="11" xfId="0" applyFont="1" applyBorder="1" applyAlignment="1">
      <alignment horizont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34" fillId="5" borderId="15"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1" xfId="0" applyFont="1" applyBorder="1" applyAlignment="1">
      <alignment horizontal="left" vertical="top"/>
    </xf>
    <xf numFmtId="0" fontId="34" fillId="5" borderId="13"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left" vertical="top" wrapText="1"/>
    </xf>
    <xf numFmtId="0" fontId="7" fillId="0" borderId="14" xfId="0" applyFont="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2" xfId="0" applyFont="1" applyFill="1" applyBorder="1" applyAlignment="1">
      <alignment horizontal="center" vertical="center"/>
    </xf>
    <xf numFmtId="0" fontId="7" fillId="0" borderId="0" xfId="0" applyFont="1" applyAlignment="1">
      <alignment vertical="center"/>
    </xf>
    <xf numFmtId="0" fontId="26" fillId="0" borderId="1" xfId="0" applyFont="1" applyBorder="1" applyAlignment="1">
      <alignment horizontal="center" vertical="center" wrapText="1"/>
    </xf>
    <xf numFmtId="0" fontId="7" fillId="0" borderId="0" xfId="0" applyFont="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left" vertical="center" shrinkToFit="1"/>
    </xf>
    <xf numFmtId="0" fontId="22" fillId="0" borderId="0" xfId="0" applyFont="1" applyAlignment="1">
      <alignment horizontal="left" vertical="center" shrinkToFit="1"/>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2" fillId="0" borderId="15" xfId="0" applyFont="1" applyBorder="1" applyAlignment="1">
      <alignment horizontal="center" vertical="center"/>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2" xfId="0" applyFont="1" applyBorder="1" applyAlignment="1">
      <alignment horizontal="center" vertical="center" wrapText="1"/>
    </xf>
    <xf numFmtId="0" fontId="72" fillId="0" borderId="8" xfId="0" applyFont="1" applyBorder="1" applyAlignment="1">
      <alignment horizontal="left" vertical="top" wrapText="1"/>
    </xf>
    <xf numFmtId="0" fontId="72" fillId="0" borderId="4" xfId="0" applyFont="1" applyBorder="1" applyAlignment="1">
      <alignment horizontal="left" vertical="top"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72" fillId="0" borderId="8" xfId="0" applyFont="1" applyBorder="1" applyAlignment="1">
      <alignment horizontal="left" vertical="top"/>
    </xf>
    <xf numFmtId="0" fontId="72" fillId="0" borderId="4" xfId="0" applyFont="1" applyBorder="1" applyAlignment="1">
      <alignment horizontal="left" vertical="top"/>
    </xf>
    <xf numFmtId="0" fontId="72" fillId="13" borderId="13" xfId="0" applyFont="1" applyFill="1" applyBorder="1" applyAlignment="1">
      <alignment horizontal="center" vertical="center"/>
    </xf>
    <xf numFmtId="0" fontId="72" fillId="0" borderId="147" xfId="0" applyFont="1" applyBorder="1" applyAlignment="1">
      <alignment horizontal="center" vertical="center"/>
    </xf>
    <xf numFmtId="0" fontId="72" fillId="0" borderId="120" xfId="0" applyFont="1" applyBorder="1" applyAlignment="1">
      <alignment horizontal="center" vertical="center"/>
    </xf>
    <xf numFmtId="0" fontId="72" fillId="0" borderId="150" xfId="0" applyFont="1" applyBorder="1" applyAlignment="1">
      <alignment horizontal="center" vertical="center"/>
    </xf>
    <xf numFmtId="0" fontId="72" fillId="0" borderId="151" xfId="0" applyFont="1" applyBorder="1" applyAlignment="1">
      <alignment horizontal="center" vertical="center"/>
    </xf>
    <xf numFmtId="0" fontId="70" fillId="0" borderId="120" xfId="0" applyFont="1" applyBorder="1" applyAlignment="1">
      <alignment horizontal="center" vertical="center" wrapText="1"/>
    </xf>
    <xf numFmtId="0" fontId="70" fillId="0" borderId="151" xfId="0" applyFont="1" applyBorder="1" applyAlignment="1">
      <alignment horizontal="center" vertical="center" wrapText="1"/>
    </xf>
    <xf numFmtId="0" fontId="40" fillId="0" borderId="0" xfId="0" applyFont="1" applyAlignment="1">
      <alignment horizontal="lef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72" fillId="0" borderId="11" xfId="0" applyFont="1" applyBorder="1" applyAlignment="1" applyProtection="1">
      <alignment horizontal="center" vertical="center"/>
      <protection locked="0"/>
    </xf>
    <xf numFmtId="0" fontId="72" fillId="0" borderId="6" xfId="0" applyFont="1" applyBorder="1" applyAlignment="1" applyProtection="1">
      <alignment horizontal="center" vertical="center"/>
      <protection locked="0"/>
    </xf>
    <xf numFmtId="0" fontId="72" fillId="0" borderId="6" xfId="0" applyFont="1" applyBorder="1" applyAlignment="1" applyProtection="1">
      <alignment horizontal="left" vertical="center" wrapText="1"/>
      <protection locked="0"/>
    </xf>
    <xf numFmtId="0" fontId="72" fillId="0" borderId="5" xfId="0" applyFont="1" applyBorder="1" applyAlignment="1" applyProtection="1">
      <alignment horizontal="left" vertical="center" wrapText="1"/>
      <protection locked="0"/>
    </xf>
    <xf numFmtId="184" fontId="78" fillId="0" borderId="11" xfId="0" applyNumberFormat="1" applyFont="1" applyBorder="1" applyAlignment="1" applyProtection="1">
      <alignment horizontal="center" vertical="center" shrinkToFit="1"/>
      <protection locked="0"/>
    </xf>
    <xf numFmtId="0" fontId="72" fillId="0" borderId="11" xfId="0" applyFont="1" applyBorder="1" applyAlignment="1" applyProtection="1">
      <alignment horizontal="center" vertical="center" wrapText="1"/>
      <protection locked="0"/>
    </xf>
    <xf numFmtId="0" fontId="72" fillId="0" borderId="6" xfId="0" applyFont="1" applyBorder="1" applyAlignment="1" applyProtection="1">
      <alignment horizontal="center" vertical="center" wrapText="1"/>
      <protection locked="0"/>
    </xf>
    <xf numFmtId="0" fontId="72" fillId="0" borderId="5"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1" xfId="0" applyFont="1" applyBorder="1" applyAlignment="1">
      <alignment horizontal="center" vertical="center"/>
    </xf>
    <xf numFmtId="0" fontId="72" fillId="0" borderId="2" xfId="0" applyFont="1" applyBorder="1" applyAlignment="1">
      <alignment horizontal="center" vertical="center"/>
    </xf>
    <xf numFmtId="0" fontId="72" fillId="0" borderId="4" xfId="0" applyFont="1" applyBorder="1" applyAlignment="1">
      <alignment horizontal="center" vertical="center"/>
    </xf>
    <xf numFmtId="0" fontId="72" fillId="0" borderId="13" xfId="0" applyFont="1" applyBorder="1" applyAlignment="1">
      <alignment horizontal="center" vertical="center"/>
    </xf>
    <xf numFmtId="0" fontId="72" fillId="0" borderId="1" xfId="3" applyFont="1" applyBorder="1" applyAlignment="1">
      <alignment horizontal="center" vertical="center"/>
    </xf>
    <xf numFmtId="0" fontId="72" fillId="0" borderId="2" xfId="3" applyFont="1" applyBorder="1" applyAlignment="1">
      <alignment horizontal="center" vertical="center"/>
    </xf>
    <xf numFmtId="0" fontId="72" fillId="0" borderId="4" xfId="3" applyFont="1" applyBorder="1" applyAlignment="1">
      <alignment horizontal="center" vertical="center"/>
    </xf>
    <xf numFmtId="0" fontId="72" fillId="0" borderId="13" xfId="3" applyFont="1" applyBorder="1" applyAlignment="1">
      <alignment horizontal="center" vertical="center"/>
    </xf>
    <xf numFmtId="0" fontId="72" fillId="0" borderId="11" xfId="0" applyFont="1" applyBorder="1" applyAlignment="1">
      <alignment horizontal="center" wrapText="1"/>
    </xf>
    <xf numFmtId="0" fontId="72" fillId="0" borderId="3" xfId="0" applyFont="1" applyBorder="1" applyAlignment="1">
      <alignment horizontal="center" vertical="center"/>
    </xf>
    <xf numFmtId="0" fontId="72" fillId="0" borderId="9" xfId="0" applyFont="1" applyBorder="1" applyAlignment="1">
      <alignment horizontal="center" vertical="center"/>
    </xf>
    <xf numFmtId="0" fontId="39" fillId="0" borderId="12" xfId="0" applyFont="1" applyBorder="1" applyAlignment="1">
      <alignment horizontal="center" vertical="center"/>
    </xf>
    <xf numFmtId="0" fontId="72" fillId="0" borderId="11" xfId="0" applyFont="1" applyBorder="1" applyAlignment="1">
      <alignment horizontal="center" vertical="center" wrapText="1"/>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75" fillId="0" borderId="139" xfId="0" applyFont="1" applyBorder="1" applyAlignment="1">
      <alignment horizontal="center" vertical="center"/>
    </xf>
    <xf numFmtId="0" fontId="75" fillId="0" borderId="140" xfId="0" applyFont="1" applyBorder="1" applyAlignment="1">
      <alignment horizontal="center" vertical="center"/>
    </xf>
    <xf numFmtId="0" fontId="74" fillId="0" borderId="0" xfId="3" applyFont="1" applyAlignment="1">
      <alignment horizontal="left"/>
    </xf>
    <xf numFmtId="0" fontId="72" fillId="0" borderId="1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39" fillId="0" borderId="0" xfId="0" applyFont="1" applyAlignment="1">
      <alignment horizontal="left"/>
    </xf>
    <xf numFmtId="0" fontId="73" fillId="0" borderId="0" xfId="0" applyFont="1" applyAlignment="1">
      <alignment horizontal="center"/>
    </xf>
    <xf numFmtId="0" fontId="3" fillId="0" borderId="0" xfId="0" applyFont="1" applyAlignment="1">
      <alignment horizontal="left"/>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40" fillId="0" borderId="13" xfId="0" applyFont="1" applyBorder="1" applyAlignment="1">
      <alignment horizontal="left" vertical="center"/>
    </xf>
    <xf numFmtId="0" fontId="90" fillId="0" borderId="6" xfId="3" applyFont="1" applyBorder="1" applyAlignment="1">
      <alignment horizontal="center" vertical="center"/>
    </xf>
    <xf numFmtId="0" fontId="90" fillId="0" borderId="145" xfId="3" applyFont="1" applyBorder="1" applyAlignment="1">
      <alignment horizontal="center" vertical="center"/>
    </xf>
    <xf numFmtId="0" fontId="39" fillId="0" borderId="0" xfId="0" applyFont="1" applyAlignment="1">
      <alignment horizontal="left" vertical="top" wrapText="1"/>
    </xf>
    <xf numFmtId="0" fontId="72" fillId="0" borderId="156" xfId="0" applyFont="1" applyBorder="1" applyAlignment="1">
      <alignment horizontal="center" vertical="center"/>
    </xf>
    <xf numFmtId="0" fontId="72" fillId="0" borderId="157" xfId="0" applyFont="1" applyBorder="1" applyAlignment="1">
      <alignment horizontal="center" vertical="center"/>
    </xf>
    <xf numFmtId="0" fontId="72" fillId="0" borderId="23" xfId="0" applyFont="1" applyBorder="1" applyAlignment="1">
      <alignment horizontal="center" vertical="center"/>
    </xf>
    <xf numFmtId="0" fontId="72" fillId="0" borderId="158" xfId="0" applyFont="1" applyBorder="1" applyAlignment="1">
      <alignment horizontal="center" vertical="center"/>
    </xf>
    <xf numFmtId="0" fontId="72" fillId="0" borderId="159" xfId="0" applyFont="1" applyBorder="1" applyAlignment="1">
      <alignment horizontal="center" vertical="center"/>
    </xf>
    <xf numFmtId="0" fontId="70" fillId="0" borderId="11"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87" xfId="0" applyFont="1" applyBorder="1" applyAlignment="1">
      <alignment horizontal="center" vertical="center" wrapText="1"/>
    </xf>
    <xf numFmtId="0" fontId="77" fillId="0" borderId="119" xfId="0" applyFont="1" applyBorder="1" applyAlignment="1">
      <alignment horizontal="center" vertical="center" wrapText="1"/>
    </xf>
    <xf numFmtId="0" fontId="72" fillId="0" borderId="6" xfId="0" applyFont="1" applyBorder="1" applyAlignment="1">
      <alignment horizontal="center" vertical="center"/>
    </xf>
    <xf numFmtId="0" fontId="72" fillId="0" borderId="145" xfId="0" applyFont="1" applyBorder="1" applyAlignment="1">
      <alignment horizontal="center" vertical="center"/>
    </xf>
    <xf numFmtId="184" fontId="3" fillId="0" borderId="1" xfId="0" applyNumberFormat="1" applyFont="1" applyBorder="1" applyAlignment="1" applyProtection="1">
      <alignment horizontal="center" vertical="center"/>
      <protection locked="0"/>
    </xf>
    <xf numFmtId="184" fontId="3" fillId="0" borderId="8" xfId="0" applyNumberFormat="1" applyFont="1" applyBorder="1" applyAlignment="1" applyProtection="1">
      <alignment horizontal="center" vertical="center"/>
      <protection locked="0"/>
    </xf>
    <xf numFmtId="184" fontId="3" fillId="0" borderId="4" xfId="0" applyNumberFormat="1" applyFont="1" applyBorder="1" applyAlignment="1" applyProtection="1">
      <alignment horizontal="center" vertical="center"/>
      <protection locked="0"/>
    </xf>
    <xf numFmtId="0" fontId="72" fillId="0" borderId="1" xfId="0" applyFont="1" applyBorder="1" applyAlignment="1" applyProtection="1">
      <alignment horizontal="center" vertical="center" wrapText="1"/>
      <protection locked="0"/>
    </xf>
    <xf numFmtId="0" fontId="72" fillId="0" borderId="3"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72" fillId="0" borderId="9"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12" xfId="0" applyFont="1" applyBorder="1" applyAlignment="1" applyProtection="1">
      <alignment horizontal="center" vertical="center" wrapText="1"/>
      <protection locked="0"/>
    </xf>
    <xf numFmtId="0" fontId="72" fillId="0" borderId="7"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protection locked="0"/>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9" fillId="0" borderId="139" xfId="0" applyFont="1" applyBorder="1" applyAlignment="1">
      <alignment horizontal="center" vertical="center"/>
    </xf>
    <xf numFmtId="0" fontId="89" fillId="0" borderId="140" xfId="0" applyFont="1" applyBorder="1" applyAlignment="1">
      <alignment horizontal="center" vertical="center"/>
    </xf>
    <xf numFmtId="0" fontId="72" fillId="0" borderId="139" xfId="0" applyFont="1" applyBorder="1" applyAlignment="1">
      <alignment horizontal="center" vertical="center"/>
    </xf>
    <xf numFmtId="0" fontId="72" fillId="0" borderId="140"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178" fontId="20" fillId="0" borderId="0" xfId="0" applyNumberFormat="1" applyFont="1" applyAlignment="1">
      <alignment horizontal="left" vertical="center" wrapText="1"/>
    </xf>
    <xf numFmtId="0" fontId="31" fillId="0" borderId="0" xfId="0" applyFont="1" applyAlignment="1">
      <alignment horizontal="left" wrapText="1"/>
    </xf>
    <xf numFmtId="0" fontId="20" fillId="0" borderId="65" xfId="0" applyFont="1" applyBorder="1" applyAlignment="1">
      <alignment horizontal="center" vertical="center" wrapText="1"/>
    </xf>
    <xf numFmtId="0" fontId="20" fillId="0" borderId="69" xfId="0" applyFont="1" applyBorder="1" applyAlignment="1">
      <alignment horizontal="center" vertical="center" wrapText="1"/>
    </xf>
    <xf numFmtId="0" fontId="32" fillId="0" borderId="76"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69" xfId="0" applyFont="1" applyBorder="1" applyAlignment="1">
      <alignment horizontal="center" vertical="center" wrapText="1"/>
    </xf>
    <xf numFmtId="0" fontId="20" fillId="0" borderId="66" xfId="0" applyFont="1" applyBorder="1" applyAlignment="1">
      <alignment horizontal="left" vertical="center" wrapText="1"/>
    </xf>
    <xf numFmtId="0" fontId="31" fillId="0" borderId="67" xfId="0" applyFont="1" applyBorder="1" applyAlignment="1">
      <alignment horizontal="left" wrapText="1"/>
    </xf>
    <xf numFmtId="0" fontId="31" fillId="0" borderId="81" xfId="0" applyFont="1" applyBorder="1" applyAlignment="1">
      <alignment horizontal="left" wrapText="1"/>
    </xf>
    <xf numFmtId="0" fontId="20" fillId="0" borderId="68" xfId="0" applyFont="1" applyBorder="1" applyAlignment="1">
      <alignment horizontal="center" vertical="center" wrapText="1"/>
    </xf>
    <xf numFmtId="0" fontId="20" fillId="0" borderId="72"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75" xfId="0" applyFont="1" applyBorder="1" applyAlignment="1">
      <alignment horizontal="center" vertical="center" wrapText="1"/>
    </xf>
    <xf numFmtId="0" fontId="32" fillId="0" borderId="79" xfId="0" applyFont="1" applyBorder="1" applyAlignment="1">
      <alignment horizontal="center" vertical="center" wrapText="1"/>
    </xf>
    <xf numFmtId="0" fontId="20" fillId="0" borderId="7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lignment horizontal="center" vertical="center" wrapText="1"/>
    </xf>
    <xf numFmtId="0" fontId="20" fillId="0" borderId="74" xfId="0" applyFont="1" applyBorder="1" applyAlignment="1">
      <alignment vertical="center" wrapText="1"/>
    </xf>
    <xf numFmtId="0" fontId="32" fillId="0" borderId="77" xfId="0" applyFont="1" applyBorder="1" applyAlignment="1">
      <alignment vertical="center" wrapText="1"/>
    </xf>
    <xf numFmtId="0" fontId="20" fillId="0" borderId="1" xfId="0" applyFont="1" applyBorder="1" applyAlignment="1">
      <alignment vertical="center" wrapText="1"/>
    </xf>
    <xf numFmtId="0" fontId="32" fillId="0" borderId="78" xfId="0" applyFont="1" applyBorder="1" applyAlignment="1">
      <alignment vertical="center" wrapText="1"/>
    </xf>
    <xf numFmtId="0" fontId="6" fillId="0" borderId="13" xfId="0" applyFont="1" applyBorder="1" applyAlignment="1" applyProtection="1">
      <alignment horizont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23" fillId="0" borderId="14" xfId="0" applyFont="1" applyBorder="1" applyAlignment="1">
      <alignment horizontal="right"/>
    </xf>
    <xf numFmtId="0" fontId="23" fillId="0" borderId="15" xfId="0" applyFont="1" applyBorder="1" applyAlignment="1">
      <alignment horizontal="right"/>
    </xf>
    <xf numFmtId="38" fontId="23" fillId="0" borderId="14" xfId="1" applyFont="1" applyFill="1" applyBorder="1" applyAlignment="1" applyProtection="1">
      <alignment horizontal="right"/>
    </xf>
    <xf numFmtId="38" fontId="23" fillId="0" borderId="15" xfId="1" applyFont="1" applyFill="1" applyBorder="1" applyAlignment="1" applyProtection="1">
      <alignment horizontal="right"/>
    </xf>
    <xf numFmtId="38" fontId="23" fillId="0" borderId="14" xfId="0" applyNumberFormat="1" applyFont="1" applyBorder="1" applyAlignment="1">
      <alignment horizontal="right"/>
    </xf>
    <xf numFmtId="38" fontId="23" fillId="0" borderId="15" xfId="0" applyNumberFormat="1" applyFont="1" applyBorder="1" applyAlignment="1">
      <alignment horizontal="right"/>
    </xf>
    <xf numFmtId="40" fontId="23" fillId="0" borderId="15" xfId="1" applyNumberFormat="1" applyFont="1" applyFill="1" applyBorder="1" applyAlignment="1" applyProtection="1">
      <alignment horizontal="right"/>
    </xf>
    <xf numFmtId="0" fontId="6" fillId="0" borderId="14" xfId="0" applyFont="1" applyBorder="1" applyAlignment="1">
      <alignment horizontal="right"/>
    </xf>
    <xf numFmtId="0" fontId="6" fillId="0" borderId="15" xfId="0" applyFont="1" applyBorder="1" applyAlignment="1">
      <alignment horizontal="right"/>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0" fillId="0" borderId="0" xfId="0" applyFont="1" applyAlignment="1">
      <alignment wrapText="1"/>
    </xf>
    <xf numFmtId="38" fontId="6" fillId="0" borderId="14" xfId="0" applyNumberFormat="1" applyFont="1" applyBorder="1" applyAlignment="1" applyProtection="1">
      <alignment horizontal="right"/>
      <protection locked="0"/>
    </xf>
    <xf numFmtId="38" fontId="6" fillId="0" borderId="15" xfId="0" applyNumberFormat="1" applyFont="1" applyBorder="1" applyAlignment="1" applyProtection="1">
      <alignment horizontal="right"/>
      <protection locked="0"/>
    </xf>
    <xf numFmtId="176" fontId="6" fillId="0" borderId="14" xfId="1" applyNumberFormat="1" applyFont="1" applyFill="1" applyBorder="1" applyAlignment="1" applyProtection="1">
      <alignment horizontal="right"/>
      <protection locked="0"/>
    </xf>
    <xf numFmtId="176" fontId="6" fillId="0" borderId="15" xfId="1" applyNumberFormat="1" applyFont="1" applyFill="1" applyBorder="1" applyAlignment="1" applyProtection="1">
      <alignment horizontal="right"/>
      <protection locked="0"/>
    </xf>
    <xf numFmtId="40" fontId="23" fillId="0" borderId="15" xfId="1" applyNumberFormat="1" applyFont="1" applyFill="1" applyBorder="1" applyAlignment="1" applyProtection="1"/>
    <xf numFmtId="38" fontId="23" fillId="0" borderId="15" xfId="1" applyFont="1" applyFill="1" applyBorder="1" applyAlignment="1" applyProtection="1"/>
    <xf numFmtId="0" fontId="6" fillId="0" borderId="1" xfId="0" applyFont="1" applyBorder="1" applyAlignment="1">
      <alignment horizontal="right"/>
    </xf>
    <xf numFmtId="0" fontId="6" fillId="0" borderId="2" xfId="0" applyFont="1" applyBorder="1" applyAlignment="1">
      <alignment horizontal="right"/>
    </xf>
    <xf numFmtId="0" fontId="6" fillId="0" borderId="58" xfId="0" applyFont="1" applyBorder="1" applyAlignment="1">
      <alignment horizontal="left"/>
    </xf>
    <xf numFmtId="0" fontId="6" fillId="0" borderId="82" xfId="0" applyFont="1" applyBorder="1" applyAlignment="1">
      <alignment horizontal="left"/>
    </xf>
    <xf numFmtId="0" fontId="6" fillId="0" borderId="59" xfId="0" applyFont="1" applyBorder="1" applyAlignment="1">
      <alignment horizontal="left"/>
    </xf>
    <xf numFmtId="0" fontId="6" fillId="0" borderId="58" xfId="0" applyFont="1" applyBorder="1" applyAlignment="1" applyProtection="1">
      <alignment horizontal="right"/>
      <protection locked="0"/>
    </xf>
    <xf numFmtId="0" fontId="6" fillId="0" borderId="82" xfId="0" applyFont="1" applyBorder="1" applyAlignment="1" applyProtection="1">
      <alignment horizontal="right"/>
      <protection locked="0"/>
    </xf>
    <xf numFmtId="0" fontId="6" fillId="0" borderId="82" xfId="0" applyFont="1" applyBorder="1" applyAlignment="1">
      <alignment horizontal="right"/>
    </xf>
    <xf numFmtId="176" fontId="6" fillId="4" borderId="15" xfId="1" applyNumberFormat="1" applyFont="1" applyFill="1" applyBorder="1" applyAlignment="1"/>
    <xf numFmtId="179" fontId="6" fillId="4" borderId="15" xfId="1" applyNumberFormat="1" applyFont="1" applyFill="1" applyBorder="1" applyAlignment="1"/>
    <xf numFmtId="0" fontId="24" fillId="0" borderId="0" xfId="0" applyFont="1" applyAlignment="1">
      <alignment horizontal="left" wrapText="1"/>
    </xf>
    <xf numFmtId="0" fontId="10" fillId="0" borderId="14" xfId="0" applyFont="1" applyBorder="1" applyAlignment="1">
      <alignment wrapText="1"/>
    </xf>
    <xf numFmtId="0" fontId="10" fillId="0" borderId="15" xfId="0" applyFont="1" applyBorder="1" applyAlignment="1">
      <alignment wrapText="1"/>
    </xf>
    <xf numFmtId="0" fontId="10" fillId="0" borderId="10" xfId="0" applyFont="1" applyBorder="1" applyAlignment="1">
      <alignment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top"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wrapText="1"/>
    </xf>
    <xf numFmtId="0" fontId="7" fillId="0" borderId="9" xfId="0" applyFont="1" applyBorder="1" applyAlignment="1">
      <alignment horizontal="left" vertical="center" wrapText="1"/>
    </xf>
    <xf numFmtId="0" fontId="6" fillId="0" borderId="4" xfId="0" applyFont="1" applyBorder="1" applyAlignment="1">
      <alignment wrapText="1"/>
    </xf>
    <xf numFmtId="0" fontId="6" fillId="0" borderId="12" xfId="0" applyFont="1" applyBorder="1" applyAlignment="1">
      <alignment wrapText="1"/>
    </xf>
    <xf numFmtId="0" fontId="9"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wrapText="1"/>
    </xf>
    <xf numFmtId="0" fontId="6" fillId="0" borderId="28" xfId="0" applyFont="1" applyBorder="1" applyAlignment="1">
      <alignment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0" xfId="0" applyFont="1" applyAlignment="1">
      <alignment horizontal="right" vertical="center"/>
    </xf>
    <xf numFmtId="0" fontId="6" fillId="0" borderId="9" xfId="0" applyFont="1" applyBorder="1" applyAlignment="1">
      <alignment horizontal="right" vertical="center"/>
    </xf>
    <xf numFmtId="38" fontId="23" fillId="0" borderId="0" xfId="1" applyFont="1" applyFill="1" applyBorder="1" applyAlignment="1" applyProtection="1"/>
    <xf numFmtId="0" fontId="6" fillId="0" borderId="8" xfId="0" applyFont="1" applyBorder="1" applyAlignment="1">
      <alignment horizontal="left" wrapText="1"/>
    </xf>
    <xf numFmtId="0" fontId="6" fillId="0" borderId="9" xfId="0" applyFont="1" applyBorder="1" applyAlignment="1">
      <alignment horizontal="left" wrapText="1"/>
    </xf>
    <xf numFmtId="0" fontId="13" fillId="0" borderId="8" xfId="0" applyFont="1" applyBorder="1" applyAlignment="1">
      <alignment horizontal="center" wrapText="1" shrinkToFit="1"/>
    </xf>
    <xf numFmtId="38" fontId="6" fillId="0" borderId="0" xfId="1" applyFont="1" applyBorder="1" applyAlignment="1" applyProtection="1">
      <alignment horizontal="center" wrapText="1"/>
    </xf>
    <xf numFmtId="38" fontId="6" fillId="0" borderId="0" xfId="1" applyFont="1" applyBorder="1" applyAlignment="1" applyProtection="1">
      <alignment horizontal="center"/>
    </xf>
    <xf numFmtId="38" fontId="23" fillId="0" borderId="0" xfId="1" applyFont="1" applyBorder="1" applyAlignment="1" applyProtection="1">
      <alignment horizontal="center"/>
    </xf>
    <xf numFmtId="0" fontId="13" fillId="0" borderId="8" xfId="0" applyFont="1" applyBorder="1" applyAlignment="1">
      <alignment horizontal="center" shrinkToFit="1"/>
    </xf>
    <xf numFmtId="0" fontId="13" fillId="0" borderId="8" xfId="0" applyFont="1" applyBorder="1" applyAlignment="1">
      <alignment horizontal="center" wrapText="1"/>
    </xf>
    <xf numFmtId="0" fontId="13" fillId="0" borderId="0" xfId="0" applyFont="1" applyAlignment="1">
      <alignment horizontal="center" wrapText="1"/>
    </xf>
    <xf numFmtId="38" fontId="6" fillId="0" borderId="0" xfId="1" applyFont="1" applyBorder="1" applyAlignment="1" applyProtection="1">
      <alignment horizontal="center" vertical="center"/>
    </xf>
    <xf numFmtId="0" fontId="6" fillId="0" borderId="0" xfId="0" applyFont="1" applyAlignment="1">
      <alignment vertical="center"/>
    </xf>
    <xf numFmtId="38" fontId="23" fillId="0" borderId="0" xfId="1" applyFont="1" applyBorder="1" applyAlignment="1" applyProtection="1">
      <alignment horizontal="center" vertical="center"/>
    </xf>
    <xf numFmtId="0" fontId="13" fillId="0" borderId="8" xfId="0" applyFont="1" applyBorder="1" applyAlignment="1">
      <alignment horizontal="left" wrapText="1" shrinkToFit="1"/>
    </xf>
    <xf numFmtId="0" fontId="13" fillId="0" borderId="0" xfId="0" applyFont="1" applyAlignment="1">
      <alignment horizontal="left" wrapText="1" shrinkToFit="1"/>
    </xf>
    <xf numFmtId="0" fontId="13" fillId="0" borderId="9" xfId="0" applyFont="1" applyBorder="1" applyAlignment="1">
      <alignment horizontal="left" wrapText="1" shrinkToFit="1"/>
    </xf>
    <xf numFmtId="38" fontId="6" fillId="0" borderId="0" xfId="1" applyFont="1" applyBorder="1" applyAlignment="1">
      <alignment horizontal="center" vertical="center"/>
    </xf>
    <xf numFmtId="38" fontId="23" fillId="0" borderId="0" xfId="1" applyFont="1" applyBorder="1" applyAlignment="1" applyProtection="1">
      <alignment horizontal="center" vertical="center" shrinkToFit="1"/>
    </xf>
    <xf numFmtId="38" fontId="23" fillId="0" borderId="0" xfId="1" applyFont="1" applyFill="1" applyBorder="1" applyAlignment="1" applyProtection="1">
      <alignment horizontal="center"/>
    </xf>
    <xf numFmtId="38" fontId="23" fillId="0" borderId="0" xfId="1" applyFont="1" applyFill="1" applyBorder="1" applyAlignment="1" applyProtection="1">
      <alignment horizontal="center" vertical="center"/>
    </xf>
    <xf numFmtId="38" fontId="6" fillId="0" borderId="11" xfId="7" applyFont="1" applyFill="1" applyBorder="1" applyAlignment="1" applyProtection="1">
      <alignment horizontal="center"/>
    </xf>
    <xf numFmtId="38" fontId="23" fillId="0" borderId="0" xfId="0" applyNumberFormat="1" applyFont="1" applyAlignment="1">
      <alignment horizontal="center"/>
    </xf>
    <xf numFmtId="0" fontId="23" fillId="0" borderId="0" xfId="0" applyFont="1" applyAlignment="1">
      <alignment horizontal="center"/>
    </xf>
    <xf numFmtId="38" fontId="23" fillId="0" borderId="0" xfId="1" applyFont="1" applyFill="1" applyBorder="1" applyAlignment="1" applyProtection="1">
      <alignment vertical="center"/>
    </xf>
    <xf numFmtId="0" fontId="23" fillId="0" borderId="0" xfId="0" applyFont="1" applyAlignment="1">
      <alignment horizontal="center" vertical="center"/>
    </xf>
    <xf numFmtId="0" fontId="23" fillId="0" borderId="0" xfId="0" applyFont="1" applyAlignment="1">
      <alignment horizontal="right"/>
    </xf>
    <xf numFmtId="0" fontId="8" fillId="0" borderId="0" xfId="0" applyFont="1" applyAlignment="1">
      <alignment horizontal="distributed"/>
    </xf>
    <xf numFmtId="0" fontId="13" fillId="0" borderId="0" xfId="0" applyFont="1" applyAlignment="1">
      <alignment vertical="center" wrapText="1"/>
    </xf>
    <xf numFmtId="0" fontId="13" fillId="0" borderId="9" xfId="0" applyFont="1" applyBorder="1" applyAlignment="1">
      <alignment vertical="center" wrapText="1"/>
    </xf>
    <xf numFmtId="0" fontId="6" fillId="0" borderId="0" xfId="0" applyFont="1" applyAlignment="1">
      <alignment horizontal="center"/>
    </xf>
    <xf numFmtId="0" fontId="6" fillId="0" borderId="9" xfId="0" applyFont="1" applyBorder="1" applyAlignment="1">
      <alignment horizontal="center"/>
    </xf>
    <xf numFmtId="38" fontId="23" fillId="0" borderId="0" xfId="7" applyFont="1" applyFill="1" applyBorder="1" applyAlignment="1" applyProtection="1"/>
    <xf numFmtId="0" fontId="6" fillId="0" borderId="0" xfId="0" applyFont="1" applyAlignment="1">
      <alignment horizontal="distributed"/>
    </xf>
    <xf numFmtId="0" fontId="7" fillId="0" borderId="0" xfId="0" applyFont="1" applyAlignment="1">
      <alignment horizontal="left"/>
    </xf>
    <xf numFmtId="38" fontId="6" fillId="0" borderId="0" xfId="1" applyFont="1" applyFill="1" applyBorder="1" applyAlignment="1" applyProtection="1">
      <alignment horizontal="center"/>
      <protection locked="0"/>
    </xf>
    <xf numFmtId="38" fontId="6" fillId="0" borderId="0" xfId="1" applyFont="1" applyFill="1" applyBorder="1" applyAlignment="1" applyProtection="1"/>
    <xf numFmtId="0" fontId="9" fillId="0" borderId="0" xfId="0" applyFont="1" applyAlignment="1">
      <alignment horizontal="left" vertical="center"/>
    </xf>
    <xf numFmtId="38" fontId="23" fillId="0" borderId="0" xfId="1" applyFont="1" applyFill="1" applyBorder="1" applyAlignment="1" applyProtection="1">
      <alignment horizontal="right"/>
    </xf>
    <xf numFmtId="0" fontId="9" fillId="0" borderId="53" xfId="0" applyFont="1" applyBorder="1" applyAlignment="1">
      <alignment vertical="center" wrapText="1"/>
    </xf>
    <xf numFmtId="0" fontId="18" fillId="0" borderId="54"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0" fillId="0" borderId="54" xfId="0" applyFont="1" applyBorder="1" applyAlignment="1">
      <alignment vertical="center" wrapText="1"/>
    </xf>
    <xf numFmtId="0" fontId="7" fillId="0" borderId="53" xfId="0" applyFont="1" applyBorder="1" applyAlignment="1">
      <alignment horizontal="left" wrapText="1"/>
    </xf>
    <xf numFmtId="0" fontId="7" fillId="0" borderId="54" xfId="0" applyFont="1" applyBorder="1" applyAlignment="1">
      <alignment horizontal="left" wrapText="1"/>
    </xf>
    <xf numFmtId="0" fontId="7" fillId="0" borderId="55"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18" fillId="0" borderId="0" xfId="0" applyFont="1" applyAlignment="1">
      <alignment horizontal="right" vertical="center" wrapText="1"/>
    </xf>
    <xf numFmtId="0" fontId="10" fillId="0" borderId="0" xfId="0" applyFont="1" applyAlignment="1">
      <alignment horizontal="righ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19" fillId="0" borderId="2" xfId="0"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9" fillId="0" borderId="11" xfId="0" applyFont="1" applyBorder="1" applyAlignment="1">
      <alignment horizontal="center" vertical="center" wrapText="1"/>
    </xf>
    <xf numFmtId="38" fontId="23" fillId="0" borderId="0" xfId="2" applyFont="1" applyFill="1" applyBorder="1" applyAlignment="1" applyProtection="1">
      <alignment horizontal="right"/>
    </xf>
    <xf numFmtId="38" fontId="23" fillId="15" borderId="0" xfId="2" applyFont="1" applyFill="1" applyBorder="1" applyAlignment="1" applyProtection="1">
      <alignment horizontal="right"/>
    </xf>
    <xf numFmtId="38" fontId="6" fillId="0" borderId="0" xfId="2" applyFont="1" applyFill="1" applyBorder="1" applyAlignment="1" applyProtection="1">
      <alignment shrinkToFit="1"/>
    </xf>
    <xf numFmtId="38" fontId="23" fillId="0" borderId="0" xfId="2" applyFont="1" applyFill="1" applyBorder="1" applyAlignment="1" applyProtection="1">
      <alignment vertical="center"/>
    </xf>
    <xf numFmtId="38" fontId="23" fillId="0" borderId="0" xfId="2" applyFont="1" applyFill="1" applyBorder="1" applyAlignment="1" applyProtection="1"/>
    <xf numFmtId="38" fontId="6" fillId="0" borderId="0" xfId="2" applyFont="1" applyBorder="1" applyAlignment="1" applyProtection="1">
      <alignment horizontal="center"/>
    </xf>
    <xf numFmtId="38" fontId="23" fillId="0" borderId="0" xfId="2" applyFont="1" applyBorder="1" applyAlignment="1" applyProtection="1">
      <alignment horizontal="center" vertical="center"/>
    </xf>
    <xf numFmtId="38" fontId="6" fillId="0" borderId="0" xfId="2" applyFont="1" applyFill="1" applyBorder="1" applyAlignment="1" applyProtection="1">
      <alignment horizontal="center"/>
      <protection locked="0"/>
    </xf>
    <xf numFmtId="38" fontId="6" fillId="3" borderId="0" xfId="2" applyFont="1" applyFill="1" applyBorder="1" applyAlignment="1" applyProtection="1">
      <alignment horizontal="center"/>
    </xf>
    <xf numFmtId="38" fontId="23" fillId="0" borderId="0" xfId="2" applyFont="1" applyBorder="1" applyAlignment="1" applyProtection="1">
      <alignment horizontal="center"/>
    </xf>
    <xf numFmtId="38" fontId="39" fillId="0" borderId="0" xfId="2" applyFont="1" applyBorder="1" applyAlignment="1" applyProtection="1">
      <alignment horizontal="center" vertical="center"/>
    </xf>
    <xf numFmtId="0" fontId="39" fillId="0" borderId="0" xfId="0" applyFont="1" applyAlignment="1">
      <alignment vertical="center"/>
    </xf>
    <xf numFmtId="38" fontId="85" fillId="0" borderId="0" xfId="2" applyFont="1" applyBorder="1" applyAlignment="1" applyProtection="1">
      <alignment horizontal="center"/>
    </xf>
    <xf numFmtId="38" fontId="85" fillId="0" borderId="0" xfId="2" applyFont="1" applyFill="1" applyBorder="1" applyAlignment="1" applyProtection="1">
      <alignmen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72" fillId="0" borderId="0" xfId="0" applyFont="1" applyAlignment="1">
      <alignment vertical="center"/>
    </xf>
    <xf numFmtId="38" fontId="6" fillId="3" borderId="0" xfId="2" applyFont="1" applyFill="1" applyBorder="1" applyAlignment="1" applyProtection="1">
      <alignment horizontal="center" vertical="center"/>
    </xf>
    <xf numFmtId="38" fontId="23" fillId="0" borderId="0" xfId="2" applyFont="1" applyFill="1" applyBorder="1" applyAlignment="1" applyProtection="1">
      <alignment horizontal="center" vertical="center"/>
    </xf>
    <xf numFmtId="38" fontId="23" fillId="0" borderId="0" xfId="2" applyFont="1" applyFill="1" applyBorder="1" applyAlignment="1" applyProtection="1">
      <alignment horizontal="center"/>
    </xf>
    <xf numFmtId="38" fontId="6" fillId="3" borderId="0" xfId="2" applyFont="1" applyFill="1" applyBorder="1" applyAlignment="1" applyProtection="1">
      <alignment horizontal="center" wrapText="1"/>
    </xf>
    <xf numFmtId="0" fontId="39" fillId="0" borderId="14" xfId="0" applyFont="1" applyBorder="1" applyAlignment="1" applyProtection="1">
      <alignment horizontal="right"/>
      <protection locked="0"/>
    </xf>
    <xf numFmtId="0" fontId="39" fillId="0" borderId="15" xfId="0" applyFont="1" applyBorder="1" applyAlignment="1" applyProtection="1">
      <alignment horizontal="right"/>
      <protection locked="0"/>
    </xf>
    <xf numFmtId="0" fontId="39" fillId="0" borderId="15" xfId="0" applyFont="1" applyBorder="1" applyAlignment="1">
      <alignment horizontal="right"/>
    </xf>
    <xf numFmtId="0" fontId="9" fillId="0" borderId="0" xfId="0" applyFont="1" applyAlignment="1">
      <alignment horizontal="left" vertical="top" wrapText="1"/>
    </xf>
    <xf numFmtId="0" fontId="70" fillId="0" borderId="0" xfId="0" applyFont="1" applyAlignment="1">
      <alignment horizontal="left" vertical="top" wrapText="1"/>
    </xf>
    <xf numFmtId="176" fontId="6" fillId="0" borderId="14" xfId="2" applyNumberFormat="1" applyFont="1" applyFill="1" applyBorder="1" applyAlignment="1" applyProtection="1">
      <alignment horizontal="right"/>
      <protection locked="0"/>
    </xf>
    <xf numFmtId="176" fontId="6" fillId="0" borderId="15" xfId="2" applyNumberFormat="1" applyFont="1" applyFill="1" applyBorder="1" applyAlignment="1" applyProtection="1">
      <alignment horizontal="right"/>
      <protection locked="0"/>
    </xf>
    <xf numFmtId="176" fontId="6" fillId="4" borderId="15" xfId="2" applyNumberFormat="1" applyFont="1" applyFill="1" applyBorder="1" applyAlignment="1"/>
    <xf numFmtId="179" fontId="6" fillId="4" borderId="15" xfId="2" applyNumberFormat="1" applyFont="1" applyFill="1" applyBorder="1" applyAlignment="1"/>
    <xf numFmtId="0" fontId="39" fillId="0" borderId="14" xfId="0" applyFont="1" applyBorder="1" applyAlignment="1">
      <alignment horizontal="center"/>
    </xf>
    <xf numFmtId="0" fontId="39" fillId="0" borderId="15" xfId="0" applyFont="1" applyBorder="1" applyAlignment="1">
      <alignment horizontal="center"/>
    </xf>
    <xf numFmtId="0" fontId="39" fillId="0" borderId="10" xfId="0" applyFont="1" applyBorder="1" applyAlignment="1">
      <alignment horizontal="center"/>
    </xf>
    <xf numFmtId="40" fontId="23" fillId="0" borderId="15" xfId="2" applyNumberFormat="1" applyFont="1" applyFill="1" applyBorder="1" applyAlignment="1" applyProtection="1">
      <alignment horizontal="right"/>
    </xf>
    <xf numFmtId="38" fontId="6" fillId="0" borderId="14" xfId="0" applyNumberFormat="1" applyFont="1" applyBorder="1" applyAlignment="1" applyProtection="1">
      <alignment horizontal="right" vertical="center"/>
      <protection locked="0"/>
    </xf>
    <xf numFmtId="38" fontId="6" fillId="0" borderId="15" xfId="0" applyNumberFormat="1" applyFont="1" applyBorder="1" applyAlignment="1" applyProtection="1">
      <alignment horizontal="right" vertical="center"/>
      <protection locked="0"/>
    </xf>
    <xf numFmtId="40" fontId="23" fillId="0" borderId="15" xfId="2" applyNumberFormat="1" applyFont="1" applyFill="1" applyBorder="1" applyAlignment="1" applyProtection="1"/>
    <xf numFmtId="38" fontId="23" fillId="0" borderId="15" xfId="2" applyFont="1" applyFill="1" applyBorder="1" applyAlignment="1" applyProtection="1"/>
    <xf numFmtId="38" fontId="23" fillId="0" borderId="14" xfId="2" applyFont="1" applyFill="1" applyBorder="1" applyAlignment="1" applyProtection="1">
      <alignment horizontal="right"/>
    </xf>
    <xf numFmtId="38" fontId="23" fillId="0" borderId="15" xfId="2" applyFont="1" applyFill="1" applyBorder="1" applyAlignment="1" applyProtection="1">
      <alignment horizontal="right"/>
    </xf>
    <xf numFmtId="0" fontId="6" fillId="5" borderId="14" xfId="0" applyFont="1" applyFill="1" applyBorder="1" applyAlignment="1">
      <alignment horizontal="right"/>
    </xf>
    <xf numFmtId="0" fontId="6" fillId="5" borderId="15" xfId="0" applyFont="1" applyFill="1" applyBorder="1" applyAlignment="1">
      <alignment horizontal="right"/>
    </xf>
    <xf numFmtId="0" fontId="39" fillId="0" borderId="0" xfId="0" applyFont="1" applyAlignment="1">
      <alignment horizontal="distributed"/>
    </xf>
    <xf numFmtId="38" fontId="39" fillId="0" borderId="0" xfId="2" applyFont="1" applyFill="1" applyBorder="1" applyAlignment="1" applyProtection="1">
      <alignment shrinkToFit="1"/>
    </xf>
    <xf numFmtId="0" fontId="70" fillId="0" borderId="0" xfId="0" applyFont="1" applyAlignment="1">
      <alignment horizontal="left" vertical="center" wrapText="1"/>
    </xf>
    <xf numFmtId="0" fontId="70" fillId="0" borderId="0" xfId="0" applyFont="1" applyAlignment="1">
      <alignment horizontal="left" vertical="center"/>
    </xf>
    <xf numFmtId="38" fontId="39" fillId="0" borderId="0" xfId="2" applyFont="1" applyBorder="1" applyAlignment="1" applyProtection="1">
      <alignment horizontal="center"/>
    </xf>
    <xf numFmtId="0" fontId="13" fillId="16" borderId="0" xfId="0" applyFont="1" applyFill="1" applyAlignment="1">
      <alignment vertical="center" wrapText="1"/>
    </xf>
    <xf numFmtId="0" fontId="13" fillId="16" borderId="9" xfId="0" applyFont="1" applyFill="1" applyBorder="1" applyAlignment="1">
      <alignment vertical="center" wrapText="1"/>
    </xf>
    <xf numFmtId="38" fontId="23" fillId="16" borderId="0" xfId="2" applyFont="1" applyFill="1" applyBorder="1" applyAlignment="1" applyProtection="1"/>
    <xf numFmtId="38" fontId="6" fillId="16" borderId="0" xfId="2" applyFont="1" applyFill="1" applyBorder="1" applyAlignment="1" applyProtection="1">
      <alignment horizontal="center"/>
    </xf>
    <xf numFmtId="0" fontId="7" fillId="16" borderId="0" xfId="0" applyFont="1" applyFill="1" applyAlignment="1">
      <alignment horizontal="left"/>
    </xf>
    <xf numFmtId="38" fontId="6" fillId="16" borderId="0" xfId="2" applyFont="1" applyFill="1" applyBorder="1" applyAlignment="1" applyProtection="1">
      <alignment horizontal="center"/>
      <protection locked="0"/>
    </xf>
    <xf numFmtId="0" fontId="8" fillId="16" borderId="0" xfId="0" applyFont="1" applyFill="1" applyAlignment="1">
      <alignment horizontal="distributed"/>
    </xf>
    <xf numFmtId="0" fontId="6" fillId="16" borderId="0" xfId="0" applyFont="1" applyFill="1" applyAlignment="1">
      <alignment horizontal="right"/>
    </xf>
    <xf numFmtId="38" fontId="23" fillId="16" borderId="0" xfId="2" applyFont="1" applyFill="1" applyBorder="1" applyAlignment="1" applyProtection="1">
      <alignment horizontal="center"/>
    </xf>
    <xf numFmtId="38" fontId="23" fillId="0" borderId="0" xfId="7" applyFont="1" applyFill="1" applyBorder="1" applyAlignment="1" applyProtection="1">
      <alignmen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10" xfId="0" applyFont="1" applyBorder="1" applyAlignment="1">
      <alignment horizontal="right" vertical="center"/>
    </xf>
    <xf numFmtId="38" fontId="6" fillId="0" borderId="15" xfId="1" applyFont="1" applyBorder="1" applyAlignment="1">
      <alignment vertical="center"/>
    </xf>
    <xf numFmtId="38" fontId="6" fillId="0" borderId="0" xfId="1" applyFont="1" applyFill="1" applyBorder="1" applyAlignment="1">
      <alignment horizontal="center"/>
    </xf>
    <xf numFmtId="38" fontId="6" fillId="0" borderId="0" xfId="1" applyFont="1" applyBorder="1" applyAlignment="1">
      <alignment horizontal="right"/>
    </xf>
    <xf numFmtId="38" fontId="6" fillId="0" borderId="0" xfId="1" applyFont="1" applyBorder="1" applyAlignment="1"/>
    <xf numFmtId="38" fontId="6" fillId="0" borderId="0" xfId="1" applyFont="1" applyBorder="1" applyAlignment="1">
      <alignment horizontal="center"/>
    </xf>
    <xf numFmtId="0" fontId="6" fillId="0" borderId="0" xfId="0" applyFont="1" applyAlignment="1">
      <alignment horizontal="distributed" vertical="center"/>
    </xf>
    <xf numFmtId="38" fontId="6" fillId="0" borderId="0" xfId="1" applyFont="1" applyFill="1" applyBorder="1" applyAlignment="1">
      <alignment horizontal="right"/>
    </xf>
    <xf numFmtId="38" fontId="6" fillId="0" borderId="0" xfId="1" applyFont="1" applyFill="1" applyBorder="1" applyAlignment="1"/>
    <xf numFmtId="0" fontId="7"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right"/>
    </xf>
    <xf numFmtId="0" fontId="6" fillId="0" borderId="12" xfId="0" applyFont="1" applyBorder="1" applyAlignment="1">
      <alignment horizontal="right"/>
    </xf>
    <xf numFmtId="38" fontId="6" fillId="0" borderId="0" xfId="1"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1" fillId="2" borderId="0" xfId="4" applyFont="1" applyFill="1" applyAlignment="1">
      <alignment horizontal="right" vertical="center"/>
    </xf>
    <xf numFmtId="0" fontId="21" fillId="2" borderId="0" xfId="8" applyFont="1" applyFill="1" applyAlignment="1">
      <alignment horizontal="right"/>
    </xf>
    <xf numFmtId="0" fontId="21" fillId="0" borderId="0" xfId="8" applyFont="1" applyAlignment="1">
      <alignment horizontal="left" vertical="center" shrinkToFit="1"/>
    </xf>
    <xf numFmtId="0" fontId="21" fillId="2" borderId="0" xfId="4" applyFont="1" applyFill="1" applyAlignment="1">
      <alignment horizontal="center" vertical="center"/>
    </xf>
    <xf numFmtId="0" fontId="21" fillId="0" borderId="0" xfId="4" applyFont="1" applyAlignment="1">
      <alignment horizontal="center" vertical="center"/>
    </xf>
    <xf numFmtId="0" fontId="21" fillId="0" borderId="0" xfId="8" applyFont="1" applyAlignment="1">
      <alignment horizontal="center"/>
    </xf>
    <xf numFmtId="0" fontId="21" fillId="0" borderId="0" xfId="4" applyFont="1" applyAlignment="1">
      <alignment horizontal="right" vertical="center"/>
    </xf>
    <xf numFmtId="0" fontId="16" fillId="0" borderId="0" xfId="4" applyFont="1" applyAlignment="1">
      <alignment horizontal="center" vertical="center"/>
    </xf>
    <xf numFmtId="0" fontId="16" fillId="0" borderId="0" xfId="8" applyFont="1" applyAlignment="1">
      <alignment horizontal="center"/>
    </xf>
    <xf numFmtId="0" fontId="16" fillId="0" borderId="0" xfId="8" applyFont="1" applyAlignment="1">
      <alignment horizontal="left" vertical="center" shrinkToFit="1"/>
    </xf>
    <xf numFmtId="0" fontId="16" fillId="0" borderId="0" xfId="4" applyFont="1" applyAlignment="1">
      <alignment horizontal="right" vertical="center"/>
    </xf>
    <xf numFmtId="0" fontId="10" fillId="0" borderId="0" xfId="0" applyFont="1" applyAlignment="1">
      <alignment horizontal="right"/>
    </xf>
    <xf numFmtId="0" fontId="10" fillId="12" borderId="0" xfId="0" applyFont="1" applyFill="1" applyAlignment="1">
      <alignment horizontal="right"/>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protection locked="0"/>
    </xf>
    <xf numFmtId="0" fontId="6" fillId="0" borderId="13" xfId="0" applyFont="1" applyBorder="1" applyAlignment="1">
      <alignment horizontal="left"/>
    </xf>
    <xf numFmtId="184" fontId="78" fillId="0" borderId="1" xfId="0" applyNumberFormat="1" applyFont="1" applyBorder="1" applyAlignment="1" applyProtection="1">
      <alignment horizontal="center" vertical="center" shrinkToFit="1"/>
      <protection locked="0"/>
    </xf>
    <xf numFmtId="184" fontId="78" fillId="0" borderId="4" xfId="0" applyNumberFormat="1" applyFont="1" applyBorder="1" applyAlignment="1" applyProtection="1">
      <alignment horizontal="center" vertical="center" shrinkToFit="1"/>
      <protection locked="0"/>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31" fillId="0" borderId="0" xfId="0" applyFont="1" applyAlignment="1">
      <alignment horizontal="left" vertical="center" wrapText="1"/>
    </xf>
    <xf numFmtId="0" fontId="31" fillId="0" borderId="67" xfId="0" applyFont="1" applyBorder="1" applyAlignment="1">
      <alignment horizontal="left" vertical="center" wrapText="1"/>
    </xf>
    <xf numFmtId="0" fontId="31" fillId="0" borderId="81" xfId="0" applyFont="1" applyBorder="1" applyAlignment="1">
      <alignment horizontal="left" vertical="center" wrapText="1"/>
    </xf>
    <xf numFmtId="176" fontId="23" fillId="0" borderId="0" xfId="1" applyNumberFormat="1" applyFont="1" applyBorder="1" applyAlignment="1" applyProtection="1">
      <alignment horizontal="center" vertical="center" shrinkToFit="1"/>
    </xf>
    <xf numFmtId="181" fontId="47" fillId="0" borderId="14" xfId="4" applyNumberFormat="1" applyFont="1" applyBorder="1" applyAlignment="1">
      <alignment horizontal="left" vertical="center"/>
    </xf>
    <xf numFmtId="181" fontId="47" fillId="0" borderId="10" xfId="4" applyNumberFormat="1" applyFont="1" applyBorder="1" applyAlignment="1">
      <alignment horizontal="left" vertical="center"/>
    </xf>
    <xf numFmtId="181" fontId="45" fillId="9" borderId="114" xfId="4" applyNumberFormat="1" applyFont="1" applyFill="1" applyBorder="1" applyAlignment="1">
      <alignment horizontal="center" vertical="center" justifyLastLine="1"/>
    </xf>
    <xf numFmtId="181" fontId="45" fillId="9" borderId="112" xfId="4" applyNumberFormat="1" applyFont="1" applyFill="1" applyBorder="1" applyAlignment="1">
      <alignment horizontal="center" vertical="center" justifyLastLine="1"/>
    </xf>
    <xf numFmtId="181" fontId="45" fillId="9" borderId="116" xfId="4" applyNumberFormat="1" applyFont="1" applyFill="1" applyBorder="1" applyAlignment="1">
      <alignment horizontal="center" vertical="center" justifyLastLine="1"/>
    </xf>
    <xf numFmtId="181" fontId="45" fillId="9" borderId="115" xfId="4" applyNumberFormat="1" applyFont="1" applyFill="1" applyBorder="1" applyAlignment="1">
      <alignment horizontal="center" vertical="center" justifyLastLine="1"/>
    </xf>
    <xf numFmtId="181" fontId="45" fillId="9" borderId="4" xfId="4" applyNumberFormat="1" applyFont="1" applyFill="1" applyBorder="1" applyAlignment="1">
      <alignment horizontal="center" vertical="center" justifyLastLine="1"/>
    </xf>
    <xf numFmtId="181" fontId="45" fillId="9" borderId="111" xfId="4" applyNumberFormat="1" applyFont="1" applyFill="1" applyBorder="1" applyAlignment="1">
      <alignment horizontal="center" vertical="center" justifyLastLine="1"/>
    </xf>
    <xf numFmtId="181" fontId="45" fillId="9" borderId="113" xfId="4" applyNumberFormat="1" applyFont="1" applyFill="1" applyBorder="1" applyAlignment="1">
      <alignment horizontal="center" vertical="center" justifyLastLine="1"/>
    </xf>
    <xf numFmtId="181" fontId="45" fillId="9" borderId="117" xfId="4" applyNumberFormat="1" applyFont="1" applyFill="1" applyBorder="1" applyAlignment="1">
      <alignment horizontal="center" vertical="center" shrinkToFit="1"/>
    </xf>
    <xf numFmtId="181" fontId="45" fillId="9" borderId="5" xfId="4" applyNumberFormat="1" applyFont="1" applyFill="1" applyBorder="1" applyAlignment="1">
      <alignment horizontal="center" vertical="center" shrinkToFit="1"/>
    </xf>
    <xf numFmtId="57" fontId="62" fillId="0" borderId="119" xfId="4" applyNumberFormat="1" applyFont="1" applyBorder="1" applyAlignment="1">
      <alignment horizontal="center" vertical="center" wrapText="1"/>
    </xf>
    <xf numFmtId="57" fontId="62" fillId="0" borderId="119" xfId="4" applyNumberFormat="1" applyFont="1" applyBorder="1" applyAlignment="1">
      <alignment horizontal="center" vertical="center"/>
    </xf>
    <xf numFmtId="181" fontId="62" fillId="0" borderId="119" xfId="4" applyNumberFormat="1" applyFont="1" applyBorder="1" applyAlignment="1">
      <alignment horizontal="center" vertical="center" wrapText="1"/>
    </xf>
    <xf numFmtId="181" fontId="62" fillId="0" borderId="119" xfId="4" applyNumberFormat="1" applyFont="1" applyBorder="1" applyAlignment="1">
      <alignment horizontal="center" vertical="center"/>
    </xf>
    <xf numFmtId="181" fontId="45" fillId="9" borderId="117" xfId="4" applyNumberFormat="1" applyFont="1" applyFill="1" applyBorder="1" applyAlignment="1">
      <alignment horizontal="distributed" vertical="center" wrapText="1" shrinkToFit="1"/>
    </xf>
    <xf numFmtId="181" fontId="45" fillId="9" borderId="5" xfId="4" applyNumberFormat="1" applyFont="1" applyFill="1" applyBorder="1" applyAlignment="1">
      <alignment horizontal="distributed" vertical="center" shrinkToFit="1"/>
    </xf>
    <xf numFmtId="181" fontId="45" fillId="9" borderId="114" xfId="4" applyNumberFormat="1" applyFont="1" applyFill="1" applyBorder="1" applyAlignment="1">
      <alignment horizontal="distributed" vertical="center" justifyLastLine="1"/>
    </xf>
    <xf numFmtId="181" fontId="45" fillId="9" borderId="116" xfId="4" applyNumberFormat="1" applyFont="1" applyFill="1" applyBorder="1" applyAlignment="1">
      <alignment horizontal="distributed" vertical="center" justifyLastLine="1"/>
    </xf>
    <xf numFmtId="181" fontId="45" fillId="9" borderId="114" xfId="4" applyNumberFormat="1" applyFont="1" applyFill="1" applyBorder="1" applyAlignment="1">
      <alignment horizontal="distributed" vertical="center" wrapText="1" justifyLastLine="1"/>
    </xf>
    <xf numFmtId="181" fontId="45" fillId="9" borderId="117" xfId="4" applyNumberFormat="1" applyFont="1" applyFill="1" applyBorder="1" applyAlignment="1">
      <alignment horizontal="distributed" vertical="center" shrinkToFit="1"/>
    </xf>
    <xf numFmtId="181" fontId="45" fillId="9" borderId="117" xfId="4" applyNumberFormat="1" applyFont="1" applyFill="1" applyBorder="1" applyAlignment="1">
      <alignment horizontal="center" vertical="center" wrapText="1" shrinkToFit="1"/>
    </xf>
    <xf numFmtId="181" fontId="45" fillId="9" borderId="5" xfId="4" applyNumberFormat="1" applyFont="1" applyFill="1" applyBorder="1" applyAlignment="1">
      <alignment horizontal="center" vertical="center" wrapText="1" shrinkToFit="1"/>
    </xf>
    <xf numFmtId="181" fontId="45" fillId="0" borderId="0" xfId="4" applyNumberFormat="1" applyFont="1" applyAlignment="1">
      <alignment horizontal="center" vertical="center"/>
    </xf>
    <xf numFmtId="181" fontId="45" fillId="0" borderId="92" xfId="4" applyNumberFormat="1" applyFont="1" applyBorder="1" applyAlignment="1">
      <alignment horizontal="center" vertical="center" wrapText="1"/>
    </xf>
    <xf numFmtId="181" fontId="45" fillId="9" borderId="118" xfId="4" applyNumberFormat="1" applyFont="1" applyFill="1" applyBorder="1" applyAlignment="1">
      <alignment horizontal="center" vertical="center" wrapText="1"/>
    </xf>
    <xf numFmtId="181" fontId="45" fillId="9" borderId="107" xfId="4" applyNumberFormat="1" applyFont="1" applyFill="1" applyBorder="1" applyAlignment="1">
      <alignment horizontal="center" vertical="center" wrapText="1"/>
    </xf>
    <xf numFmtId="181" fontId="62" fillId="0" borderId="119" xfId="4" quotePrefix="1" applyNumberFormat="1" applyFont="1" applyBorder="1" applyAlignment="1">
      <alignment horizontal="center" vertical="center" wrapText="1"/>
    </xf>
    <xf numFmtId="181" fontId="45" fillId="9" borderId="112" xfId="4" applyNumberFormat="1" applyFont="1" applyFill="1" applyBorder="1" applyAlignment="1">
      <alignment horizontal="distributed" vertical="center" justifyLastLine="1"/>
    </xf>
    <xf numFmtId="0" fontId="6" fillId="0" borderId="3" xfId="0" applyFont="1" applyBorder="1" applyAlignment="1">
      <alignment horizontal="center"/>
    </xf>
    <xf numFmtId="0" fontId="6" fillId="0" borderId="12" xfId="0" applyFont="1" applyBorder="1" applyAlignment="1">
      <alignment horizontal="center"/>
    </xf>
    <xf numFmtId="38" fontId="6" fillId="0" borderId="0" xfId="1" applyFont="1" applyFill="1" applyBorder="1" applyAlignment="1">
      <alignment horizontal="left"/>
    </xf>
    <xf numFmtId="0" fontId="76" fillId="0" borderId="7" xfId="0" applyFont="1" applyBorder="1" applyAlignment="1"/>
    <xf numFmtId="0" fontId="76" fillId="0" borderId="5" xfId="0" applyFont="1" applyBorder="1" applyAlignment="1"/>
    <xf numFmtId="0" fontId="76" fillId="0" borderId="11" xfId="0" applyFont="1" applyBorder="1" applyAlignment="1"/>
    <xf numFmtId="0" fontId="9" fillId="0" borderId="0" xfId="0" applyFont="1" applyAlignment="1"/>
    <xf numFmtId="0" fontId="10" fillId="0" borderId="0" xfId="0" applyFont="1" applyAlignment="1"/>
    <xf numFmtId="40" fontId="23" fillId="0" borderId="15" xfId="0" applyNumberFormat="1" applyFont="1" applyBorder="1" applyAlignment="1"/>
    <xf numFmtId="38" fontId="23" fillId="0" borderId="15" xfId="0" applyNumberFormat="1" applyFont="1" applyBorder="1" applyAlignment="1"/>
    <xf numFmtId="38" fontId="23" fillId="0" borderId="14" xfId="0" applyNumberFormat="1" applyFont="1" applyBorder="1" applyAlignment="1"/>
    <xf numFmtId="176" fontId="6" fillId="4" borderId="15" xfId="0" applyNumberFormat="1" applyFont="1" applyFill="1" applyBorder="1" applyAlignment="1"/>
    <xf numFmtId="179" fontId="6" fillId="4" borderId="15" xfId="0" applyNumberFormat="1" applyFont="1" applyFill="1" applyBorder="1" applyAlignment="1"/>
    <xf numFmtId="0" fontId="6" fillId="0" borderId="15" xfId="0" applyFont="1" applyBorder="1" applyAlignment="1"/>
    <xf numFmtId="0" fontId="6" fillId="0" borderId="32" xfId="0" applyFont="1" applyBorder="1" applyAlignment="1"/>
    <xf numFmtId="0" fontId="6" fillId="0" borderId="30" xfId="0" applyFont="1" applyBorder="1" applyAlignment="1"/>
    <xf numFmtId="0" fontId="6" fillId="0" borderId="33" xfId="0" applyFont="1" applyBorder="1" applyAlignment="1"/>
    <xf numFmtId="0" fontId="6" fillId="0" borderId="38" xfId="0" applyFont="1" applyBorder="1" applyAlignment="1"/>
    <xf numFmtId="0" fontId="6" fillId="0" borderId="35" xfId="0" applyFont="1" applyBorder="1" applyAlignment="1"/>
    <xf numFmtId="0" fontId="6" fillId="0" borderId="39" xfId="0" applyFont="1" applyBorder="1" applyAlignment="1"/>
    <xf numFmtId="0" fontId="6" fillId="0" borderId="46" xfId="0" applyFont="1" applyBorder="1" applyAlignment="1"/>
    <xf numFmtId="0" fontId="6" fillId="0" borderId="43" xfId="0" applyFont="1" applyBorder="1" applyAlignment="1"/>
    <xf numFmtId="0" fontId="6" fillId="0" borderId="47" xfId="0" applyFont="1" applyBorder="1" applyAlignment="1"/>
    <xf numFmtId="0" fontId="9" fillId="0" borderId="9" xfId="0" applyFont="1" applyBorder="1" applyAlignment="1"/>
    <xf numFmtId="0" fontId="6" fillId="0" borderId="0" xfId="0" applyFont="1" applyAlignment="1"/>
    <xf numFmtId="178" fontId="6" fillId="0" borderId="54" xfId="0" applyNumberFormat="1" applyFont="1" applyBorder="1" applyAlignment="1"/>
    <xf numFmtId="178" fontId="6" fillId="0" borderId="56" xfId="0" applyNumberFormat="1" applyFont="1" applyBorder="1" applyAlignment="1"/>
    <xf numFmtId="178" fontId="6" fillId="0" borderId="56" xfId="0" applyNumberFormat="1" applyFont="1" applyBorder="1" applyAlignment="1" applyProtection="1">
      <protection locked="0"/>
    </xf>
    <xf numFmtId="0" fontId="6" fillId="5" borderId="32" xfId="0" applyFont="1" applyFill="1" applyBorder="1" applyAlignment="1"/>
    <xf numFmtId="0" fontId="6" fillId="5" borderId="30" xfId="0" applyFont="1" applyFill="1" applyBorder="1" applyAlignment="1"/>
    <xf numFmtId="0" fontId="6" fillId="5" borderId="33" xfId="0" applyFont="1" applyFill="1" applyBorder="1" applyAlignment="1"/>
    <xf numFmtId="0" fontId="6" fillId="5" borderId="38" xfId="0" applyFont="1" applyFill="1" applyBorder="1" applyAlignment="1"/>
    <xf numFmtId="0" fontId="6" fillId="5" borderId="35" xfId="0" applyFont="1" applyFill="1" applyBorder="1" applyAlignment="1"/>
    <xf numFmtId="0" fontId="6" fillId="5" borderId="39" xfId="0" applyFont="1" applyFill="1" applyBorder="1" applyAlignment="1"/>
    <xf numFmtId="0" fontId="6" fillId="5" borderId="46" xfId="0" applyFont="1" applyFill="1" applyBorder="1" applyAlignment="1"/>
    <xf numFmtId="0" fontId="6" fillId="5" borderId="43" xfId="0" applyFont="1" applyFill="1" applyBorder="1" applyAlignment="1"/>
    <xf numFmtId="0" fontId="6" fillId="5" borderId="47" xfId="0" applyFont="1" applyFill="1" applyBorder="1" applyAlignment="1"/>
    <xf numFmtId="0" fontId="10" fillId="0" borderId="2" xfId="0" applyFont="1" applyBorder="1" applyAlignment="1"/>
    <xf numFmtId="0" fontId="10" fillId="0" borderId="13" xfId="0" applyFont="1" applyBorder="1" applyAlignment="1"/>
  </cellXfs>
  <cellStyles count="13">
    <cellStyle name="桁区切り" xfId="1" builtinId="6"/>
    <cellStyle name="桁区切り 2" xfId="2" xr:uid="{00000000-0005-0000-0000-000001000000}"/>
    <cellStyle name="桁区切り 3" xfId="6" xr:uid="{00000000-0005-0000-0000-000002000000}"/>
    <cellStyle name="桁区切り 3 2" xfId="7" xr:uid="{00000000-0005-0000-0000-000003000000}"/>
    <cellStyle name="通貨" xfId="11" builtinId="7"/>
    <cellStyle name="標準" xfId="0" builtinId="0"/>
    <cellStyle name="標準 2" xfId="3" xr:uid="{00000000-0005-0000-0000-000006000000}"/>
    <cellStyle name="標準 2 2" xfId="10" xr:uid="{00000000-0005-0000-0000-000007000000}"/>
    <cellStyle name="標準 3" xfId="4" xr:uid="{00000000-0005-0000-0000-000008000000}"/>
    <cellStyle name="標準 3 2" xfId="8" xr:uid="{00000000-0005-0000-0000-000009000000}"/>
    <cellStyle name="標準 3 2 2" xfId="9" xr:uid="{00000000-0005-0000-0000-00000A000000}"/>
    <cellStyle name="標準_◎事業計画集計（070130）" xfId="12" xr:uid="{00000000-0005-0000-0000-00000B000000}"/>
    <cellStyle name="未定義" xfId="5" xr:uid="{00000000-0005-0000-0000-00000C000000}"/>
  </cellStyles>
  <dxfs count="13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ont>
        <color theme="1" tint="0.14996795556505021"/>
      </font>
      <fill>
        <patternFill>
          <bgColor theme="1"/>
        </patternFill>
      </fill>
    </dxf>
    <dxf>
      <fill>
        <patternFill>
          <bgColor rgb="FFFFFF66"/>
        </patternFill>
      </fill>
    </dxf>
    <dxf>
      <font>
        <strike val="0"/>
        <color auto="1"/>
      </font>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externalLinks/externalLink1.xml" Type="http://schemas.openxmlformats.org/officeDocument/2006/relationships/externalLink"/><Relationship Id="rId4" Target="worksheets/sheet4.xml" Type="http://schemas.openxmlformats.org/officeDocument/2006/relationships/worksheet"/><Relationship Id="rId40" Target="externalLinks/externalLink2.xml" Type="http://schemas.openxmlformats.org/officeDocument/2006/relationships/externalLink"/><Relationship Id="rId41" Target="externalLinks/externalLink3.xml" Type="http://schemas.openxmlformats.org/officeDocument/2006/relationships/externalLink"/><Relationship Id="rId42" Target="externalLinks/externalLink4.xml" Type="http://schemas.openxmlformats.org/officeDocument/2006/relationships/externalLink"/><Relationship Id="rId43" Target="externalLinks/externalLink5.xml" Type="http://schemas.openxmlformats.org/officeDocument/2006/relationships/externalLink"/><Relationship Id="rId44" Target="theme/theme1.xml" Type="http://schemas.openxmlformats.org/officeDocument/2006/relationships/theme"/><Relationship Id="rId45" Target="styles.xml" Type="http://schemas.openxmlformats.org/officeDocument/2006/relationships/styles"/><Relationship Id="rId46" Target="sharedStrings.xml" Type="http://schemas.openxmlformats.org/officeDocument/2006/relationships/sharedStrings"/><Relationship Id="rId47" Target="calcChain.xml" Type="http://schemas.openxmlformats.org/officeDocument/2006/relationships/calcChain"/><Relationship Id="rId48" Target="../customXml/item1.xml" Type="http://schemas.openxmlformats.org/officeDocument/2006/relationships/customXml"/><Relationship Id="rId49" Target="../customXml/item2.xml" Type="http://schemas.openxmlformats.org/officeDocument/2006/relationships/customXml"/><Relationship Id="rId5" Target="worksheets/sheet5.xml" Type="http://schemas.openxmlformats.org/officeDocument/2006/relationships/worksheet"/><Relationship Id="rId50" Target="../customXml/item3.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91109</xdr:colOff>
      <xdr:row>3</xdr:row>
      <xdr:rowOff>74544</xdr:rowOff>
    </xdr:from>
    <xdr:to>
      <xdr:col>12</xdr:col>
      <xdr:colOff>124239</xdr:colOff>
      <xdr:row>23</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5834684" y="617469"/>
          <a:ext cx="4948030" cy="3373506"/>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2</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業名がＢ５セルに１”選択事業”所要額、</a:t>
          </a:r>
          <a:r>
            <a:rPr kumimoji="1" lang="en-US" altLang="ja-JP" sz="1100"/>
            <a:t>15</a:t>
          </a:r>
          <a:r>
            <a:rPr kumimoji="1" lang="ja-JP" altLang="en-US" sz="1100"/>
            <a:t>列目以降に対象経費の記載項目が出力さ</a:t>
          </a:r>
          <a:endParaRPr kumimoji="1" lang="en-US" altLang="ja-JP" sz="1100"/>
        </a:p>
        <a:p>
          <a:r>
            <a:rPr kumimoji="1" lang="ja-JP" altLang="en-US" sz="1100"/>
            <a:t>　 れますので確認し、記載してください。</a:t>
          </a:r>
          <a:r>
            <a:rPr kumimoji="1" lang="ja-JP" altLang="ja-JP" sz="1100">
              <a:effectLst/>
              <a:latin typeface="+mn-lt"/>
              <a:ea typeface="+mn-ea"/>
              <a:cs typeface="+mn-cs"/>
            </a:rPr>
            <a:t>（研修事業により別紙</a:t>
          </a:r>
          <a:r>
            <a:rPr kumimoji="1" lang="en-US" altLang="ja-JP" sz="1100">
              <a:effectLst/>
              <a:latin typeface="+mn-lt"/>
              <a:ea typeface="+mn-ea"/>
              <a:cs typeface="+mn-cs"/>
            </a:rPr>
            <a:t>2</a:t>
          </a:r>
          <a:r>
            <a:rPr kumimoji="1" lang="ja-JP" altLang="ja-JP" sz="1100">
              <a:effectLst/>
              <a:latin typeface="+mn-lt"/>
              <a:ea typeface="+mn-ea"/>
              <a:cs typeface="+mn-cs"/>
            </a:rPr>
            <a:t>が複数のシートに分かれ</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en-US" sz="1100" baseline="0">
              <a:effectLst/>
              <a:latin typeface="+mn-lt"/>
              <a:ea typeface="+mn-ea"/>
              <a:cs typeface="+mn-cs"/>
            </a:rPr>
            <a:t> </a:t>
          </a:r>
          <a:r>
            <a:rPr kumimoji="1" lang="ja-JP" altLang="ja-JP" sz="1100">
              <a:effectLst/>
              <a:latin typeface="+mn-lt"/>
              <a:ea typeface="+mn-ea"/>
              <a:cs typeface="+mn-cs"/>
            </a:rPr>
            <a:t>ている事業があります）</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a:t>
          </a:r>
          <a:endParaRPr kumimoji="1" lang="en-US" altLang="ja-JP" sz="1100"/>
        </a:p>
        <a:p>
          <a:pPr algn="l"/>
          <a:endParaRPr kumimoji="1" lang="en-US" altLang="ja-JP" sz="1100"/>
        </a:p>
        <a:p>
          <a:pPr algn="l"/>
          <a:r>
            <a:rPr kumimoji="1" lang="ja-JP" altLang="en-US" sz="1100"/>
            <a:t>④収入支出予算書抄本につきましては規定の様式はありません。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312964</xdr:colOff>
      <xdr:row>18</xdr:row>
      <xdr:rowOff>149677</xdr:rowOff>
    </xdr:from>
    <xdr:to>
      <xdr:col>9</xdr:col>
      <xdr:colOff>1319892</xdr:colOff>
      <xdr:row>22</xdr:row>
      <xdr:rowOff>272144</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bwMode="auto">
        <a:xfrm>
          <a:off x="10872107" y="6027963"/>
          <a:ext cx="4435928" cy="1592038"/>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a:p>
          <a:pPr algn="l"/>
          <a:endParaRPr kumimoji="1" lang="en-US" altLang="ja-JP" sz="1400"/>
        </a:p>
      </xdr:txBody>
    </xdr:sp>
    <xdr:clientData/>
  </xdr:twoCellAnchor>
  <xdr:twoCellAnchor>
    <xdr:from>
      <xdr:col>5</xdr:col>
      <xdr:colOff>1496788</xdr:colOff>
      <xdr:row>0</xdr:row>
      <xdr:rowOff>122464</xdr:rowOff>
    </xdr:from>
    <xdr:to>
      <xdr:col>10</xdr:col>
      <xdr:colOff>489857</xdr:colOff>
      <xdr:row>5</xdr:row>
      <xdr:rowOff>244928</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bwMode="auto">
        <a:xfrm>
          <a:off x="8626931" y="122464"/>
          <a:ext cx="7429497" cy="127907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kumimoji="1" lang="en-US" altLang="ja-JP" sz="1400">
            <a:effectLst/>
            <a:latin typeface="+mn-lt"/>
            <a:ea typeface="+mn-ea"/>
            <a:cs typeface="+mn-cs"/>
          </a:endParaRPr>
        </a:p>
        <a:p>
          <a:r>
            <a:rPr lang="ja-JP" altLang="en-US" sz="1400">
              <a:effectLst/>
            </a:rPr>
            <a:t>・灰色セルについては変更交付申請のときのみ記入すること。それ以外は斜線を引くこと。</a:t>
          </a:r>
          <a:endParaRPr lang="ja-JP" altLang="ja-JP" sz="1400">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F7A06CDA-75C8-448C-A637-B952907ADAE3}"/>
            </a:ext>
          </a:extLst>
        </xdr:cNvPr>
        <xdr:cNvSpPr txBox="1"/>
      </xdr:nvSpPr>
      <xdr:spPr>
        <a:xfrm>
          <a:off x="2038350"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F1FBF520-EC4E-4D1F-BA58-4A021A668298}"/>
            </a:ext>
          </a:extLst>
        </xdr:cNvPr>
        <xdr:cNvSpPr txBox="1"/>
      </xdr:nvSpPr>
      <xdr:spPr>
        <a:xfrm>
          <a:off x="2009775"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438150</xdr:colOff>
      <xdr:row>0</xdr:row>
      <xdr:rowOff>66675</xdr:rowOff>
    </xdr:from>
    <xdr:to>
      <xdr:col>25</xdr:col>
      <xdr:colOff>171450</xdr:colOff>
      <xdr:row>3</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bwMode="auto">
        <a:xfrm>
          <a:off x="6867525" y="66675"/>
          <a:ext cx="3162300" cy="476250"/>
        </a:xfrm>
        <a:prstGeom prst="roundRect">
          <a:avLst/>
        </a:prstGeom>
        <a:noFill/>
        <a:ln w="57150">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190508</xdr:colOff>
      <xdr:row>2</xdr:row>
      <xdr:rowOff>157353</xdr:rowOff>
    </xdr:from>
    <xdr:to>
      <xdr:col>12</xdr:col>
      <xdr:colOff>323031</xdr:colOff>
      <xdr:row>18</xdr:row>
      <xdr:rowOff>33130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bwMode="auto">
        <a:xfrm>
          <a:off x="6062878" y="530070"/>
          <a:ext cx="5383696" cy="265873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t>【</a:t>
          </a:r>
          <a:r>
            <a:rPr kumimoji="1" lang="ja-JP" altLang="en-US" sz="1100"/>
            <a:t>作成方法</a:t>
          </a:r>
          <a:r>
            <a:rPr kumimoji="1" lang="en-US" altLang="ja-JP" sz="1100"/>
            <a:t>】</a:t>
          </a:r>
        </a:p>
        <a:p>
          <a:pPr algn="l"/>
          <a:r>
            <a:rPr kumimoji="1" lang="ja-JP" altLang="en-US" sz="1100"/>
            <a:t>①Ｌ２列のプルダウンより研修事業名を選択してください。</a:t>
          </a:r>
          <a:endParaRPr kumimoji="1" lang="en-US" altLang="ja-JP" sz="1100"/>
        </a:p>
        <a:p>
          <a:pPr algn="l"/>
          <a:endParaRPr kumimoji="1" lang="en-US" altLang="ja-JP" sz="1100"/>
        </a:p>
        <a:p>
          <a:pPr algn="l"/>
          <a:r>
            <a:rPr kumimoji="1" lang="ja-JP" altLang="en-US" sz="1100"/>
            <a:t>②研修事業を選択すると第</a:t>
          </a:r>
          <a:r>
            <a:rPr kumimoji="1" lang="en-US" altLang="ja-JP" sz="1100"/>
            <a:t>4</a:t>
          </a:r>
          <a:r>
            <a:rPr kumimoji="1" lang="ja-JP" altLang="en-US" sz="1100"/>
            <a:t>号様式別紙１（所要額調書、対象経費内訳）に選択した事　　　　</a:t>
          </a:r>
          <a:endParaRPr kumimoji="1" lang="en-US" altLang="ja-JP" sz="1100"/>
        </a:p>
        <a:p>
          <a:pPr algn="l"/>
          <a:r>
            <a:rPr kumimoji="1" lang="ja-JP" altLang="en-US" sz="1100"/>
            <a:t>　</a:t>
          </a:r>
          <a:r>
            <a:rPr kumimoji="1" lang="ja-JP" altLang="en-US" sz="1100" baseline="0"/>
            <a:t> </a:t>
          </a:r>
          <a:r>
            <a:rPr kumimoji="1" lang="ja-JP" altLang="en-US" sz="1100"/>
            <a:t>業名がＡ</a:t>
          </a:r>
          <a:r>
            <a:rPr kumimoji="1" lang="en-US" altLang="ja-JP" sz="1100"/>
            <a:t>5</a:t>
          </a:r>
          <a:r>
            <a:rPr kumimoji="1" lang="ja-JP" altLang="en-US" sz="1100"/>
            <a:t>セルに１”選択事業”所要額、</a:t>
          </a:r>
          <a:r>
            <a:rPr kumimoji="1" lang="en-US" altLang="ja-JP" sz="1100"/>
            <a:t>15</a:t>
          </a:r>
          <a:r>
            <a:rPr kumimoji="1" lang="ja-JP" altLang="en-US" sz="1100"/>
            <a:t>列目以降に対象経費の記載項目が出力さ</a:t>
          </a:r>
          <a:endParaRPr kumimoji="1" lang="en-US" altLang="ja-JP" sz="1100"/>
        </a:p>
        <a:p>
          <a:pPr algn="l"/>
          <a:r>
            <a:rPr kumimoji="1" lang="ja-JP" altLang="en-US" sz="1100"/>
            <a:t>　 れますので確認し、記載してください。</a:t>
          </a:r>
          <a:endParaRPr kumimoji="1" lang="en-US" altLang="ja-JP" sz="1100"/>
        </a:p>
        <a:p>
          <a:pPr algn="l"/>
          <a:endParaRPr kumimoji="1" lang="en-US" altLang="ja-JP" sz="1100"/>
        </a:p>
        <a:p>
          <a:pPr algn="l"/>
          <a:r>
            <a:rPr kumimoji="1" lang="ja-JP" altLang="en-US" sz="1100"/>
            <a:t>③別紙２については研修事業毎にシートが分けられておりますので、該当事業のシート</a:t>
          </a:r>
          <a:endParaRPr kumimoji="1" lang="en-US" altLang="ja-JP" sz="1100"/>
        </a:p>
        <a:p>
          <a:pPr algn="l"/>
          <a:r>
            <a:rPr kumimoji="1" lang="ja-JP" altLang="en-US" sz="1100"/>
            <a:t>　  を選択し、記載してください。（研修事業により別紙</a:t>
          </a:r>
          <a:r>
            <a:rPr kumimoji="1" lang="en-US" altLang="ja-JP" sz="1100"/>
            <a:t>2</a:t>
          </a:r>
          <a:r>
            <a:rPr kumimoji="1" lang="ja-JP" altLang="en-US" sz="1100"/>
            <a:t>が複数のシートに分かれている</a:t>
          </a:r>
          <a:endParaRPr kumimoji="1" lang="en-US" altLang="ja-JP" sz="1100"/>
        </a:p>
        <a:p>
          <a:pPr algn="l"/>
          <a:r>
            <a:rPr kumimoji="1" lang="en-US" altLang="ja-JP" sz="1100"/>
            <a:t>     </a:t>
          </a:r>
          <a:r>
            <a:rPr kumimoji="1" lang="ja-JP" altLang="en-US" sz="1100"/>
            <a:t>事業があります）</a:t>
          </a:r>
          <a:endParaRPr kumimoji="1" lang="en-US" altLang="ja-JP" sz="1100"/>
        </a:p>
        <a:p>
          <a:pPr algn="l"/>
          <a:endParaRPr kumimoji="1" lang="en-US" altLang="ja-JP" sz="1100"/>
        </a:p>
        <a:p>
          <a:pPr algn="l"/>
          <a:r>
            <a:rPr kumimoji="1" lang="ja-JP" altLang="en-US" sz="1100"/>
            <a:t>④収入支出決算書抄本につきましては規定の様式はありません。</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33617</xdr:colOff>
      <xdr:row>0</xdr:row>
      <xdr:rowOff>201706</xdr:rowOff>
    </xdr:from>
    <xdr:to>
      <xdr:col>11</xdr:col>
      <xdr:colOff>941294</xdr:colOff>
      <xdr:row>4</xdr:row>
      <xdr:rowOff>190500</xdr:rowOff>
    </xdr:to>
    <xdr:sp macro="" textlink="">
      <xdr:nvSpPr>
        <xdr:cNvPr id="4" name="角丸四角形 3">
          <a:extLst>
            <a:ext uri="{FF2B5EF4-FFF2-40B4-BE49-F238E27FC236}">
              <a16:creationId xmlns:a16="http://schemas.microsoft.com/office/drawing/2014/main" id="{00000000-0008-0000-1C00-000004000000}"/>
            </a:ext>
          </a:extLst>
        </xdr:cNvPr>
        <xdr:cNvSpPr/>
      </xdr:nvSpPr>
      <xdr:spPr bwMode="auto">
        <a:xfrm>
          <a:off x="6835588" y="201706"/>
          <a:ext cx="5838265" cy="9525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eaLnBrk="1" fontAlgn="auto" latinLnBrk="0" hangingPunct="1"/>
          <a:r>
            <a:rPr kumimoji="1" lang="ja-JP" altLang="ja-JP" sz="1400">
              <a:effectLst/>
              <a:latin typeface="+mn-lt"/>
              <a:ea typeface="+mn-ea"/>
              <a:cs typeface="+mn-cs"/>
            </a:rPr>
            <a:t>・青色セルが入力必要箇所です。</a:t>
          </a:r>
          <a:endParaRPr lang="ja-JP" altLang="ja-JP" sz="1400">
            <a:effectLst/>
          </a:endParaRPr>
        </a:p>
        <a:p>
          <a:r>
            <a:rPr kumimoji="1" lang="ja-JP" altLang="ja-JP" sz="1400">
              <a:effectLst/>
              <a:latin typeface="+mn-lt"/>
              <a:ea typeface="+mn-ea"/>
              <a:cs typeface="+mn-cs"/>
            </a:rPr>
            <a:t>・黄色セルについては計算式が　入っているため記載不要。</a:t>
          </a:r>
          <a:endParaRPr lang="ja-JP" altLang="ja-JP" sz="1400">
            <a:effectLst/>
          </a:endParaRPr>
        </a:p>
        <a:p>
          <a:r>
            <a:rPr kumimoji="1" lang="ja-JP" altLang="ja-JP" sz="1400">
              <a:effectLst/>
              <a:latin typeface="+mn-lt"/>
              <a:ea typeface="+mn-ea"/>
              <a:cs typeface="+mn-cs"/>
            </a:rPr>
            <a:t>・オレンジセルについては”手入力して下さい</a:t>
          </a:r>
          <a:r>
            <a:rPr kumimoji="1" lang="en-US" altLang="ja-JP" sz="1400">
              <a:effectLst/>
              <a:latin typeface="+mn-lt"/>
              <a:ea typeface="+mn-ea"/>
              <a:cs typeface="+mn-cs"/>
            </a:rPr>
            <a:t>"</a:t>
          </a:r>
          <a:r>
            <a:rPr kumimoji="1" lang="ja-JP" altLang="ja-JP" sz="1400">
              <a:effectLst/>
              <a:latin typeface="+mn-lt"/>
              <a:ea typeface="+mn-ea"/>
              <a:cs typeface="+mn-cs"/>
            </a:rPr>
            <a:t>と記載の場合以外は記載不要。</a:t>
          </a:r>
          <a:endParaRPr lang="ja-JP" altLang="ja-JP" sz="1400">
            <a:effectLst/>
          </a:endParaRPr>
        </a:p>
        <a:p>
          <a:pPr algn="l"/>
          <a:endParaRPr kumimoji="1" lang="ja-JP" altLang="en-US" sz="1100"/>
        </a:p>
      </xdr:txBody>
    </xdr:sp>
    <xdr:clientData/>
  </xdr:twoCellAnchor>
  <xdr:twoCellAnchor>
    <xdr:from>
      <xdr:col>6</xdr:col>
      <xdr:colOff>851647</xdr:colOff>
      <xdr:row>19</xdr:row>
      <xdr:rowOff>0</xdr:rowOff>
    </xdr:from>
    <xdr:to>
      <xdr:col>11</xdr:col>
      <xdr:colOff>356987</xdr:colOff>
      <xdr:row>26</xdr:row>
      <xdr:rowOff>134471</xdr:rowOff>
    </xdr:to>
    <xdr:sp macro="" textlink="">
      <xdr:nvSpPr>
        <xdr:cNvPr id="5" name="角丸四角形 4">
          <a:extLst>
            <a:ext uri="{FF2B5EF4-FFF2-40B4-BE49-F238E27FC236}">
              <a16:creationId xmlns:a16="http://schemas.microsoft.com/office/drawing/2014/main" id="{00000000-0008-0000-1C00-000005000000}"/>
            </a:ext>
          </a:extLst>
        </xdr:cNvPr>
        <xdr:cNvSpPr/>
      </xdr:nvSpPr>
      <xdr:spPr bwMode="auto">
        <a:xfrm>
          <a:off x="7653618" y="4885765"/>
          <a:ext cx="4435928" cy="1546412"/>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a:t>・青色セルが入力必要箇所です。</a:t>
          </a:r>
          <a:endParaRPr kumimoji="1" lang="en-US" altLang="ja-JP" sz="1400"/>
        </a:p>
        <a:p>
          <a:pPr algn="l"/>
          <a:endParaRPr kumimoji="1" lang="en-US" altLang="ja-JP" sz="1400"/>
        </a:p>
        <a:p>
          <a:pPr algn="l"/>
          <a:r>
            <a:rPr kumimoji="1" lang="ja-JP" altLang="en-US" sz="1400"/>
            <a:t>・行が足りない場合は、挿入により適宜追加して下さい。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xdr:colOff>
      <xdr:row>117</xdr:row>
      <xdr:rowOff>19050</xdr:rowOff>
    </xdr:from>
    <xdr:to>
      <xdr:col>12</xdr:col>
      <xdr:colOff>171450</xdr:colOff>
      <xdr:row>120</xdr:row>
      <xdr:rowOff>104775</xdr:rowOff>
    </xdr:to>
    <xdr:sp macro="" textlink="">
      <xdr:nvSpPr>
        <xdr:cNvPr id="2" name="テキスト ボックス 1">
          <a:extLst>
            <a:ext uri="{FF2B5EF4-FFF2-40B4-BE49-F238E27FC236}">
              <a16:creationId xmlns:a16="http://schemas.microsoft.com/office/drawing/2014/main" id="{DB19752D-B2F8-4408-B60A-BEC0D11D700A}"/>
            </a:ext>
          </a:extLst>
        </xdr:cNvPr>
        <xdr:cNvSpPr txBox="1"/>
      </xdr:nvSpPr>
      <xdr:spPr>
        <a:xfrm>
          <a:off x="2038350"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twoCellAnchor>
    <xdr:from>
      <xdr:col>7</xdr:col>
      <xdr:colOff>19050</xdr:colOff>
      <xdr:row>123</xdr:row>
      <xdr:rowOff>95250</xdr:rowOff>
    </xdr:from>
    <xdr:to>
      <xdr:col>12</xdr:col>
      <xdr:colOff>142875</xdr:colOff>
      <xdr:row>126</xdr:row>
      <xdr:rowOff>180975</xdr:rowOff>
    </xdr:to>
    <xdr:sp macro="" textlink="">
      <xdr:nvSpPr>
        <xdr:cNvPr id="3" name="テキスト ボックス 2">
          <a:extLst>
            <a:ext uri="{FF2B5EF4-FFF2-40B4-BE49-F238E27FC236}">
              <a16:creationId xmlns:a16="http://schemas.microsoft.com/office/drawing/2014/main" id="{FE95A64A-F001-47BD-A3DE-2A8CD4E420E4}"/>
            </a:ext>
          </a:extLst>
        </xdr:cNvPr>
        <xdr:cNvSpPr txBox="1"/>
      </xdr:nvSpPr>
      <xdr:spPr>
        <a:xfrm>
          <a:off x="2009775" y="23469600"/>
          <a:ext cx="150495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対象外</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ALFJ/Desktop/&#65330;&#65299;&#33256;&#24202;&#30740;&#20462;&#36027;&#31561;&#35036;&#21161;&#37329;&#65288;&#27503;&#31185;&#21307;&#24107;&#65289;/&#9745;%2001_&#21271;&#28023;&#36947;%20&#9678;/&#12304;&#21271;&#28023;&#36947;&#12305;&#20196;&#21644;&#65299;&#24180;&#24230;&#21307;&#30274;&#38306;&#20418;&#32773;&#30740;&#20462;&#36027;&#31561;&#35036;&#21161;&#37329;&#12539;&#33256;&#24202;&#30740;&#20462;&#36027;&#35036;&#21161;&#37329;&#65288;&#32207;&#25324;&#34920;&#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４（交付申請）"/>
      <sheetName val="財源区分"/>
      <sheetName val="施設一覧"/>
      <sheetName val="Sheet3"/>
    </sheetNames>
    <sheetDataSet>
      <sheetData sheetId="0">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9（実績報告）"/>
      <sheetName val="Ｒ３（交付申請）"/>
      <sheetName val="CSV総括表"/>
      <sheetName val="示達依頼表＿都道府県分依頼表（本年分）"/>
      <sheetName val="財源区分"/>
      <sheetName val="施設一覧"/>
      <sheetName val="Sheet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row r="6">
          <cell r="B6" t="str">
            <v>北海道</v>
          </cell>
          <cell r="C6">
            <v>1</v>
          </cell>
        </row>
        <row r="7">
          <cell r="B7" t="str">
            <v>青森県</v>
          </cell>
          <cell r="C7">
            <v>2</v>
          </cell>
        </row>
        <row r="8">
          <cell r="B8" t="str">
            <v>岩手県</v>
          </cell>
          <cell r="C8">
            <v>3</v>
          </cell>
        </row>
        <row r="9">
          <cell r="B9" t="str">
            <v>宮城県</v>
          </cell>
          <cell r="C9">
            <v>4</v>
          </cell>
        </row>
        <row r="10">
          <cell r="B10" t="str">
            <v>秋田県</v>
          </cell>
          <cell r="C10">
            <v>5</v>
          </cell>
        </row>
        <row r="11">
          <cell r="B11" t="str">
            <v>山形県</v>
          </cell>
          <cell r="C11">
            <v>6</v>
          </cell>
        </row>
        <row r="12">
          <cell r="B12" t="str">
            <v>福島県</v>
          </cell>
          <cell r="C12">
            <v>7</v>
          </cell>
        </row>
        <row r="13">
          <cell r="B13" t="str">
            <v>茨城県</v>
          </cell>
          <cell r="C13">
            <v>8</v>
          </cell>
        </row>
        <row r="14">
          <cell r="B14" t="str">
            <v>栃木県</v>
          </cell>
          <cell r="C14">
            <v>9</v>
          </cell>
        </row>
        <row r="15">
          <cell r="B15" t="str">
            <v>群馬県</v>
          </cell>
          <cell r="C15">
            <v>10</v>
          </cell>
        </row>
        <row r="16">
          <cell r="B16" t="str">
            <v>埼玉県</v>
          </cell>
          <cell r="C16">
            <v>11</v>
          </cell>
        </row>
        <row r="17">
          <cell r="B17" t="str">
            <v>千葉県</v>
          </cell>
          <cell r="C17">
            <v>12</v>
          </cell>
        </row>
        <row r="18">
          <cell r="B18" t="str">
            <v>東京都</v>
          </cell>
          <cell r="C18">
            <v>13</v>
          </cell>
        </row>
        <row r="19">
          <cell r="B19" t="str">
            <v>神奈川県</v>
          </cell>
          <cell r="C19">
            <v>14</v>
          </cell>
        </row>
        <row r="20">
          <cell r="B20" t="str">
            <v>新潟県</v>
          </cell>
          <cell r="C20">
            <v>15</v>
          </cell>
        </row>
        <row r="21">
          <cell r="B21" t="str">
            <v>富山県</v>
          </cell>
          <cell r="C21">
            <v>16</v>
          </cell>
        </row>
        <row r="22">
          <cell r="B22" t="str">
            <v>石川県</v>
          </cell>
          <cell r="C22">
            <v>17</v>
          </cell>
        </row>
        <row r="23">
          <cell r="B23" t="str">
            <v>福井県</v>
          </cell>
          <cell r="C23">
            <v>18</v>
          </cell>
        </row>
        <row r="24">
          <cell r="B24" t="str">
            <v>山梨県</v>
          </cell>
          <cell r="C24">
            <v>19</v>
          </cell>
        </row>
        <row r="25">
          <cell r="B25" t="str">
            <v>長野県</v>
          </cell>
          <cell r="C25">
            <v>20</v>
          </cell>
        </row>
        <row r="26">
          <cell r="B26" t="str">
            <v>岐阜県</v>
          </cell>
          <cell r="C26">
            <v>21</v>
          </cell>
        </row>
        <row r="27">
          <cell r="B27" t="str">
            <v>静岡県</v>
          </cell>
          <cell r="C27">
            <v>22</v>
          </cell>
        </row>
        <row r="28">
          <cell r="B28" t="str">
            <v>愛知県</v>
          </cell>
          <cell r="C28">
            <v>23</v>
          </cell>
        </row>
        <row r="29">
          <cell r="B29" t="str">
            <v>三重県</v>
          </cell>
          <cell r="C29">
            <v>24</v>
          </cell>
        </row>
        <row r="30">
          <cell r="B30" t="str">
            <v>滋賀県</v>
          </cell>
          <cell r="C30">
            <v>25</v>
          </cell>
        </row>
        <row r="31">
          <cell r="B31" t="str">
            <v>京都府</v>
          </cell>
          <cell r="C31">
            <v>26</v>
          </cell>
        </row>
        <row r="32">
          <cell r="B32" t="str">
            <v>大阪府</v>
          </cell>
          <cell r="C32">
            <v>27</v>
          </cell>
        </row>
        <row r="33">
          <cell r="B33" t="str">
            <v>兵庫県</v>
          </cell>
          <cell r="C33">
            <v>28</v>
          </cell>
        </row>
        <row r="34">
          <cell r="B34" t="str">
            <v>奈良県</v>
          </cell>
          <cell r="C34">
            <v>29</v>
          </cell>
        </row>
        <row r="35">
          <cell r="B35" t="str">
            <v>和歌山県</v>
          </cell>
          <cell r="C35">
            <v>30</v>
          </cell>
        </row>
        <row r="36">
          <cell r="B36" t="str">
            <v>鳥取県</v>
          </cell>
          <cell r="C36">
            <v>31</v>
          </cell>
        </row>
        <row r="37">
          <cell r="B37" t="str">
            <v>島根県</v>
          </cell>
          <cell r="C37">
            <v>32</v>
          </cell>
        </row>
        <row r="38">
          <cell r="B38" t="str">
            <v>岡山県</v>
          </cell>
          <cell r="C38">
            <v>33</v>
          </cell>
        </row>
        <row r="39">
          <cell r="B39" t="str">
            <v>広島県</v>
          </cell>
          <cell r="C39">
            <v>34</v>
          </cell>
        </row>
        <row r="40">
          <cell r="B40" t="str">
            <v>山口県</v>
          </cell>
          <cell r="C40">
            <v>35</v>
          </cell>
        </row>
        <row r="41">
          <cell r="B41" t="str">
            <v>徳島県</v>
          </cell>
          <cell r="C41">
            <v>36</v>
          </cell>
        </row>
        <row r="42">
          <cell r="B42" t="str">
            <v>香川県</v>
          </cell>
          <cell r="C42">
            <v>37</v>
          </cell>
        </row>
        <row r="43">
          <cell r="B43" t="str">
            <v>愛媛県</v>
          </cell>
          <cell r="C43">
            <v>38</v>
          </cell>
        </row>
        <row r="44">
          <cell r="B44" t="str">
            <v>高知県</v>
          </cell>
          <cell r="C44">
            <v>39</v>
          </cell>
        </row>
        <row r="45">
          <cell r="B45" t="str">
            <v>福岡県</v>
          </cell>
          <cell r="C45">
            <v>40</v>
          </cell>
        </row>
        <row r="46">
          <cell r="B46" t="str">
            <v>佐賀県</v>
          </cell>
          <cell r="C46">
            <v>41</v>
          </cell>
        </row>
        <row r="47">
          <cell r="B47" t="str">
            <v>長崎県</v>
          </cell>
          <cell r="C47">
            <v>42</v>
          </cell>
        </row>
        <row r="48">
          <cell r="B48" t="str">
            <v>熊本県</v>
          </cell>
          <cell r="C48">
            <v>43</v>
          </cell>
        </row>
        <row r="49">
          <cell r="B49" t="str">
            <v>大分県</v>
          </cell>
          <cell r="C49">
            <v>44</v>
          </cell>
        </row>
        <row r="50">
          <cell r="B50" t="str">
            <v>宮崎県</v>
          </cell>
          <cell r="C50">
            <v>45</v>
          </cell>
        </row>
        <row r="51">
          <cell r="B51" t="str">
            <v>鹿児島県</v>
          </cell>
          <cell r="C51">
            <v>46</v>
          </cell>
        </row>
        <row r="52">
          <cell r="B52" t="str">
            <v>沖縄県</v>
          </cell>
          <cell r="C52">
            <v>47</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実績報告）"/>
      <sheetName val="Ｒ３（交付申請）"/>
      <sheetName val="財源区分"/>
      <sheetName val="施設一覧"/>
      <sheetName val="Sheet1"/>
      <sheetName val="Sheet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3.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5.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6.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7.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27"/>
  <sheetViews>
    <sheetView zoomScale="90" zoomScaleNormal="90" workbookViewId="0">
      <selection activeCell="B12" sqref="B12"/>
    </sheetView>
  </sheetViews>
  <sheetFormatPr defaultColWidth="9" defaultRowHeight="13.15"/>
  <cols>
    <col min="1" max="1" width="1.875" style="125" customWidth="1"/>
    <col min="2" max="2" width="69" style="125" customWidth="1"/>
    <col min="3" max="10" width="9.25" style="125" customWidth="1"/>
    <col min="11" max="11" width="10" style="125" bestFit="1" customWidth="1"/>
    <col min="12" max="16384" width="9" style="125"/>
  </cols>
  <sheetData>
    <row r="1" spans="2:11" ht="14.45">
      <c r="B1" s="100" t="s">
        <v>0</v>
      </c>
    </row>
    <row r="2" spans="2:11">
      <c r="B2" s="287"/>
      <c r="C2" s="288" t="s">
        <v>1</v>
      </c>
      <c r="D2" s="289"/>
      <c r="E2" s="289"/>
      <c r="F2" s="290"/>
      <c r="G2" s="288" t="s">
        <v>2</v>
      </c>
      <c r="H2" s="289"/>
      <c r="I2" s="289"/>
      <c r="J2" s="290"/>
      <c r="K2" s="291" t="s">
        <v>3</v>
      </c>
    </row>
    <row r="3" spans="2:11" ht="26.45">
      <c r="B3" s="292"/>
      <c r="C3" s="293" t="s">
        <v>4</v>
      </c>
      <c r="D3" s="294"/>
      <c r="F3" s="295" t="s">
        <v>5</v>
      </c>
      <c r="G3" s="293" t="s">
        <v>6</v>
      </c>
      <c r="H3" s="294"/>
      <c r="J3" s="295" t="s">
        <v>5</v>
      </c>
      <c r="K3" s="287" t="s">
        <v>7</v>
      </c>
    </row>
    <row r="4" spans="2:11">
      <c r="B4" s="296"/>
      <c r="C4" s="297"/>
      <c r="D4" s="291" t="s">
        <v>8</v>
      </c>
      <c r="E4" s="291" t="s">
        <v>9</v>
      </c>
      <c r="F4" s="298"/>
      <c r="G4" s="297"/>
      <c r="H4" s="291" t="s">
        <v>8</v>
      </c>
      <c r="I4" s="291" t="s">
        <v>9</v>
      </c>
      <c r="J4" s="298"/>
      <c r="K4" s="299"/>
    </row>
    <row r="5" spans="2:11">
      <c r="B5" s="300" t="s">
        <v>10</v>
      </c>
      <c r="C5" s="301"/>
      <c r="D5" s="301"/>
      <c r="E5" s="301"/>
      <c r="F5" s="301"/>
      <c r="G5" s="301"/>
      <c r="H5" s="301"/>
      <c r="I5" s="301"/>
      <c r="J5" s="301"/>
      <c r="K5" s="302"/>
    </row>
    <row r="6" spans="2:11">
      <c r="B6" s="303" t="s">
        <v>11</v>
      </c>
      <c r="C6" s="291" t="s">
        <v>12</v>
      </c>
      <c r="D6" s="291" t="s">
        <v>12</v>
      </c>
      <c r="E6" s="291" t="s">
        <v>12</v>
      </c>
      <c r="F6" s="301"/>
      <c r="G6" s="291" t="s">
        <v>12</v>
      </c>
      <c r="H6" s="291" t="s">
        <v>12</v>
      </c>
      <c r="I6" s="291" t="s">
        <v>12</v>
      </c>
      <c r="J6" s="301"/>
      <c r="K6" s="304" t="s">
        <v>12</v>
      </c>
    </row>
    <row r="7" spans="2:11">
      <c r="B7" s="303" t="s">
        <v>13</v>
      </c>
      <c r="C7" s="291" t="s">
        <v>12</v>
      </c>
      <c r="D7" s="291" t="s">
        <v>12</v>
      </c>
      <c r="E7" s="291" t="s">
        <v>12</v>
      </c>
      <c r="F7" s="301"/>
      <c r="G7" s="291" t="s">
        <v>12</v>
      </c>
      <c r="H7" s="291" t="s">
        <v>12</v>
      </c>
      <c r="I7" s="291" t="s">
        <v>12</v>
      </c>
      <c r="J7" s="301"/>
      <c r="K7" s="304" t="s">
        <v>12</v>
      </c>
    </row>
    <row r="8" spans="2:11">
      <c r="B8" s="303" t="s">
        <v>14</v>
      </c>
      <c r="C8" s="291" t="s">
        <v>12</v>
      </c>
      <c r="D8" s="291" t="s">
        <v>12</v>
      </c>
      <c r="E8" s="291" t="s">
        <v>12</v>
      </c>
      <c r="F8" s="301"/>
      <c r="G8" s="291" t="s">
        <v>12</v>
      </c>
      <c r="H8" s="291" t="s">
        <v>12</v>
      </c>
      <c r="I8" s="291" t="s">
        <v>12</v>
      </c>
      <c r="J8" s="301"/>
      <c r="K8" s="304" t="s">
        <v>12</v>
      </c>
    </row>
    <row r="9" spans="2:11">
      <c r="B9" s="303" t="s">
        <v>15</v>
      </c>
      <c r="C9" s="301"/>
      <c r="D9" s="301"/>
      <c r="E9" s="301"/>
      <c r="F9" s="301"/>
      <c r="G9" s="301"/>
      <c r="H9" s="301"/>
      <c r="I9" s="301"/>
      <c r="J9" s="301"/>
      <c r="K9" s="302"/>
    </row>
    <row r="10" spans="2:11">
      <c r="B10" s="303" t="s">
        <v>16</v>
      </c>
      <c r="C10" s="291" t="s">
        <v>12</v>
      </c>
      <c r="D10" s="291" t="s">
        <v>12</v>
      </c>
      <c r="E10" s="291" t="s">
        <v>12</v>
      </c>
      <c r="F10" s="291"/>
      <c r="G10" s="291" t="s">
        <v>12</v>
      </c>
      <c r="H10" s="291" t="s">
        <v>12</v>
      </c>
      <c r="I10" s="291" t="s">
        <v>12</v>
      </c>
      <c r="J10" s="291"/>
      <c r="K10" s="304" t="s">
        <v>12</v>
      </c>
    </row>
    <row r="11" spans="2:11">
      <c r="B11" s="303" t="s">
        <v>17</v>
      </c>
      <c r="C11" s="291" t="s">
        <v>12</v>
      </c>
      <c r="D11" s="291" t="s">
        <v>12</v>
      </c>
      <c r="E11" s="291" t="s">
        <v>12</v>
      </c>
      <c r="F11" s="291" t="s">
        <v>12</v>
      </c>
      <c r="G11" s="291" t="s">
        <v>12</v>
      </c>
      <c r="H11" s="291" t="s">
        <v>12</v>
      </c>
      <c r="I11" s="291" t="s">
        <v>12</v>
      </c>
      <c r="J11" s="291" t="s">
        <v>12</v>
      </c>
      <c r="K11" s="304" t="s">
        <v>12</v>
      </c>
    </row>
    <row r="12" spans="2:11">
      <c r="B12" s="303" t="s">
        <v>18</v>
      </c>
      <c r="C12" s="291" t="s">
        <v>12</v>
      </c>
      <c r="D12" s="291" t="s">
        <v>12</v>
      </c>
      <c r="E12" s="291" t="s">
        <v>12</v>
      </c>
      <c r="F12" s="301"/>
      <c r="G12" s="291" t="s">
        <v>12</v>
      </c>
      <c r="H12" s="291" t="s">
        <v>12</v>
      </c>
      <c r="I12" s="291" t="s">
        <v>12</v>
      </c>
      <c r="J12" s="301"/>
      <c r="K12" s="304" t="s">
        <v>12</v>
      </c>
    </row>
    <row r="13" spans="2:11">
      <c r="B13" s="303" t="s">
        <v>19</v>
      </c>
      <c r="C13" s="291"/>
      <c r="D13" s="291"/>
      <c r="E13" s="291"/>
      <c r="F13" s="301"/>
      <c r="G13" s="291"/>
      <c r="H13" s="291"/>
      <c r="I13" s="291"/>
      <c r="J13" s="301"/>
      <c r="K13" s="302"/>
    </row>
    <row r="14" spans="2:11">
      <c r="B14" s="303" t="s">
        <v>20</v>
      </c>
      <c r="C14" s="291" t="s">
        <v>12</v>
      </c>
      <c r="D14" s="291" t="s">
        <v>12</v>
      </c>
      <c r="E14" s="291" t="s">
        <v>12</v>
      </c>
      <c r="F14" s="301"/>
      <c r="G14" s="291" t="s">
        <v>12</v>
      </c>
      <c r="H14" s="291" t="s">
        <v>12</v>
      </c>
      <c r="I14" s="291" t="s">
        <v>12</v>
      </c>
      <c r="J14" s="301"/>
      <c r="K14" s="304" t="s">
        <v>12</v>
      </c>
    </row>
    <row r="15" spans="2:11">
      <c r="B15" s="303" t="s">
        <v>21</v>
      </c>
      <c r="C15" s="291" t="s">
        <v>12</v>
      </c>
      <c r="D15" s="291" t="s">
        <v>12</v>
      </c>
      <c r="E15" s="291" t="s">
        <v>12</v>
      </c>
      <c r="F15" s="301"/>
      <c r="G15" s="291" t="s">
        <v>12</v>
      </c>
      <c r="H15" s="291" t="s">
        <v>12</v>
      </c>
      <c r="I15" s="291" t="s">
        <v>12</v>
      </c>
      <c r="J15" s="301"/>
      <c r="K15" s="304" t="s">
        <v>12</v>
      </c>
    </row>
    <row r="16" spans="2:11">
      <c r="B16" s="303" t="s">
        <v>22</v>
      </c>
      <c r="C16" s="291" t="s">
        <v>12</v>
      </c>
      <c r="D16" s="291" t="s">
        <v>12</v>
      </c>
      <c r="E16" s="291" t="s">
        <v>12</v>
      </c>
      <c r="F16" s="301"/>
      <c r="G16" s="291" t="s">
        <v>12</v>
      </c>
      <c r="H16" s="291" t="s">
        <v>12</v>
      </c>
      <c r="I16" s="291" t="s">
        <v>12</v>
      </c>
      <c r="J16" s="301"/>
      <c r="K16" s="304" t="s">
        <v>12</v>
      </c>
    </row>
    <row r="17" spans="2:11">
      <c r="B17" s="303" t="s">
        <v>23</v>
      </c>
      <c r="C17" s="291" t="s">
        <v>12</v>
      </c>
      <c r="D17" s="291" t="s">
        <v>12</v>
      </c>
      <c r="E17" s="291" t="s">
        <v>12</v>
      </c>
      <c r="F17" s="301"/>
      <c r="G17" s="291" t="s">
        <v>12</v>
      </c>
      <c r="H17" s="291" t="s">
        <v>12</v>
      </c>
      <c r="I17" s="291" t="s">
        <v>12</v>
      </c>
      <c r="J17" s="301"/>
      <c r="K17" s="304" t="s">
        <v>12</v>
      </c>
    </row>
    <row r="18" spans="2:11">
      <c r="B18" s="303" t="s">
        <v>24</v>
      </c>
      <c r="C18" s="291" t="s">
        <v>12</v>
      </c>
      <c r="D18" s="291" t="s">
        <v>12</v>
      </c>
      <c r="E18" s="291" t="s">
        <v>12</v>
      </c>
      <c r="F18" s="301"/>
      <c r="G18" s="291" t="s">
        <v>12</v>
      </c>
      <c r="H18" s="291" t="s">
        <v>12</v>
      </c>
      <c r="I18" s="291" t="s">
        <v>12</v>
      </c>
      <c r="J18" s="301"/>
      <c r="K18" s="304" t="s">
        <v>12</v>
      </c>
    </row>
    <row r="19" spans="2:11">
      <c r="B19" s="303" t="s">
        <v>25</v>
      </c>
      <c r="C19" s="301"/>
      <c r="D19" s="301"/>
      <c r="E19" s="301"/>
      <c r="F19" s="301"/>
      <c r="G19" s="301"/>
      <c r="H19" s="301"/>
      <c r="I19" s="301"/>
      <c r="J19" s="301"/>
      <c r="K19" s="302"/>
    </row>
    <row r="20" spans="2:11">
      <c r="B20" s="303" t="s">
        <v>26</v>
      </c>
      <c r="C20" s="291" t="s">
        <v>12</v>
      </c>
      <c r="D20" s="291" t="s">
        <v>12</v>
      </c>
      <c r="E20" s="291" t="s">
        <v>12</v>
      </c>
      <c r="F20" s="301"/>
      <c r="G20" s="291" t="s">
        <v>12</v>
      </c>
      <c r="H20" s="291" t="s">
        <v>12</v>
      </c>
      <c r="I20" s="291" t="s">
        <v>12</v>
      </c>
      <c r="J20" s="301"/>
      <c r="K20" s="304" t="s">
        <v>12</v>
      </c>
    </row>
    <row r="21" spans="2:11">
      <c r="B21" s="303" t="s">
        <v>27</v>
      </c>
      <c r="C21" s="291" t="s">
        <v>12</v>
      </c>
      <c r="D21" s="291" t="s">
        <v>12</v>
      </c>
      <c r="E21" s="291" t="s">
        <v>12</v>
      </c>
      <c r="F21" s="301"/>
      <c r="G21" s="291" t="s">
        <v>12</v>
      </c>
      <c r="H21" s="291" t="s">
        <v>12</v>
      </c>
      <c r="I21" s="291" t="s">
        <v>12</v>
      </c>
      <c r="J21" s="301"/>
      <c r="K21" s="304" t="s">
        <v>12</v>
      </c>
    </row>
    <row r="22" spans="2:11">
      <c r="B22" s="303" t="s">
        <v>28</v>
      </c>
      <c r="C22" s="291" t="s">
        <v>12</v>
      </c>
      <c r="D22" s="291" t="s">
        <v>12</v>
      </c>
      <c r="E22" s="291" t="s">
        <v>12</v>
      </c>
      <c r="F22" s="301"/>
      <c r="G22" s="291" t="s">
        <v>12</v>
      </c>
      <c r="H22" s="291" t="s">
        <v>12</v>
      </c>
      <c r="I22" s="291" t="s">
        <v>12</v>
      </c>
      <c r="J22" s="301"/>
      <c r="K22" s="304" t="s">
        <v>12</v>
      </c>
    </row>
    <row r="23" spans="2:11">
      <c r="B23" s="300"/>
      <c r="C23" s="301"/>
      <c r="D23" s="301"/>
      <c r="E23" s="301"/>
      <c r="F23" s="301"/>
      <c r="G23" s="301"/>
      <c r="H23" s="301"/>
      <c r="I23" s="301"/>
      <c r="J23" s="301"/>
      <c r="K23" s="302"/>
    </row>
    <row r="24" spans="2:11">
      <c r="B24" s="300" t="s">
        <v>29</v>
      </c>
      <c r="C24" s="301"/>
      <c r="D24" s="301"/>
      <c r="E24" s="301"/>
      <c r="F24" s="301"/>
      <c r="G24" s="301"/>
      <c r="H24" s="301"/>
      <c r="I24" s="301"/>
      <c r="J24" s="301"/>
      <c r="K24" s="302"/>
    </row>
    <row r="25" spans="2:11">
      <c r="B25" s="303" t="s">
        <v>30</v>
      </c>
      <c r="C25" s="301"/>
      <c r="D25" s="301"/>
      <c r="E25" s="301"/>
      <c r="F25" s="301"/>
      <c r="G25" s="301"/>
      <c r="H25" s="301"/>
      <c r="I25" s="301"/>
      <c r="J25" s="301"/>
      <c r="K25" s="304"/>
    </row>
    <row r="26" spans="2:11">
      <c r="B26" s="303" t="s">
        <v>31</v>
      </c>
      <c r="C26" s="291" t="s">
        <v>12</v>
      </c>
      <c r="D26" s="291" t="s">
        <v>12</v>
      </c>
      <c r="E26" s="291" t="s">
        <v>12</v>
      </c>
      <c r="F26" s="291" t="s">
        <v>12</v>
      </c>
      <c r="G26" s="291" t="s">
        <v>12</v>
      </c>
      <c r="H26" s="291" t="s">
        <v>12</v>
      </c>
      <c r="I26" s="291" t="s">
        <v>12</v>
      </c>
      <c r="J26" s="291" t="s">
        <v>12</v>
      </c>
      <c r="K26" s="304" t="s">
        <v>12</v>
      </c>
    </row>
    <row r="27" spans="2:11">
      <c r="B27" s="303" t="s">
        <v>32</v>
      </c>
      <c r="C27" s="291" t="s">
        <v>12</v>
      </c>
      <c r="D27" s="291" t="s">
        <v>12</v>
      </c>
      <c r="E27" s="291" t="s">
        <v>12</v>
      </c>
      <c r="F27" s="291" t="s">
        <v>12</v>
      </c>
      <c r="G27" s="291" t="s">
        <v>12</v>
      </c>
      <c r="H27" s="291" t="s">
        <v>12</v>
      </c>
      <c r="I27" s="291" t="s">
        <v>12</v>
      </c>
      <c r="J27" s="291" t="s">
        <v>12</v>
      </c>
      <c r="K27" s="304" t="s">
        <v>12</v>
      </c>
    </row>
  </sheetData>
  <phoneticPr fontId="4"/>
  <printOptions horizontalCentered="1"/>
  <pageMargins left="0.51181102362204722" right="0.51181102362204722" top="0.74803149606299213" bottom="0.74803149606299213" header="0.31496062992125984" footer="0.31496062992125984"/>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0B11-236A-45D3-AA75-B4A83B2DAC3C}">
  <sheetPr>
    <tabColor rgb="FF00B0F0"/>
    <pageSetUpPr fitToPage="1"/>
  </sheetPr>
  <dimension ref="A1:AA45"/>
  <sheetViews>
    <sheetView view="pageBreakPreview" zoomScale="85" zoomScaleNormal="55" zoomScaleSheetLayoutView="85" workbookViewId="0">
      <selection sqref="A1:D1"/>
    </sheetView>
  </sheetViews>
  <sheetFormatPr defaultRowHeight="12"/>
  <cols>
    <col min="1" max="2" width="10.625" style="18" customWidth="1"/>
    <col min="3" max="3" width="9.375" style="18" customWidth="1"/>
    <col min="4" max="17" width="10.625" style="18" customWidth="1"/>
    <col min="18" max="19" width="10.625" style="251" customWidth="1"/>
    <col min="20" max="23" width="10.625" style="18" customWidth="1"/>
    <col min="24" max="27" width="6.625" style="18" customWidth="1"/>
    <col min="28" max="256" width="9" style="18"/>
    <col min="257" max="258" width="10.625" style="18" customWidth="1"/>
    <col min="259" max="259" width="9.375" style="18" customWidth="1"/>
    <col min="260" max="279" width="10.625" style="18" customWidth="1"/>
    <col min="280" max="283" width="6.625" style="18" customWidth="1"/>
    <col min="284" max="512" width="9" style="18"/>
    <col min="513" max="514" width="10.625" style="18" customWidth="1"/>
    <col min="515" max="515" width="9.375" style="18" customWidth="1"/>
    <col min="516" max="535" width="10.625" style="18" customWidth="1"/>
    <col min="536" max="539" width="6.625" style="18" customWidth="1"/>
    <col min="540" max="768" width="9" style="18"/>
    <col min="769" max="770" width="10.625" style="18" customWidth="1"/>
    <col min="771" max="771" width="9.375" style="18" customWidth="1"/>
    <col min="772" max="791" width="10.625" style="18" customWidth="1"/>
    <col min="792" max="795" width="6.625" style="18" customWidth="1"/>
    <col min="796" max="1024" width="9" style="18"/>
    <col min="1025" max="1026" width="10.625" style="18" customWidth="1"/>
    <col min="1027" max="1027" width="9.375" style="18" customWidth="1"/>
    <col min="1028" max="1047" width="10.625" style="18" customWidth="1"/>
    <col min="1048" max="1051" width="6.625" style="18" customWidth="1"/>
    <col min="1052" max="1280" width="9" style="18"/>
    <col min="1281" max="1282" width="10.625" style="18" customWidth="1"/>
    <col min="1283" max="1283" width="9.375" style="18" customWidth="1"/>
    <col min="1284" max="1303" width="10.625" style="18" customWidth="1"/>
    <col min="1304" max="1307" width="6.625" style="18" customWidth="1"/>
    <col min="1308" max="1536" width="9" style="18"/>
    <col min="1537" max="1538" width="10.625" style="18" customWidth="1"/>
    <col min="1539" max="1539" width="9.375" style="18" customWidth="1"/>
    <col min="1540" max="1559" width="10.625" style="18" customWidth="1"/>
    <col min="1560" max="1563" width="6.625" style="18" customWidth="1"/>
    <col min="1564" max="1792" width="9" style="18"/>
    <col min="1793" max="1794" width="10.625" style="18" customWidth="1"/>
    <col min="1795" max="1795" width="9.375" style="18" customWidth="1"/>
    <col min="1796" max="1815" width="10.625" style="18" customWidth="1"/>
    <col min="1816" max="1819" width="6.625" style="18" customWidth="1"/>
    <col min="1820" max="2048" width="9" style="18"/>
    <col min="2049" max="2050" width="10.625" style="18" customWidth="1"/>
    <col min="2051" max="2051" width="9.375" style="18" customWidth="1"/>
    <col min="2052" max="2071" width="10.625" style="18" customWidth="1"/>
    <col min="2072" max="2075" width="6.625" style="18" customWidth="1"/>
    <col min="2076" max="2304" width="9" style="18"/>
    <col min="2305" max="2306" width="10.625" style="18" customWidth="1"/>
    <col min="2307" max="2307" width="9.375" style="18" customWidth="1"/>
    <col min="2308" max="2327" width="10.625" style="18" customWidth="1"/>
    <col min="2328" max="2331" width="6.625" style="18" customWidth="1"/>
    <col min="2332" max="2560" width="9" style="18"/>
    <col min="2561" max="2562" width="10.625" style="18" customWidth="1"/>
    <col min="2563" max="2563" width="9.375" style="18" customWidth="1"/>
    <col min="2564" max="2583" width="10.625" style="18" customWidth="1"/>
    <col min="2584" max="2587" width="6.625" style="18" customWidth="1"/>
    <col min="2588" max="2816" width="9" style="18"/>
    <col min="2817" max="2818" width="10.625" style="18" customWidth="1"/>
    <col min="2819" max="2819" width="9.375" style="18" customWidth="1"/>
    <col min="2820" max="2839" width="10.625" style="18" customWidth="1"/>
    <col min="2840" max="2843" width="6.625" style="18" customWidth="1"/>
    <col min="2844" max="3072" width="9" style="18"/>
    <col min="3073" max="3074" width="10.625" style="18" customWidth="1"/>
    <col min="3075" max="3075" width="9.375" style="18" customWidth="1"/>
    <col min="3076" max="3095" width="10.625" style="18" customWidth="1"/>
    <col min="3096" max="3099" width="6.625" style="18" customWidth="1"/>
    <col min="3100" max="3328" width="9" style="18"/>
    <col min="3329" max="3330" width="10.625" style="18" customWidth="1"/>
    <col min="3331" max="3331" width="9.375" style="18" customWidth="1"/>
    <col min="3332" max="3351" width="10.625" style="18" customWidth="1"/>
    <col min="3352" max="3355" width="6.625" style="18" customWidth="1"/>
    <col min="3356" max="3584" width="9" style="18"/>
    <col min="3585" max="3586" width="10.625" style="18" customWidth="1"/>
    <col min="3587" max="3587" width="9.375" style="18" customWidth="1"/>
    <col min="3588" max="3607" width="10.625" style="18" customWidth="1"/>
    <col min="3608" max="3611" width="6.625" style="18" customWidth="1"/>
    <col min="3612" max="3840" width="9" style="18"/>
    <col min="3841" max="3842" width="10.625" style="18" customWidth="1"/>
    <col min="3843" max="3843" width="9.375" style="18" customWidth="1"/>
    <col min="3844" max="3863" width="10.625" style="18" customWidth="1"/>
    <col min="3864" max="3867" width="6.625" style="18" customWidth="1"/>
    <col min="3868" max="4096" width="9" style="18"/>
    <col min="4097" max="4098" width="10.625" style="18" customWidth="1"/>
    <col min="4099" max="4099" width="9.375" style="18" customWidth="1"/>
    <col min="4100" max="4119" width="10.625" style="18" customWidth="1"/>
    <col min="4120" max="4123" width="6.625" style="18" customWidth="1"/>
    <col min="4124" max="4352" width="9" style="18"/>
    <col min="4353" max="4354" width="10.625" style="18" customWidth="1"/>
    <col min="4355" max="4355" width="9.375" style="18" customWidth="1"/>
    <col min="4356" max="4375" width="10.625" style="18" customWidth="1"/>
    <col min="4376" max="4379" width="6.625" style="18" customWidth="1"/>
    <col min="4380" max="4608" width="9" style="18"/>
    <col min="4609" max="4610" width="10.625" style="18" customWidth="1"/>
    <col min="4611" max="4611" width="9.375" style="18" customWidth="1"/>
    <col min="4612" max="4631" width="10.625" style="18" customWidth="1"/>
    <col min="4632" max="4635" width="6.625" style="18" customWidth="1"/>
    <col min="4636" max="4864" width="9" style="18"/>
    <col min="4865" max="4866" width="10.625" style="18" customWidth="1"/>
    <col min="4867" max="4867" width="9.375" style="18" customWidth="1"/>
    <col min="4868" max="4887" width="10.625" style="18" customWidth="1"/>
    <col min="4888" max="4891" width="6.625" style="18" customWidth="1"/>
    <col min="4892" max="5120" width="9" style="18"/>
    <col min="5121" max="5122" width="10.625" style="18" customWidth="1"/>
    <col min="5123" max="5123" width="9.375" style="18" customWidth="1"/>
    <col min="5124" max="5143" width="10.625" style="18" customWidth="1"/>
    <col min="5144" max="5147" width="6.625" style="18" customWidth="1"/>
    <col min="5148" max="5376" width="9" style="18"/>
    <col min="5377" max="5378" width="10.625" style="18" customWidth="1"/>
    <col min="5379" max="5379" width="9.375" style="18" customWidth="1"/>
    <col min="5380" max="5399" width="10.625" style="18" customWidth="1"/>
    <col min="5400" max="5403" width="6.625" style="18" customWidth="1"/>
    <col min="5404" max="5632" width="9" style="18"/>
    <col min="5633" max="5634" width="10.625" style="18" customWidth="1"/>
    <col min="5635" max="5635" width="9.375" style="18" customWidth="1"/>
    <col min="5636" max="5655" width="10.625" style="18" customWidth="1"/>
    <col min="5656" max="5659" width="6.625" style="18" customWidth="1"/>
    <col min="5660" max="5888" width="9" style="18"/>
    <col min="5889" max="5890" width="10.625" style="18" customWidth="1"/>
    <col min="5891" max="5891" width="9.375" style="18" customWidth="1"/>
    <col min="5892" max="5911" width="10.625" style="18" customWidth="1"/>
    <col min="5912" max="5915" width="6.625" style="18" customWidth="1"/>
    <col min="5916" max="6144" width="9" style="18"/>
    <col min="6145" max="6146" width="10.625" style="18" customWidth="1"/>
    <col min="6147" max="6147" width="9.375" style="18" customWidth="1"/>
    <col min="6148" max="6167" width="10.625" style="18" customWidth="1"/>
    <col min="6168" max="6171" width="6.625" style="18" customWidth="1"/>
    <col min="6172" max="6400" width="9" style="18"/>
    <col min="6401" max="6402" width="10.625" style="18" customWidth="1"/>
    <col min="6403" max="6403" width="9.375" style="18" customWidth="1"/>
    <col min="6404" max="6423" width="10.625" style="18" customWidth="1"/>
    <col min="6424" max="6427" width="6.625" style="18" customWidth="1"/>
    <col min="6428" max="6656" width="9" style="18"/>
    <col min="6657" max="6658" width="10.625" style="18" customWidth="1"/>
    <col min="6659" max="6659" width="9.375" style="18" customWidth="1"/>
    <col min="6660" max="6679" width="10.625" style="18" customWidth="1"/>
    <col min="6680" max="6683" width="6.625" style="18" customWidth="1"/>
    <col min="6684" max="6912" width="9" style="18"/>
    <col min="6913" max="6914" width="10.625" style="18" customWidth="1"/>
    <col min="6915" max="6915" width="9.375" style="18" customWidth="1"/>
    <col min="6916" max="6935" width="10.625" style="18" customWidth="1"/>
    <col min="6936" max="6939" width="6.625" style="18" customWidth="1"/>
    <col min="6940" max="7168" width="9" style="18"/>
    <col min="7169" max="7170" width="10.625" style="18" customWidth="1"/>
    <col min="7171" max="7171" width="9.375" style="18" customWidth="1"/>
    <col min="7172" max="7191" width="10.625" style="18" customWidth="1"/>
    <col min="7192" max="7195" width="6.625" style="18" customWidth="1"/>
    <col min="7196" max="7424" width="9" style="18"/>
    <col min="7425" max="7426" width="10.625" style="18" customWidth="1"/>
    <col min="7427" max="7427" width="9.375" style="18" customWidth="1"/>
    <col min="7428" max="7447" width="10.625" style="18" customWidth="1"/>
    <col min="7448" max="7451" width="6.625" style="18" customWidth="1"/>
    <col min="7452" max="7680" width="9" style="18"/>
    <col min="7681" max="7682" width="10.625" style="18" customWidth="1"/>
    <col min="7683" max="7683" width="9.375" style="18" customWidth="1"/>
    <col min="7684" max="7703" width="10.625" style="18" customWidth="1"/>
    <col min="7704" max="7707" width="6.625" style="18" customWidth="1"/>
    <col min="7708" max="7936" width="9" style="18"/>
    <col min="7937" max="7938" width="10.625" style="18" customWidth="1"/>
    <col min="7939" max="7939" width="9.375" style="18" customWidth="1"/>
    <col min="7940" max="7959" width="10.625" style="18" customWidth="1"/>
    <col min="7960" max="7963" width="6.625" style="18" customWidth="1"/>
    <col min="7964" max="8192" width="9" style="18"/>
    <col min="8193" max="8194" width="10.625" style="18" customWidth="1"/>
    <col min="8195" max="8195" width="9.375" style="18" customWidth="1"/>
    <col min="8196" max="8215" width="10.625" style="18" customWidth="1"/>
    <col min="8216" max="8219" width="6.625" style="18" customWidth="1"/>
    <col min="8220" max="8448" width="9" style="18"/>
    <col min="8449" max="8450" width="10.625" style="18" customWidth="1"/>
    <col min="8451" max="8451" width="9.375" style="18" customWidth="1"/>
    <col min="8452" max="8471" width="10.625" style="18" customWidth="1"/>
    <col min="8472" max="8475" width="6.625" style="18" customWidth="1"/>
    <col min="8476" max="8704" width="9" style="18"/>
    <col min="8705" max="8706" width="10.625" style="18" customWidth="1"/>
    <col min="8707" max="8707" width="9.375" style="18" customWidth="1"/>
    <col min="8708" max="8727" width="10.625" style="18" customWidth="1"/>
    <col min="8728" max="8731" width="6.625" style="18" customWidth="1"/>
    <col min="8732" max="8960" width="9" style="18"/>
    <col min="8961" max="8962" width="10.625" style="18" customWidth="1"/>
    <col min="8963" max="8963" width="9.375" style="18" customWidth="1"/>
    <col min="8964" max="8983" width="10.625" style="18" customWidth="1"/>
    <col min="8984" max="8987" width="6.625" style="18" customWidth="1"/>
    <col min="8988" max="9216" width="9" style="18"/>
    <col min="9217" max="9218" width="10.625" style="18" customWidth="1"/>
    <col min="9219" max="9219" width="9.375" style="18" customWidth="1"/>
    <col min="9220" max="9239" width="10.625" style="18" customWidth="1"/>
    <col min="9240" max="9243" width="6.625" style="18" customWidth="1"/>
    <col min="9244" max="9472" width="9" style="18"/>
    <col min="9473" max="9474" width="10.625" style="18" customWidth="1"/>
    <col min="9475" max="9475" width="9.375" style="18" customWidth="1"/>
    <col min="9476" max="9495" width="10.625" style="18" customWidth="1"/>
    <col min="9496" max="9499" width="6.625" style="18" customWidth="1"/>
    <col min="9500" max="9728" width="9" style="18"/>
    <col min="9729" max="9730" width="10.625" style="18" customWidth="1"/>
    <col min="9731" max="9731" width="9.375" style="18" customWidth="1"/>
    <col min="9732" max="9751" width="10.625" style="18" customWidth="1"/>
    <col min="9752" max="9755" width="6.625" style="18" customWidth="1"/>
    <col min="9756" max="9984" width="9" style="18"/>
    <col min="9985" max="9986" width="10.625" style="18" customWidth="1"/>
    <col min="9987" max="9987" width="9.375" style="18" customWidth="1"/>
    <col min="9988" max="10007" width="10.625" style="18" customWidth="1"/>
    <col min="10008" max="10011" width="6.625" style="18" customWidth="1"/>
    <col min="10012" max="10240" width="9" style="18"/>
    <col min="10241" max="10242" width="10.625" style="18" customWidth="1"/>
    <col min="10243" max="10243" width="9.375" style="18" customWidth="1"/>
    <col min="10244" max="10263" width="10.625" style="18" customWidth="1"/>
    <col min="10264" max="10267" width="6.625" style="18" customWidth="1"/>
    <col min="10268" max="10496" width="9" style="18"/>
    <col min="10497" max="10498" width="10.625" style="18" customWidth="1"/>
    <col min="10499" max="10499" width="9.375" style="18" customWidth="1"/>
    <col min="10500" max="10519" width="10.625" style="18" customWidth="1"/>
    <col min="10520" max="10523" width="6.625" style="18" customWidth="1"/>
    <col min="10524" max="10752" width="9" style="18"/>
    <col min="10753" max="10754" width="10.625" style="18" customWidth="1"/>
    <col min="10755" max="10755" width="9.375" style="18" customWidth="1"/>
    <col min="10756" max="10775" width="10.625" style="18" customWidth="1"/>
    <col min="10776" max="10779" width="6.625" style="18" customWidth="1"/>
    <col min="10780" max="11008" width="9" style="18"/>
    <col min="11009" max="11010" width="10.625" style="18" customWidth="1"/>
    <col min="11011" max="11011" width="9.375" style="18" customWidth="1"/>
    <col min="11012" max="11031" width="10.625" style="18" customWidth="1"/>
    <col min="11032" max="11035" width="6.625" style="18" customWidth="1"/>
    <col min="11036" max="11264" width="9" style="18"/>
    <col min="11265" max="11266" width="10.625" style="18" customWidth="1"/>
    <col min="11267" max="11267" width="9.375" style="18" customWidth="1"/>
    <col min="11268" max="11287" width="10.625" style="18" customWidth="1"/>
    <col min="11288" max="11291" width="6.625" style="18" customWidth="1"/>
    <col min="11292" max="11520" width="9" style="18"/>
    <col min="11521" max="11522" width="10.625" style="18" customWidth="1"/>
    <col min="11523" max="11523" width="9.375" style="18" customWidth="1"/>
    <col min="11524" max="11543" width="10.625" style="18" customWidth="1"/>
    <col min="11544" max="11547" width="6.625" style="18" customWidth="1"/>
    <col min="11548" max="11776" width="9" style="18"/>
    <col min="11777" max="11778" width="10.625" style="18" customWidth="1"/>
    <col min="11779" max="11779" width="9.375" style="18" customWidth="1"/>
    <col min="11780" max="11799" width="10.625" style="18" customWidth="1"/>
    <col min="11800" max="11803" width="6.625" style="18" customWidth="1"/>
    <col min="11804" max="12032" width="9" style="18"/>
    <col min="12033" max="12034" width="10.625" style="18" customWidth="1"/>
    <col min="12035" max="12035" width="9.375" style="18" customWidth="1"/>
    <col min="12036" max="12055" width="10.625" style="18" customWidth="1"/>
    <col min="12056" max="12059" width="6.625" style="18" customWidth="1"/>
    <col min="12060" max="12288" width="9" style="18"/>
    <col min="12289" max="12290" width="10.625" style="18" customWidth="1"/>
    <col min="12291" max="12291" width="9.375" style="18" customWidth="1"/>
    <col min="12292" max="12311" width="10.625" style="18" customWidth="1"/>
    <col min="12312" max="12315" width="6.625" style="18" customWidth="1"/>
    <col min="12316" max="12544" width="9" style="18"/>
    <col min="12545" max="12546" width="10.625" style="18" customWidth="1"/>
    <col min="12547" max="12547" width="9.375" style="18" customWidth="1"/>
    <col min="12548" max="12567" width="10.625" style="18" customWidth="1"/>
    <col min="12568" max="12571" width="6.625" style="18" customWidth="1"/>
    <col min="12572" max="12800" width="9" style="18"/>
    <col min="12801" max="12802" width="10.625" style="18" customWidth="1"/>
    <col min="12803" max="12803" width="9.375" style="18" customWidth="1"/>
    <col min="12804" max="12823" width="10.625" style="18" customWidth="1"/>
    <col min="12824" max="12827" width="6.625" style="18" customWidth="1"/>
    <col min="12828" max="13056" width="9" style="18"/>
    <col min="13057" max="13058" width="10.625" style="18" customWidth="1"/>
    <col min="13059" max="13059" width="9.375" style="18" customWidth="1"/>
    <col min="13060" max="13079" width="10.625" style="18" customWidth="1"/>
    <col min="13080" max="13083" width="6.625" style="18" customWidth="1"/>
    <col min="13084" max="13312" width="9" style="18"/>
    <col min="13313" max="13314" width="10.625" style="18" customWidth="1"/>
    <col min="13315" max="13315" width="9.375" style="18" customWidth="1"/>
    <col min="13316" max="13335" width="10.625" style="18" customWidth="1"/>
    <col min="13336" max="13339" width="6.625" style="18" customWidth="1"/>
    <col min="13340" max="13568" width="9" style="18"/>
    <col min="13569" max="13570" width="10.625" style="18" customWidth="1"/>
    <col min="13571" max="13571" width="9.375" style="18" customWidth="1"/>
    <col min="13572" max="13591" width="10.625" style="18" customWidth="1"/>
    <col min="13592" max="13595" width="6.625" style="18" customWidth="1"/>
    <col min="13596" max="13824" width="9" style="18"/>
    <col min="13825" max="13826" width="10.625" style="18" customWidth="1"/>
    <col min="13827" max="13827" width="9.375" style="18" customWidth="1"/>
    <col min="13828" max="13847" width="10.625" style="18" customWidth="1"/>
    <col min="13848" max="13851" width="6.625" style="18" customWidth="1"/>
    <col min="13852" max="14080" width="9" style="18"/>
    <col min="14081" max="14082" width="10.625" style="18" customWidth="1"/>
    <col min="14083" max="14083" width="9.375" style="18" customWidth="1"/>
    <col min="14084" max="14103" width="10.625" style="18" customWidth="1"/>
    <col min="14104" max="14107" width="6.625" style="18" customWidth="1"/>
    <col min="14108" max="14336" width="9" style="18"/>
    <col min="14337" max="14338" width="10.625" style="18" customWidth="1"/>
    <col min="14339" max="14339" width="9.375" style="18" customWidth="1"/>
    <col min="14340" max="14359" width="10.625" style="18" customWidth="1"/>
    <col min="14360" max="14363" width="6.625" style="18" customWidth="1"/>
    <col min="14364" max="14592" width="9" style="18"/>
    <col min="14593" max="14594" width="10.625" style="18" customWidth="1"/>
    <col min="14595" max="14595" width="9.375" style="18" customWidth="1"/>
    <col min="14596" max="14615" width="10.625" style="18" customWidth="1"/>
    <col min="14616" max="14619" width="6.625" style="18" customWidth="1"/>
    <col min="14620" max="14848" width="9" style="18"/>
    <col min="14849" max="14850" width="10.625" style="18" customWidth="1"/>
    <col min="14851" max="14851" width="9.375" style="18" customWidth="1"/>
    <col min="14852" max="14871" width="10.625" style="18" customWidth="1"/>
    <col min="14872" max="14875" width="6.625" style="18" customWidth="1"/>
    <col min="14876" max="15104" width="9" style="18"/>
    <col min="15105" max="15106" width="10.625" style="18" customWidth="1"/>
    <col min="15107" max="15107" width="9.375" style="18" customWidth="1"/>
    <col min="15108" max="15127" width="10.625" style="18" customWidth="1"/>
    <col min="15128" max="15131" width="6.625" style="18" customWidth="1"/>
    <col min="15132" max="15360" width="9" style="18"/>
    <col min="15361" max="15362" width="10.625" style="18" customWidth="1"/>
    <col min="15363" max="15363" width="9.375" style="18" customWidth="1"/>
    <col min="15364" max="15383" width="10.625" style="18" customWidth="1"/>
    <col min="15384" max="15387" width="6.625" style="18" customWidth="1"/>
    <col min="15388" max="15616" width="9" style="18"/>
    <col min="15617" max="15618" width="10.625" style="18" customWidth="1"/>
    <col min="15619" max="15619" width="9.375" style="18" customWidth="1"/>
    <col min="15620" max="15639" width="10.625" style="18" customWidth="1"/>
    <col min="15640" max="15643" width="6.625" style="18" customWidth="1"/>
    <col min="15644" max="15872" width="9" style="18"/>
    <col min="15873" max="15874" width="10.625" style="18" customWidth="1"/>
    <col min="15875" max="15875" width="9.375" style="18" customWidth="1"/>
    <col min="15876" max="15895" width="10.625" style="18" customWidth="1"/>
    <col min="15896" max="15899" width="6.625" style="18" customWidth="1"/>
    <col min="15900" max="16128" width="9" style="18"/>
    <col min="16129" max="16130" width="10.625" style="18" customWidth="1"/>
    <col min="16131" max="16131" width="9.375" style="18" customWidth="1"/>
    <col min="16132" max="16151" width="10.625" style="18" customWidth="1"/>
    <col min="16152" max="16155" width="6.625" style="18" customWidth="1"/>
    <col min="16156" max="16384" width="9" style="18"/>
  </cols>
  <sheetData>
    <row r="1" spans="1:27" s="1" customFormat="1" ht="23.25" customHeight="1">
      <c r="A1" s="1026" t="s">
        <v>289</v>
      </c>
      <c r="B1" s="1027"/>
      <c r="C1" s="1026"/>
      <c r="D1" s="1026"/>
      <c r="R1" s="246"/>
      <c r="S1" s="246"/>
    </row>
    <row r="2" spans="1:27" s="1" customFormat="1" ht="19.149999999999999">
      <c r="A2" s="738" t="s">
        <v>290</v>
      </c>
      <c r="B2" s="739"/>
      <c r="C2" s="739"/>
      <c r="D2" s="10"/>
      <c r="E2" s="10"/>
      <c r="F2" s="10"/>
      <c r="G2" s="10"/>
      <c r="H2" s="10"/>
      <c r="I2" s="10"/>
      <c r="J2" s="10"/>
      <c r="K2" s="10"/>
      <c r="L2" s="10"/>
      <c r="M2" s="10"/>
      <c r="N2" s="10"/>
      <c r="O2" s="10"/>
      <c r="P2" s="10"/>
      <c r="Q2" s="10"/>
      <c r="R2" s="247"/>
      <c r="S2" s="247"/>
      <c r="T2" s="10"/>
      <c r="U2" s="10"/>
      <c r="V2" s="10"/>
      <c r="W2" s="10"/>
    </row>
    <row r="3" spans="1:27" s="1" customFormat="1" ht="23.25" customHeight="1">
      <c r="A3" s="740" t="s">
        <v>291</v>
      </c>
      <c r="B3" s="741"/>
      <c r="C3" s="741"/>
      <c r="R3" s="246"/>
      <c r="S3" s="246"/>
    </row>
    <row r="4" spans="1:27" ht="10.5" customHeight="1">
      <c r="B4" s="168"/>
      <c r="C4" s="168"/>
      <c r="D4" s="168"/>
      <c r="E4" s="168"/>
      <c r="F4" s="168"/>
      <c r="G4" s="168"/>
      <c r="H4" s="168"/>
      <c r="I4" s="168"/>
      <c r="J4" s="168"/>
      <c r="K4" s="168"/>
      <c r="L4" s="168"/>
      <c r="M4" s="168"/>
      <c r="N4" s="168"/>
      <c r="O4" s="168"/>
      <c r="P4" s="168"/>
      <c r="Q4" s="248"/>
      <c r="R4" s="742"/>
      <c r="S4" s="742"/>
      <c r="T4" s="248"/>
      <c r="U4" s="248"/>
      <c r="V4" s="248"/>
      <c r="W4" s="248"/>
      <c r="X4" s="248"/>
      <c r="Y4" s="248"/>
      <c r="Z4" s="248"/>
      <c r="AA4" s="248"/>
    </row>
    <row r="5" spans="1:27" ht="20.100000000000001" customHeight="1">
      <c r="A5" s="984" t="s">
        <v>291</v>
      </c>
      <c r="B5" s="985"/>
      <c r="C5" s="986"/>
      <c r="D5" s="1028" t="s">
        <v>292</v>
      </c>
      <c r="E5" s="1029"/>
      <c r="F5" s="994" t="s">
        <v>293</v>
      </c>
      <c r="G5" s="994"/>
      <c r="H5" s="994"/>
      <c r="I5" s="994"/>
      <c r="J5" s="994"/>
      <c r="K5" s="994"/>
      <c r="L5" s="994"/>
      <c r="M5" s="994"/>
      <c r="N5" s="168"/>
      <c r="O5" s="168"/>
      <c r="P5" s="168"/>
      <c r="Q5" s="248"/>
      <c r="R5" s="742"/>
      <c r="S5" s="742"/>
      <c r="T5" s="248"/>
      <c r="U5" s="248"/>
      <c r="V5" s="248"/>
      <c r="W5" s="248"/>
      <c r="X5" s="248"/>
      <c r="Y5" s="248"/>
      <c r="Z5" s="248"/>
      <c r="AA5" s="248"/>
    </row>
    <row r="6" spans="1:27" ht="20.100000000000001" customHeight="1">
      <c r="A6" s="987"/>
      <c r="B6" s="988"/>
      <c r="C6" s="989"/>
      <c r="D6" s="1030"/>
      <c r="E6" s="1031"/>
      <c r="F6" s="995" t="s">
        <v>294</v>
      </c>
      <c r="G6" s="995"/>
      <c r="H6" s="995"/>
      <c r="I6" s="995"/>
      <c r="J6" s="995" t="s">
        <v>295</v>
      </c>
      <c r="K6" s="995"/>
      <c r="L6" s="995"/>
      <c r="M6" s="995"/>
      <c r="N6" s="168"/>
      <c r="O6" s="168"/>
      <c r="P6" s="168"/>
      <c r="Q6" s="248"/>
      <c r="R6" s="742"/>
      <c r="S6" s="742"/>
      <c r="T6" s="248"/>
      <c r="U6" s="248"/>
      <c r="V6" s="248"/>
      <c r="W6" s="248"/>
      <c r="X6" s="248"/>
      <c r="Y6" s="248"/>
      <c r="Z6" s="248"/>
      <c r="AA6" s="248"/>
    </row>
    <row r="7" spans="1:27" ht="20.100000000000001" customHeight="1">
      <c r="A7" s="990"/>
      <c r="B7" s="991"/>
      <c r="C7" s="992"/>
      <c r="D7" s="743" t="s">
        <v>296</v>
      </c>
      <c r="E7" s="744" t="s">
        <v>297</v>
      </c>
      <c r="F7" s="249" t="s">
        <v>298</v>
      </c>
      <c r="G7" s="249" t="s">
        <v>299</v>
      </c>
      <c r="H7" s="249" t="s">
        <v>300</v>
      </c>
      <c r="I7" s="249" t="s">
        <v>301</v>
      </c>
      <c r="J7" s="249" t="s">
        <v>298</v>
      </c>
      <c r="K7" s="249" t="s">
        <v>299</v>
      </c>
      <c r="L7" s="249" t="s">
        <v>300</v>
      </c>
      <c r="M7" s="249" t="s">
        <v>301</v>
      </c>
      <c r="N7" s="168"/>
      <c r="O7" s="168"/>
      <c r="P7" s="168"/>
      <c r="Q7" s="248"/>
      <c r="R7" s="742"/>
      <c r="S7" s="742"/>
      <c r="T7" s="248"/>
      <c r="U7" s="248"/>
      <c r="V7" s="248"/>
      <c r="W7" s="248"/>
      <c r="X7" s="248"/>
      <c r="Y7" s="248"/>
      <c r="Z7" s="248"/>
      <c r="AA7" s="248"/>
    </row>
    <row r="8" spans="1:27" ht="24.95" customHeight="1">
      <c r="A8" s="996" t="s">
        <v>302</v>
      </c>
      <c r="B8" s="745" t="s">
        <v>303</v>
      </c>
      <c r="C8" s="746">
        <f>'第2号様式別紙2-1（臨床研修（医師）事業計画書）附表A1'!T24</f>
        <v>0</v>
      </c>
      <c r="D8" s="747">
        <f>'第2号様式別紙2-1（臨床研修（医師）事業計画書）附表A1'!U24</f>
        <v>0</v>
      </c>
      <c r="E8" s="748">
        <f>'第2号様式別紙2-1（臨床研修（医師）事業計画書）附表A1'!V24</f>
        <v>0</v>
      </c>
      <c r="F8" s="749" t="s">
        <v>304</v>
      </c>
      <c r="G8" s="749" t="s">
        <v>305</v>
      </c>
      <c r="H8" s="749" t="s">
        <v>306</v>
      </c>
      <c r="I8" s="749" t="s">
        <v>307</v>
      </c>
      <c r="J8" s="749" t="s">
        <v>308</v>
      </c>
      <c r="K8" s="749" t="s">
        <v>309</v>
      </c>
      <c r="L8" s="749" t="s">
        <v>310</v>
      </c>
      <c r="M8" s="749" t="s">
        <v>202</v>
      </c>
      <c r="N8" s="168"/>
      <c r="O8" s="168"/>
      <c r="P8" s="168"/>
      <c r="Q8" s="742"/>
      <c r="R8" s="742"/>
      <c r="S8" s="742"/>
      <c r="T8" s="248"/>
      <c r="U8" s="248"/>
      <c r="V8" s="248"/>
      <c r="W8" s="248"/>
      <c r="X8" s="248"/>
      <c r="Y8" s="248"/>
      <c r="Z8" s="248"/>
      <c r="AA8" s="248"/>
    </row>
    <row r="9" spans="1:27" ht="24.95" customHeight="1">
      <c r="A9" s="998"/>
      <c r="B9" s="745" t="s">
        <v>311</v>
      </c>
      <c r="C9" s="750">
        <f>'第2号様式別紙2-1（臨床研修（医師）事業計画書）附表A1'!T25</f>
        <v>0</v>
      </c>
      <c r="D9" s="751">
        <f>'第2号様式別紙2-1（臨床研修（医師）事業計画書）附表A1'!U25</f>
        <v>0</v>
      </c>
      <c r="E9" s="751">
        <f>'第2号様式別紙2-1（臨床研修（医師）事業計画書）附表A1'!V25</f>
        <v>0</v>
      </c>
      <c r="F9" s="752">
        <f>'第2号様式別紙2-1（臨床研修（医師）事業計画書）附表A1'!W25</f>
        <v>0</v>
      </c>
      <c r="G9" s="752">
        <f>'第2号様式別紙2-1（臨床研修（医師）事業計画書）附表A1'!X25</f>
        <v>0</v>
      </c>
      <c r="H9" s="752">
        <f>'第2号様式別紙2-1（臨床研修（医師）事業計画書）附表A1'!Y25</f>
        <v>0</v>
      </c>
      <c r="I9" s="752">
        <f>'第2号様式別紙2-1（臨床研修（医師）事業計画書）附表A1'!Z25</f>
        <v>0</v>
      </c>
      <c r="J9" s="752">
        <f>'第2号様式別紙2-1（臨床研修（医師）事業計画書）附表A1'!AA25</f>
        <v>0</v>
      </c>
      <c r="K9" s="752">
        <f>'第2号様式別紙2-1（臨床研修（医師）事業計画書）附表A1'!AB25</f>
        <v>0</v>
      </c>
      <c r="L9" s="752">
        <f>'第2号様式別紙2-1（臨床研修（医師）事業計画書）附表A1'!AC25</f>
        <v>0</v>
      </c>
      <c r="M9" s="752">
        <f>'第2号様式別紙2-1（臨床研修（医師）事業計画書）附表A1'!AD25</f>
        <v>0</v>
      </c>
      <c r="R9" s="753"/>
      <c r="T9" s="742"/>
      <c r="U9" s="742"/>
      <c r="V9" s="742"/>
      <c r="W9" s="742"/>
      <c r="X9" s="742"/>
      <c r="Y9" s="742"/>
      <c r="Z9" s="742"/>
      <c r="AA9" s="742"/>
    </row>
    <row r="10" spans="1:27" ht="24.95" customHeight="1">
      <c r="A10" s="132"/>
      <c r="B10" s="132"/>
      <c r="C10" s="754"/>
      <c r="D10" s="754"/>
      <c r="E10" s="132"/>
      <c r="F10" s="132"/>
      <c r="G10" s="132"/>
      <c r="H10" s="132"/>
      <c r="I10" s="132"/>
      <c r="J10" s="132"/>
      <c r="K10" s="132"/>
      <c r="L10" s="132"/>
      <c r="M10" s="132"/>
      <c r="N10" s="132"/>
      <c r="O10" s="132"/>
      <c r="P10" s="132"/>
      <c r="Q10" s="132"/>
      <c r="R10" s="755"/>
      <c r="S10" s="755"/>
      <c r="T10" s="756"/>
      <c r="U10" s="756"/>
      <c r="V10" s="756"/>
      <c r="W10" s="756"/>
      <c r="X10" s="756"/>
      <c r="Y10" s="756"/>
      <c r="Z10" s="756"/>
      <c r="AA10" s="756"/>
    </row>
    <row r="11" spans="1:27" ht="24.95" customHeight="1">
      <c r="A11" s="132"/>
      <c r="B11" s="132"/>
      <c r="C11" s="754"/>
      <c r="D11" s="983" t="s">
        <v>312</v>
      </c>
      <c r="E11" s="983"/>
      <c r="F11" s="983"/>
      <c r="G11" s="983"/>
      <c r="H11" s="983" t="s">
        <v>313</v>
      </c>
      <c r="I11" s="983"/>
      <c r="J11" s="983"/>
      <c r="K11" s="983"/>
      <c r="L11" s="132"/>
      <c r="M11" s="132"/>
      <c r="N11" s="132"/>
      <c r="O11" s="132"/>
      <c r="P11" s="132"/>
      <c r="Q11" s="132"/>
      <c r="R11" s="755"/>
      <c r="S11" s="755"/>
      <c r="T11" s="756"/>
      <c r="U11" s="756"/>
      <c r="V11" s="756"/>
      <c r="W11" s="756"/>
      <c r="X11" s="756"/>
      <c r="Y11" s="756"/>
      <c r="Z11" s="756"/>
      <c r="AA11" s="756"/>
    </row>
    <row r="12" spans="1:27" ht="24.95" customHeight="1">
      <c r="A12" s="1012" t="s">
        <v>291</v>
      </c>
      <c r="B12" s="1005" t="s">
        <v>314</v>
      </c>
      <c r="C12" s="979"/>
      <c r="D12" s="250" t="s">
        <v>198</v>
      </c>
      <c r="E12" s="1006">
        <f>'第2号様式別紙2-1（臨床研修（医師）事業計画書）附表A1'!AI21</f>
        <v>0</v>
      </c>
      <c r="F12" s="1006"/>
      <c r="G12" s="253" t="s">
        <v>315</v>
      </c>
      <c r="H12" s="254" t="s">
        <v>316</v>
      </c>
      <c r="I12" s="1006">
        <f>'第2号様式別紙2-1（臨床研修（医師）事業計画書）附表A1'!AJ21</f>
        <v>0</v>
      </c>
      <c r="J12" s="1006"/>
      <c r="K12" s="253" t="s">
        <v>315</v>
      </c>
      <c r="L12" s="132"/>
      <c r="M12" s="132"/>
      <c r="N12" s="132"/>
      <c r="O12" s="132"/>
      <c r="P12" s="132"/>
      <c r="Q12" s="132"/>
      <c r="R12" s="755"/>
      <c r="S12" s="755"/>
      <c r="T12" s="754"/>
      <c r="U12" s="754"/>
      <c r="V12" s="754"/>
      <c r="W12" s="754"/>
      <c r="X12" s="754"/>
      <c r="Y12" s="754"/>
      <c r="Z12" s="754"/>
      <c r="AA12" s="754"/>
    </row>
    <row r="13" spans="1:27" ht="24.95" customHeight="1">
      <c r="A13" s="1025"/>
      <c r="B13" s="1012" t="s">
        <v>317</v>
      </c>
      <c r="C13" s="970"/>
      <c r="D13" s="1014" t="s">
        <v>221</v>
      </c>
      <c r="E13" s="965" t="s">
        <v>318</v>
      </c>
      <c r="F13" s="965"/>
      <c r="G13" s="966"/>
      <c r="H13" s="1010" t="s">
        <v>222</v>
      </c>
      <c r="I13" s="965" t="s">
        <v>319</v>
      </c>
      <c r="J13" s="965"/>
      <c r="K13" s="966"/>
      <c r="L13" s="757"/>
      <c r="M13" s="757"/>
      <c r="N13" s="757"/>
      <c r="O13" s="757"/>
      <c r="P13" s="757"/>
      <c r="Q13" s="758"/>
      <c r="R13" s="759"/>
      <c r="S13" s="759"/>
      <c r="T13" s="757"/>
      <c r="U13" s="757"/>
      <c r="V13" s="757"/>
      <c r="W13" s="757"/>
      <c r="X13" s="757"/>
      <c r="Y13" s="757"/>
      <c r="Z13" s="757"/>
      <c r="AA13" s="757"/>
    </row>
    <row r="14" spans="1:27" ht="24.95" customHeight="1">
      <c r="A14" s="1013"/>
      <c r="B14" s="1013"/>
      <c r="C14" s="972"/>
      <c r="D14" s="974"/>
      <c r="E14" s="1011">
        <f>'第2号様式別紙2-1（臨床研修（医師）事業計画書）附表A1'!AI23</f>
        <v>0</v>
      </c>
      <c r="F14" s="1011"/>
      <c r="G14" s="255" t="s">
        <v>320</v>
      </c>
      <c r="H14" s="964"/>
      <c r="I14" s="1011">
        <f>'第2号様式別紙2-1（臨床研修（医師）事業計画書）附表A1'!AJ23</f>
        <v>0</v>
      </c>
      <c r="J14" s="1011"/>
      <c r="K14" s="255" t="s">
        <v>320</v>
      </c>
      <c r="L14" s="131"/>
      <c r="M14" s="131"/>
      <c r="N14" s="131"/>
      <c r="O14" s="131"/>
      <c r="P14" s="131"/>
      <c r="Q14" s="760"/>
      <c r="R14" s="761"/>
      <c r="S14" s="761"/>
      <c r="T14" s="132"/>
      <c r="U14" s="132"/>
      <c r="V14" s="132"/>
      <c r="W14" s="132"/>
      <c r="X14" s="132"/>
      <c r="Y14" s="132"/>
      <c r="Z14" s="1022"/>
      <c r="AA14" s="1022"/>
    </row>
    <row r="15" spans="1:27" ht="21.75" customHeight="1">
      <c r="A15" s="132"/>
      <c r="B15" s="754"/>
      <c r="C15" s="754"/>
      <c r="D15" s="131"/>
      <c r="E15" s="131"/>
      <c r="F15" s="1024"/>
      <c r="G15" s="1024"/>
      <c r="H15" s="131"/>
      <c r="I15" s="131"/>
      <c r="J15" s="1024"/>
      <c r="K15" s="1024"/>
      <c r="L15" s="131"/>
      <c r="M15" s="131"/>
      <c r="N15" s="131"/>
      <c r="O15" s="131"/>
      <c r="P15" s="131"/>
      <c r="Q15" s="760"/>
      <c r="R15" s="761"/>
      <c r="S15" s="761"/>
      <c r="T15" s="132"/>
      <c r="U15" s="132"/>
      <c r="V15" s="132"/>
      <c r="W15" s="132"/>
      <c r="X15" s="132"/>
      <c r="Y15" s="132"/>
      <c r="Z15" s="1022"/>
      <c r="AA15" s="1022"/>
    </row>
    <row r="16" spans="1:27" ht="24.95" customHeight="1">
      <c r="A16" s="145" t="s">
        <v>321</v>
      </c>
      <c r="B16" s="754"/>
      <c r="C16" s="754"/>
      <c r="D16" s="762"/>
      <c r="E16" s="131"/>
      <c r="F16" s="131"/>
      <c r="G16" s="131"/>
      <c r="H16" s="131"/>
      <c r="I16" s="131"/>
      <c r="J16" s="131"/>
      <c r="K16" s="131"/>
      <c r="L16" s="131"/>
      <c r="M16" s="131"/>
      <c r="N16" s="131"/>
      <c r="O16" s="131"/>
      <c r="P16" s="131"/>
      <c r="Q16" s="760"/>
      <c r="R16" s="761"/>
      <c r="S16" s="761"/>
      <c r="T16" s="132"/>
      <c r="U16" s="132"/>
      <c r="V16" s="132"/>
      <c r="W16" s="132"/>
      <c r="X16" s="132"/>
      <c r="Y16" s="132"/>
      <c r="Z16" s="132"/>
      <c r="AA16" s="132"/>
    </row>
    <row r="17" spans="1:27" ht="10.5" customHeight="1">
      <c r="A17" s="131"/>
      <c r="B17" s="754"/>
      <c r="C17" s="754"/>
      <c r="D17" s="762"/>
      <c r="E17" s="131"/>
      <c r="F17" s="131"/>
      <c r="G17" s="131"/>
      <c r="H17" s="131"/>
      <c r="I17" s="131"/>
      <c r="J17" s="131"/>
      <c r="K17" s="131"/>
      <c r="L17" s="131"/>
      <c r="M17" s="131"/>
      <c r="N17" s="131"/>
      <c r="O17" s="131"/>
      <c r="P17" s="131"/>
      <c r="Q17" s="760"/>
      <c r="R17" s="761"/>
      <c r="S17" s="761"/>
      <c r="T17" s="132"/>
      <c r="U17" s="132"/>
      <c r="V17" s="132"/>
      <c r="W17" s="132"/>
      <c r="X17" s="132"/>
      <c r="Y17" s="132"/>
      <c r="Z17" s="1022"/>
      <c r="AA17" s="1022"/>
    </row>
    <row r="18" spans="1:27" ht="20.100000000000001" customHeight="1">
      <c r="A18" s="1023" t="s">
        <v>322</v>
      </c>
      <c r="B18" s="985"/>
      <c r="C18" s="986"/>
      <c r="D18" s="993" t="s">
        <v>292</v>
      </c>
      <c r="E18" s="993"/>
      <c r="F18" s="994" t="s">
        <v>293</v>
      </c>
      <c r="G18" s="994"/>
      <c r="H18" s="994"/>
      <c r="I18" s="994"/>
      <c r="J18" s="994"/>
      <c r="K18" s="994"/>
      <c r="L18" s="994"/>
      <c r="M18" s="994"/>
      <c r="N18" s="131"/>
      <c r="O18" s="131"/>
      <c r="P18" s="131"/>
      <c r="Q18" s="760"/>
      <c r="R18" s="761"/>
      <c r="S18" s="761"/>
      <c r="T18" s="132"/>
      <c r="U18" s="132"/>
      <c r="V18" s="132"/>
      <c r="W18" s="132"/>
      <c r="X18" s="132"/>
      <c r="Y18" s="132"/>
      <c r="Z18" s="1022"/>
      <c r="AA18" s="1022"/>
    </row>
    <row r="19" spans="1:27" ht="20.100000000000001" customHeight="1">
      <c r="A19" s="987"/>
      <c r="B19" s="988"/>
      <c r="C19" s="989"/>
      <c r="D19" s="993"/>
      <c r="E19" s="993"/>
      <c r="F19" s="995" t="s">
        <v>294</v>
      </c>
      <c r="G19" s="995"/>
      <c r="H19" s="995"/>
      <c r="I19" s="995"/>
      <c r="J19" s="995" t="s">
        <v>295</v>
      </c>
      <c r="K19" s="995"/>
      <c r="L19" s="995"/>
      <c r="M19" s="995"/>
      <c r="N19" s="131"/>
      <c r="O19" s="131"/>
      <c r="P19" s="131"/>
      <c r="Q19" s="760"/>
      <c r="R19" s="761"/>
      <c r="S19" s="132"/>
      <c r="U19" s="132"/>
      <c r="V19" s="132"/>
      <c r="W19" s="132"/>
      <c r="X19" s="132"/>
      <c r="Y19" s="132"/>
      <c r="Z19" s="1022"/>
      <c r="AA19" s="1022"/>
    </row>
    <row r="20" spans="1:27" ht="20.100000000000001" customHeight="1">
      <c r="A20" s="990"/>
      <c r="B20" s="991"/>
      <c r="C20" s="989"/>
      <c r="D20" s="744" t="s">
        <v>296</v>
      </c>
      <c r="E20" s="744" t="s">
        <v>297</v>
      </c>
      <c r="F20" s="249" t="s">
        <v>298</v>
      </c>
      <c r="G20" s="249" t="s">
        <v>299</v>
      </c>
      <c r="H20" s="249" t="s">
        <v>300</v>
      </c>
      <c r="I20" s="249" t="s">
        <v>301</v>
      </c>
      <c r="J20" s="249" t="s">
        <v>298</v>
      </c>
      <c r="K20" s="249" t="s">
        <v>299</v>
      </c>
      <c r="L20" s="249" t="s">
        <v>300</v>
      </c>
      <c r="M20" s="249" t="s">
        <v>301</v>
      </c>
      <c r="N20" s="131"/>
      <c r="O20" s="131"/>
      <c r="P20" s="131"/>
      <c r="Q20" s="760"/>
      <c r="R20" s="761"/>
      <c r="S20" s="132"/>
      <c r="U20" s="132"/>
      <c r="V20" s="132"/>
      <c r="W20" s="132"/>
      <c r="X20" s="132"/>
      <c r="Y20" s="132"/>
      <c r="Z20" s="1022"/>
      <c r="AA20" s="1022"/>
    </row>
    <row r="21" spans="1:27" ht="24.95" customHeight="1">
      <c r="A21" s="996" t="s">
        <v>302</v>
      </c>
      <c r="B21" s="763" t="s">
        <v>303</v>
      </c>
      <c r="C21" s="764">
        <f>'第2号様式別紙2-1（臨床研修（医師）事業計画書）附表A2'!T32</f>
        <v>0</v>
      </c>
      <c r="D21" s="765">
        <f>'第2号様式別紙2-1（臨床研修（医師）事業計画書）附表A2'!U32</f>
        <v>0</v>
      </c>
      <c r="E21" s="766">
        <f>'第2号様式別紙2-1（臨床研修（医師）事業計画書）附表A2'!V32</f>
        <v>0</v>
      </c>
      <c r="F21" s="749" t="s">
        <v>304</v>
      </c>
      <c r="G21" s="749" t="s">
        <v>305</v>
      </c>
      <c r="H21" s="749" t="s">
        <v>306</v>
      </c>
      <c r="I21" s="749" t="s">
        <v>307</v>
      </c>
      <c r="J21" s="749" t="s">
        <v>308</v>
      </c>
      <c r="K21" s="749" t="s">
        <v>309</v>
      </c>
      <c r="L21" s="749" t="s">
        <v>310</v>
      </c>
      <c r="M21" s="749" t="s">
        <v>202</v>
      </c>
      <c r="N21" s="132"/>
      <c r="O21" s="208"/>
      <c r="P21" s="208"/>
      <c r="Q21" s="131"/>
      <c r="R21" s="761"/>
      <c r="S21" s="761"/>
      <c r="T21" s="767"/>
      <c r="U21" s="767"/>
      <c r="V21" s="767"/>
      <c r="W21" s="767"/>
      <c r="X21" s="767"/>
      <c r="Y21" s="767"/>
      <c r="Z21" s="767"/>
      <c r="AA21" s="767"/>
    </row>
    <row r="22" spans="1:27" ht="24.95" customHeight="1">
      <c r="A22" s="997"/>
      <c r="B22" s="763" t="s">
        <v>311</v>
      </c>
      <c r="C22" s="768">
        <f>'第2号様式別紙2-1（臨床研修（医師）事業計画書）附表A2'!T33</f>
        <v>0</v>
      </c>
      <c r="D22" s="769">
        <f>'第2号様式別紙2-1（臨床研修（医師）事業計画書）附表A2'!U33</f>
        <v>0</v>
      </c>
      <c r="E22" s="766">
        <f>'第2号様式別紙2-1（臨床研修（医師）事業計画書）附表A2'!V33</f>
        <v>0</v>
      </c>
      <c r="F22" s="770">
        <f>'第2号様式別紙2-1（臨床研修（医師）事業計画書）附表A2'!W33</f>
        <v>0</v>
      </c>
      <c r="G22" s="770">
        <f>'第2号様式別紙2-1（臨床研修（医師）事業計画書）附表A2'!X33</f>
        <v>0</v>
      </c>
      <c r="H22" s="770">
        <f>'第2号様式別紙2-1（臨床研修（医師）事業計画書）附表A2'!Y33</f>
        <v>0</v>
      </c>
      <c r="I22" s="770">
        <f>'第2号様式別紙2-1（臨床研修（医師）事業計画書）附表A2'!Z33</f>
        <v>0</v>
      </c>
      <c r="J22" s="770">
        <f>'第2号様式別紙2-1（臨床研修（医師）事業計画書）附表A2'!AA33</f>
        <v>0</v>
      </c>
      <c r="K22" s="770">
        <f>'第2号様式別紙2-1（臨床研修（医師）事業計画書）附表A2'!AB33</f>
        <v>0</v>
      </c>
      <c r="L22" s="770">
        <f>'第2号様式別紙2-1（臨床研修（医師）事業計画書）附表A2'!AC33</f>
        <v>0</v>
      </c>
      <c r="M22" s="770">
        <f>'第2号様式別紙2-1（臨床研修（医師）事業計画書）附表A2'!AD33</f>
        <v>0</v>
      </c>
      <c r="N22" s="132"/>
      <c r="O22" s="208"/>
      <c r="P22" s="208"/>
      <c r="Q22" s="131"/>
      <c r="R22" s="761"/>
      <c r="S22" s="761"/>
      <c r="T22" s="187"/>
      <c r="U22" s="187"/>
      <c r="V22" s="187"/>
      <c r="W22" s="187"/>
      <c r="X22" s="187"/>
      <c r="Y22" s="187"/>
      <c r="Z22" s="187"/>
      <c r="AA22" s="187"/>
    </row>
    <row r="23" spans="1:27" ht="24.95" customHeight="1">
      <c r="A23" s="997"/>
      <c r="B23" s="1015" t="s">
        <v>323</v>
      </c>
      <c r="C23" s="1016">
        <f>'第2号様式別紙2-1（臨床研修（医師）事業計画書）附表A2'!AI33</f>
        <v>0</v>
      </c>
      <c r="D23" s="1018">
        <f>'第2号様式別紙2-1（臨床研修（医師）事業計画書）附表A2'!AJ33</f>
        <v>0</v>
      </c>
      <c r="E23" s="1020">
        <f>'第2号様式別紙2-1（臨床研修（医師）事業計画書）附表A2'!AK33</f>
        <v>0</v>
      </c>
      <c r="F23" s="749" t="s">
        <v>205</v>
      </c>
      <c r="G23" s="771" t="s">
        <v>206</v>
      </c>
      <c r="H23" s="749" t="s">
        <v>324</v>
      </c>
      <c r="I23" s="771" t="s">
        <v>325</v>
      </c>
      <c r="J23" s="749" t="s">
        <v>326</v>
      </c>
      <c r="K23" s="771" t="s">
        <v>327</v>
      </c>
      <c r="L23" s="749" t="s">
        <v>328</v>
      </c>
      <c r="M23" s="772" t="s">
        <v>329</v>
      </c>
      <c r="Q23" s="17"/>
      <c r="T23" s="17"/>
      <c r="U23" s="17"/>
      <c r="V23" s="17"/>
      <c r="W23" s="17"/>
      <c r="X23" s="17"/>
      <c r="Y23" s="17"/>
      <c r="Z23" s="17"/>
      <c r="AA23" s="17"/>
    </row>
    <row r="24" spans="1:27" ht="26.25" customHeight="1">
      <c r="A24" s="998"/>
      <c r="B24" s="1015"/>
      <c r="C24" s="1017"/>
      <c r="D24" s="1019"/>
      <c r="E24" s="1021"/>
      <c r="F24" s="773">
        <f>'第2号様式別紙2-1（臨床研修（医師）事業計画書）附表A2'!W35</f>
        <v>0</v>
      </c>
      <c r="G24" s="773">
        <f>'第2号様式別紙2-1（臨床研修（医師）事業計画書）附表A2'!X35</f>
        <v>0</v>
      </c>
      <c r="H24" s="773">
        <f>'第2号様式別紙2-1（臨床研修（医師）事業計画書）附表A2'!Y35</f>
        <v>0</v>
      </c>
      <c r="I24" s="773">
        <f>'第2号様式別紙2-1（臨床研修（医師）事業計画書）附表A2'!Z35</f>
        <v>0</v>
      </c>
      <c r="J24" s="773">
        <f>'第2号様式別紙2-1（臨床研修（医師）事業計画書）附表A2'!AA35</f>
        <v>0</v>
      </c>
      <c r="K24" s="773">
        <f>'第2号様式別紙2-1（臨床研修（医師）事業計画書）附表A2'!AB35</f>
        <v>0</v>
      </c>
      <c r="L24" s="773">
        <f>'第2号様式別紙2-1（臨床研修（医師）事業計画書）附表A2'!AC35</f>
        <v>0</v>
      </c>
      <c r="M24" s="773">
        <f>'第2号様式別紙2-1（臨床研修（医師）事業計画書）附表A2'!AD35</f>
        <v>0</v>
      </c>
      <c r="R24" s="18"/>
      <c r="S24" s="18"/>
    </row>
    <row r="25" spans="1:27" ht="24.95" customHeight="1">
      <c r="A25" s="774"/>
      <c r="B25" s="774"/>
      <c r="C25" s="774"/>
      <c r="D25" s="774"/>
      <c r="E25" s="774"/>
      <c r="F25" s="774"/>
      <c r="G25" s="774"/>
      <c r="H25" s="774"/>
      <c r="I25" s="774"/>
      <c r="J25" s="774"/>
      <c r="K25" s="774"/>
      <c r="L25" s="774"/>
      <c r="R25" s="18"/>
      <c r="S25" s="18"/>
    </row>
    <row r="26" spans="1:27" ht="24.95" customHeight="1">
      <c r="A26" s="980" t="s">
        <v>330</v>
      </c>
      <c r="B26" s="981"/>
      <c r="C26" s="982"/>
      <c r="D26" s="983" t="s">
        <v>312</v>
      </c>
      <c r="E26" s="983"/>
      <c r="F26" s="983"/>
      <c r="G26" s="983"/>
      <c r="H26" s="983" t="s">
        <v>313</v>
      </c>
      <c r="I26" s="983"/>
      <c r="J26" s="983"/>
      <c r="K26" s="983"/>
      <c r="L26" s="774"/>
      <c r="M26" s="980" t="s">
        <v>331</v>
      </c>
      <c r="N26" s="981"/>
      <c r="O26" s="982"/>
      <c r="P26" s="983" t="s">
        <v>312</v>
      </c>
      <c r="Q26" s="983"/>
      <c r="R26" s="983"/>
      <c r="S26" s="983"/>
      <c r="T26" s="983" t="s">
        <v>313</v>
      </c>
      <c r="U26" s="983"/>
      <c r="V26" s="983"/>
      <c r="W26" s="983"/>
    </row>
    <row r="27" spans="1:27" ht="24.75" customHeight="1">
      <c r="A27" s="1002" t="s">
        <v>322</v>
      </c>
      <c r="B27" s="1005" t="s">
        <v>314</v>
      </c>
      <c r="C27" s="979"/>
      <c r="D27" s="250" t="s">
        <v>198</v>
      </c>
      <c r="E27" s="1006">
        <f>'第2号様式別紙2-1（臨床研修（医師）事業計画書）附表A2'!AH37</f>
        <v>0</v>
      </c>
      <c r="F27" s="1006"/>
      <c r="G27" s="253" t="s">
        <v>315</v>
      </c>
      <c r="H27" s="254" t="s">
        <v>316</v>
      </c>
      <c r="I27" s="1006">
        <f>'第2号様式別紙2-1（臨床研修（医師）事業計画書）附表A2'!AI37</f>
        <v>0</v>
      </c>
      <c r="J27" s="1006"/>
      <c r="K27" s="253" t="s">
        <v>315</v>
      </c>
      <c r="L27" s="774"/>
      <c r="M27" s="1007" t="s">
        <v>322</v>
      </c>
      <c r="N27" s="978" t="s">
        <v>314</v>
      </c>
      <c r="O27" s="979"/>
      <c r="P27" s="250" t="s">
        <v>325</v>
      </c>
      <c r="Q27" s="1006">
        <f>'第2号様式別紙2-1（臨床研修（医師）事業計画書）附表A2'!AH44</f>
        <v>0</v>
      </c>
      <c r="R27" s="1006"/>
      <c r="S27" s="253" t="s">
        <v>315</v>
      </c>
      <c r="T27" s="254" t="s">
        <v>329</v>
      </c>
      <c r="U27" s="1006">
        <f>'第2号様式別紙2-1（臨床研修（医師）事業計画書）附表A2'!AI44</f>
        <v>0</v>
      </c>
      <c r="V27" s="1006"/>
      <c r="W27" s="253" t="s">
        <v>315</v>
      </c>
    </row>
    <row r="28" spans="1:27" ht="24.95" customHeight="1">
      <c r="A28" s="1003"/>
      <c r="B28" s="1012" t="s">
        <v>317</v>
      </c>
      <c r="C28" s="970"/>
      <c r="D28" s="1014" t="s">
        <v>221</v>
      </c>
      <c r="E28" s="965" t="s">
        <v>318</v>
      </c>
      <c r="F28" s="965"/>
      <c r="G28" s="966"/>
      <c r="H28" s="1010" t="s">
        <v>222</v>
      </c>
      <c r="I28" s="965" t="s">
        <v>319</v>
      </c>
      <c r="J28" s="965"/>
      <c r="K28" s="966"/>
      <c r="M28" s="1008"/>
      <c r="N28" s="969" t="s">
        <v>317</v>
      </c>
      <c r="O28" s="970"/>
      <c r="P28" s="1014" t="s">
        <v>332</v>
      </c>
      <c r="Q28" s="965" t="s">
        <v>333</v>
      </c>
      <c r="R28" s="965"/>
      <c r="S28" s="966"/>
      <c r="T28" s="1010" t="s">
        <v>334</v>
      </c>
      <c r="U28" s="965" t="s">
        <v>335</v>
      </c>
      <c r="V28" s="965"/>
      <c r="W28" s="966"/>
    </row>
    <row r="29" spans="1:27" ht="24.95" customHeight="1">
      <c r="A29" s="1004"/>
      <c r="B29" s="1013"/>
      <c r="C29" s="972"/>
      <c r="D29" s="974"/>
      <c r="E29" s="1011">
        <f>'第2号様式別紙2-1（臨床研修（医師）事業計画書）附表A2'!AH39</f>
        <v>0</v>
      </c>
      <c r="F29" s="1011"/>
      <c r="G29" s="255" t="s">
        <v>320</v>
      </c>
      <c r="H29" s="964"/>
      <c r="I29" s="1011">
        <f>'第2号様式別紙2-1（臨床研修（医師）事業計画書）附表A2'!AI39</f>
        <v>0</v>
      </c>
      <c r="J29" s="1011"/>
      <c r="K29" s="255" t="s">
        <v>320</v>
      </c>
      <c r="M29" s="1009"/>
      <c r="N29" s="971"/>
      <c r="O29" s="972"/>
      <c r="P29" s="974"/>
      <c r="Q29" s="1011">
        <f>'第2号様式別紙2-1（臨床研修（医師）事業計画書）附表A2'!AH46</f>
        <v>0</v>
      </c>
      <c r="R29" s="1011"/>
      <c r="S29" s="255" t="s">
        <v>320</v>
      </c>
      <c r="T29" s="964"/>
      <c r="U29" s="1011">
        <f>'第2号様式別紙2-1（臨床研修（医師）事業計画書）附表A2'!AI46</f>
        <v>0</v>
      </c>
      <c r="V29" s="1011"/>
      <c r="W29" s="255" t="s">
        <v>320</v>
      </c>
    </row>
    <row r="30" spans="1:27" ht="23.25" customHeight="1">
      <c r="B30" s="178"/>
    </row>
    <row r="31" spans="1:27" ht="24.95" customHeight="1">
      <c r="A31" s="145" t="s">
        <v>336</v>
      </c>
      <c r="B31" s="178"/>
    </row>
    <row r="32" spans="1:27" ht="10.5" customHeight="1">
      <c r="A32" s="252"/>
    </row>
    <row r="33" spans="1:23" ht="24.95" customHeight="1">
      <c r="A33" s="984" t="s">
        <v>337</v>
      </c>
      <c r="B33" s="985"/>
      <c r="C33" s="986"/>
      <c r="D33" s="993" t="s">
        <v>292</v>
      </c>
      <c r="E33" s="993"/>
      <c r="F33" s="994" t="s">
        <v>293</v>
      </c>
      <c r="G33" s="994"/>
      <c r="H33" s="994"/>
      <c r="I33" s="994"/>
      <c r="J33" s="994"/>
      <c r="K33" s="994"/>
      <c r="L33" s="994"/>
      <c r="M33" s="994"/>
    </row>
    <row r="34" spans="1:23" ht="24.95" customHeight="1">
      <c r="A34" s="987"/>
      <c r="B34" s="988"/>
      <c r="C34" s="989"/>
      <c r="D34" s="993"/>
      <c r="E34" s="993"/>
      <c r="F34" s="995" t="s">
        <v>294</v>
      </c>
      <c r="G34" s="995"/>
      <c r="H34" s="995"/>
      <c r="I34" s="995"/>
      <c r="J34" s="995" t="s">
        <v>295</v>
      </c>
      <c r="K34" s="995"/>
      <c r="L34" s="995"/>
      <c r="M34" s="995"/>
    </row>
    <row r="35" spans="1:23" ht="24.95" customHeight="1">
      <c r="A35" s="990"/>
      <c r="B35" s="991"/>
      <c r="C35" s="992"/>
      <c r="D35" s="744" t="s">
        <v>296</v>
      </c>
      <c r="E35" s="744" t="s">
        <v>297</v>
      </c>
      <c r="F35" s="249" t="s">
        <v>298</v>
      </c>
      <c r="G35" s="249" t="s">
        <v>299</v>
      </c>
      <c r="H35" s="249" t="s">
        <v>300</v>
      </c>
      <c r="I35" s="249" t="s">
        <v>301</v>
      </c>
      <c r="J35" s="249" t="s">
        <v>298</v>
      </c>
      <c r="K35" s="249" t="s">
        <v>299</v>
      </c>
      <c r="L35" s="249" t="s">
        <v>300</v>
      </c>
      <c r="M35" s="249" t="s">
        <v>301</v>
      </c>
    </row>
    <row r="36" spans="1:23" ht="24.95" customHeight="1">
      <c r="A36" s="996" t="s">
        <v>302</v>
      </c>
      <c r="B36" s="745" t="s">
        <v>303</v>
      </c>
      <c r="C36" s="775">
        <f t="shared" ref="C36:E37" si="0">C8+C21</f>
        <v>0</v>
      </c>
      <c r="D36" s="776">
        <f t="shared" si="0"/>
        <v>0</v>
      </c>
      <c r="E36" s="777">
        <f t="shared" si="0"/>
        <v>0</v>
      </c>
      <c r="F36" s="778" t="s">
        <v>304</v>
      </c>
      <c r="G36" s="778" t="s">
        <v>305</v>
      </c>
      <c r="H36" s="778" t="s">
        <v>306</v>
      </c>
      <c r="I36" s="778" t="s">
        <v>307</v>
      </c>
      <c r="J36" s="778" t="s">
        <v>308</v>
      </c>
      <c r="K36" s="778" t="s">
        <v>309</v>
      </c>
      <c r="L36" s="778" t="s">
        <v>310</v>
      </c>
      <c r="M36" s="778" t="s">
        <v>202</v>
      </c>
    </row>
    <row r="37" spans="1:23" ht="24.95" customHeight="1">
      <c r="A37" s="997"/>
      <c r="B37" s="745" t="s">
        <v>311</v>
      </c>
      <c r="C37" s="779">
        <f t="shared" si="0"/>
        <v>0</v>
      </c>
      <c r="D37" s="780">
        <f t="shared" si="0"/>
        <v>0</v>
      </c>
      <c r="E37" s="781">
        <f t="shared" si="0"/>
        <v>0</v>
      </c>
      <c r="F37" s="782">
        <f>F9+F22</f>
        <v>0</v>
      </c>
      <c r="G37" s="782">
        <f t="shared" ref="G37:L37" si="1">G9+G22</f>
        <v>0</v>
      </c>
      <c r="H37" s="782">
        <f t="shared" si="1"/>
        <v>0</v>
      </c>
      <c r="I37" s="782">
        <f t="shared" si="1"/>
        <v>0</v>
      </c>
      <c r="J37" s="782">
        <f t="shared" si="1"/>
        <v>0</v>
      </c>
      <c r="K37" s="782">
        <f t="shared" si="1"/>
        <v>0</v>
      </c>
      <c r="L37" s="782">
        <f t="shared" si="1"/>
        <v>0</v>
      </c>
      <c r="M37" s="782">
        <f>M9+M22</f>
        <v>0</v>
      </c>
    </row>
    <row r="38" spans="1:23" ht="24.95" customHeight="1">
      <c r="A38" s="997"/>
      <c r="B38" s="999" t="s">
        <v>323</v>
      </c>
      <c r="C38" s="1000">
        <f>C23</f>
        <v>0</v>
      </c>
      <c r="D38" s="1000">
        <f>D23</f>
        <v>0</v>
      </c>
      <c r="E38" s="1000">
        <f>E23</f>
        <v>0</v>
      </c>
      <c r="F38" s="783" t="s">
        <v>205</v>
      </c>
      <c r="G38" s="784" t="s">
        <v>206</v>
      </c>
      <c r="H38" s="783" t="s">
        <v>324</v>
      </c>
      <c r="I38" s="784" t="s">
        <v>325</v>
      </c>
      <c r="J38" s="783" t="s">
        <v>326</v>
      </c>
      <c r="K38" s="784" t="s">
        <v>327</v>
      </c>
      <c r="L38" s="783" t="s">
        <v>328</v>
      </c>
      <c r="M38" s="785" t="s">
        <v>329</v>
      </c>
    </row>
    <row r="39" spans="1:23" ht="24.95" customHeight="1">
      <c r="A39" s="998"/>
      <c r="B39" s="999"/>
      <c r="C39" s="1001"/>
      <c r="D39" s="1001"/>
      <c r="E39" s="1001"/>
      <c r="F39" s="782">
        <f>F24</f>
        <v>0</v>
      </c>
      <c r="G39" s="782">
        <f t="shared" ref="G39:M39" si="2">G24</f>
        <v>0</v>
      </c>
      <c r="H39" s="782">
        <f t="shared" si="2"/>
        <v>0</v>
      </c>
      <c r="I39" s="782">
        <f t="shared" si="2"/>
        <v>0</v>
      </c>
      <c r="J39" s="782">
        <f t="shared" si="2"/>
        <v>0</v>
      </c>
      <c r="K39" s="782">
        <f t="shared" si="2"/>
        <v>0</v>
      </c>
      <c r="L39" s="782">
        <f t="shared" si="2"/>
        <v>0</v>
      </c>
      <c r="M39" s="782">
        <f t="shared" si="2"/>
        <v>0</v>
      </c>
    </row>
    <row r="40" spans="1:23" ht="24.95" customHeight="1"/>
    <row r="41" spans="1:23" ht="24.95" customHeight="1">
      <c r="A41" s="980" t="s">
        <v>330</v>
      </c>
      <c r="B41" s="981"/>
      <c r="C41" s="982"/>
      <c r="D41" s="983" t="s">
        <v>312</v>
      </c>
      <c r="E41" s="983"/>
      <c r="F41" s="983"/>
      <c r="G41" s="983"/>
      <c r="H41" s="983" t="s">
        <v>313</v>
      </c>
      <c r="I41" s="983"/>
      <c r="J41" s="983"/>
      <c r="K41" s="983"/>
      <c r="M41" s="980" t="s">
        <v>331</v>
      </c>
      <c r="N41" s="981"/>
      <c r="O41" s="982"/>
      <c r="P41" s="983" t="s">
        <v>312</v>
      </c>
      <c r="Q41" s="983"/>
      <c r="R41" s="983"/>
      <c r="S41" s="983"/>
      <c r="T41" s="983" t="s">
        <v>313</v>
      </c>
      <c r="U41" s="983"/>
      <c r="V41" s="983"/>
      <c r="W41" s="983"/>
    </row>
    <row r="42" spans="1:23" ht="24.75" customHeight="1">
      <c r="A42" s="975" t="s">
        <v>302</v>
      </c>
      <c r="B42" s="978" t="s">
        <v>314</v>
      </c>
      <c r="C42" s="979"/>
      <c r="D42" s="250" t="s">
        <v>198</v>
      </c>
      <c r="E42" s="968">
        <f>I37</f>
        <v>0</v>
      </c>
      <c r="F42" s="968"/>
      <c r="G42" s="253" t="s">
        <v>315</v>
      </c>
      <c r="H42" s="254" t="s">
        <v>316</v>
      </c>
      <c r="I42" s="968">
        <f>M37</f>
        <v>0</v>
      </c>
      <c r="J42" s="968"/>
      <c r="K42" s="253" t="s">
        <v>315</v>
      </c>
      <c r="M42" s="975" t="s">
        <v>302</v>
      </c>
      <c r="N42" s="978" t="s">
        <v>314</v>
      </c>
      <c r="O42" s="979"/>
      <c r="P42" s="250" t="s">
        <v>325</v>
      </c>
      <c r="Q42" s="968">
        <f>I39</f>
        <v>0</v>
      </c>
      <c r="R42" s="968"/>
      <c r="S42" s="253" t="s">
        <v>315</v>
      </c>
      <c r="T42" s="254" t="s">
        <v>329</v>
      </c>
      <c r="U42" s="968">
        <f>M39</f>
        <v>0</v>
      </c>
      <c r="V42" s="968"/>
      <c r="W42" s="253" t="s">
        <v>315</v>
      </c>
    </row>
    <row r="43" spans="1:23" ht="24.95" customHeight="1">
      <c r="A43" s="976"/>
      <c r="B43" s="969" t="s">
        <v>317</v>
      </c>
      <c r="C43" s="970"/>
      <c r="D43" s="973" t="s">
        <v>221</v>
      </c>
      <c r="E43" s="965" t="s">
        <v>318</v>
      </c>
      <c r="F43" s="965"/>
      <c r="G43" s="966"/>
      <c r="H43" s="963" t="s">
        <v>222</v>
      </c>
      <c r="I43" s="965" t="s">
        <v>319</v>
      </c>
      <c r="J43" s="965"/>
      <c r="K43" s="966"/>
      <c r="M43" s="976"/>
      <c r="N43" s="969" t="s">
        <v>317</v>
      </c>
      <c r="O43" s="970"/>
      <c r="P43" s="973" t="s">
        <v>332</v>
      </c>
      <c r="Q43" s="965" t="s">
        <v>333</v>
      </c>
      <c r="R43" s="965"/>
      <c r="S43" s="966"/>
      <c r="T43" s="963" t="s">
        <v>334</v>
      </c>
      <c r="U43" s="965" t="s">
        <v>335</v>
      </c>
      <c r="V43" s="965"/>
      <c r="W43" s="966"/>
    </row>
    <row r="44" spans="1:23" ht="24.95" customHeight="1">
      <c r="A44" s="977"/>
      <c r="B44" s="971"/>
      <c r="C44" s="972"/>
      <c r="D44" s="974"/>
      <c r="E44" s="967">
        <f>E14+E29</f>
        <v>0</v>
      </c>
      <c r="F44" s="967"/>
      <c r="G44" s="255" t="s">
        <v>320</v>
      </c>
      <c r="H44" s="964"/>
      <c r="I44" s="967">
        <f>I14+I29</f>
        <v>0</v>
      </c>
      <c r="J44" s="967"/>
      <c r="K44" s="255" t="s">
        <v>320</v>
      </c>
      <c r="M44" s="977"/>
      <c r="N44" s="971"/>
      <c r="O44" s="972"/>
      <c r="P44" s="974"/>
      <c r="Q44" s="967">
        <f>Q29</f>
        <v>0</v>
      </c>
      <c r="R44" s="967"/>
      <c r="S44" s="255" t="s">
        <v>320</v>
      </c>
      <c r="T44" s="964"/>
      <c r="U44" s="967">
        <f>U29</f>
        <v>0</v>
      </c>
      <c r="V44" s="967"/>
      <c r="W44" s="255" t="s">
        <v>320</v>
      </c>
    </row>
    <row r="45" spans="1:23" ht="24.95" customHeight="1">
      <c r="B45" s="178"/>
    </row>
  </sheetData>
  <mergeCells count="104">
    <mergeCell ref="A1:D1"/>
    <mergeCell ref="A5:C7"/>
    <mergeCell ref="D5:E6"/>
    <mergeCell ref="F5:M5"/>
    <mergeCell ref="F6:I6"/>
    <mergeCell ref="J6:M6"/>
    <mergeCell ref="H13:H14"/>
    <mergeCell ref="I13:K13"/>
    <mergeCell ref="E14:F14"/>
    <mergeCell ref="I14:J14"/>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P41:S41"/>
    <mergeCell ref="T41:W41"/>
    <mergeCell ref="A33:C35"/>
    <mergeCell ref="D33:E34"/>
    <mergeCell ref="F33:M33"/>
    <mergeCell ref="F34:I34"/>
    <mergeCell ref="J34:M34"/>
    <mergeCell ref="A36:A39"/>
    <mergeCell ref="B38:B39"/>
    <mergeCell ref="C38:C39"/>
    <mergeCell ref="D38:D39"/>
    <mergeCell ref="E38:E39"/>
    <mergeCell ref="A42:A44"/>
    <mergeCell ref="B42:C42"/>
    <mergeCell ref="E42:F42"/>
    <mergeCell ref="I42:J42"/>
    <mergeCell ref="M42:M44"/>
    <mergeCell ref="N42:O42"/>
    <mergeCell ref="A41:C41"/>
    <mergeCell ref="D41:G41"/>
    <mergeCell ref="H41:K41"/>
    <mergeCell ref="M41:O41"/>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3E294453-A335-47FB-A7B9-272182A4480E}"/>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0B16-38E8-4942-ABA1-61B56BE0DAF6}">
  <sheetPr>
    <tabColor rgb="FF00B0F0"/>
    <pageSetUpPr fitToPage="1"/>
  </sheetPr>
  <dimension ref="A1:AL58"/>
  <sheetViews>
    <sheetView showZeros="0" view="pageBreakPreview" zoomScale="85" zoomScaleNormal="100" zoomScaleSheetLayoutView="85" workbookViewId="0">
      <selection sqref="A1:D1"/>
    </sheetView>
  </sheetViews>
  <sheetFormatPr defaultColWidth="9" defaultRowHeight="15" customHeight="1"/>
  <cols>
    <col min="1" max="1" width="19.5" style="614" bestFit="1" customWidth="1"/>
    <col min="2" max="2" width="15.5" style="614" customWidth="1"/>
    <col min="3" max="3" width="13.125" style="614" customWidth="1"/>
    <col min="4" max="6" width="9.375" style="614" customWidth="1"/>
    <col min="7" max="7" width="7.5" style="614" bestFit="1" customWidth="1"/>
    <col min="8" max="19" width="4" style="614" customWidth="1"/>
    <col min="20" max="20" width="15.5" style="614" bestFit="1" customWidth="1"/>
    <col min="21" max="22" width="4.375" style="613" customWidth="1"/>
    <col min="23" max="30" width="6.625" style="614" customWidth="1"/>
    <col min="31" max="31" width="38.125" style="614" customWidth="1"/>
    <col min="32" max="33" width="9" style="614"/>
    <col min="34" max="34" width="9" style="614" hidden="1" customWidth="1"/>
    <col min="35" max="35" width="12.625" style="614" hidden="1" customWidth="1"/>
    <col min="36" max="36" width="13.625" style="614" hidden="1" customWidth="1"/>
    <col min="37" max="37" width="11.875" style="614" hidden="1" customWidth="1"/>
    <col min="38" max="38" width="9" style="614" hidden="1" customWidth="1"/>
    <col min="39" max="16384" width="9" style="614"/>
  </cols>
  <sheetData>
    <row r="1" spans="1:37" s="609" customFormat="1" ht="13.15">
      <c r="A1" s="1092" t="s">
        <v>338</v>
      </c>
      <c r="B1" s="1092"/>
      <c r="C1" s="1092"/>
      <c r="U1" s="610"/>
      <c r="V1" s="610"/>
    </row>
    <row r="2" spans="1:37" s="609" customFormat="1" ht="14.45">
      <c r="C2" s="611"/>
      <c r="U2" s="612"/>
      <c r="V2" s="613"/>
    </row>
    <row r="3" spans="1:37" ht="24.95" customHeight="1">
      <c r="C3" s="1093" t="s">
        <v>339</v>
      </c>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7" ht="17.25" customHeight="1">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7" ht="17.25" customHeight="1">
      <c r="A5" s="1094" t="s">
        <v>341</v>
      </c>
      <c r="B5" s="1094"/>
      <c r="C5" s="109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7" ht="17.25" customHeight="1">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7" ht="24.95" customHeight="1">
      <c r="A7" s="588" t="s">
        <v>342</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7" ht="24.95" customHeight="1">
      <c r="A8" s="588" t="s">
        <v>343</v>
      </c>
      <c r="B8" s="904">
        <f>第2号様式!G9</f>
        <v>0</v>
      </c>
      <c r="C8" s="905"/>
      <c r="D8" s="905"/>
      <c r="E8" s="905"/>
      <c r="F8" s="621" t="s">
        <v>344</v>
      </c>
      <c r="G8" s="622" t="s">
        <v>345</v>
      </c>
      <c r="H8" s="615"/>
      <c r="I8" s="1085" t="s">
        <v>346</v>
      </c>
      <c r="J8" s="1086"/>
      <c r="K8" s="1095"/>
      <c r="L8" s="1096"/>
      <c r="M8" s="623"/>
      <c r="N8" s="624"/>
      <c r="O8" s="615"/>
      <c r="P8" s="615"/>
      <c r="Q8" s="615"/>
      <c r="R8" s="615"/>
      <c r="S8" s="615"/>
      <c r="T8" s="616"/>
      <c r="U8" s="617"/>
      <c r="V8" s="617"/>
      <c r="W8" s="616"/>
      <c r="X8" s="616"/>
      <c r="Y8" s="616"/>
      <c r="Z8" s="616"/>
      <c r="AA8" s="616"/>
      <c r="AB8" s="616"/>
      <c r="AC8" s="616"/>
      <c r="AD8" s="616"/>
      <c r="AE8" s="616"/>
    </row>
    <row r="9" spans="1:37" ht="24.95" customHeight="1">
      <c r="A9" s="625" t="s">
        <v>347</v>
      </c>
      <c r="B9" s="1082"/>
      <c r="C9" s="1083"/>
      <c r="D9" s="1083"/>
      <c r="E9" s="1083"/>
      <c r="F9" s="1083"/>
      <c r="G9" s="1084"/>
      <c r="H9" s="615"/>
      <c r="I9" s="1085" t="s">
        <v>348</v>
      </c>
      <c r="J9" s="1086"/>
      <c r="K9" s="1085"/>
      <c r="L9" s="1086"/>
      <c r="M9" s="623"/>
      <c r="N9" s="624"/>
      <c r="O9" s="615"/>
      <c r="P9" s="615"/>
      <c r="Q9" s="615"/>
      <c r="S9" s="615"/>
      <c r="T9" s="616"/>
      <c r="U9" s="617"/>
      <c r="V9" s="617"/>
      <c r="W9" s="616"/>
      <c r="X9" s="616"/>
      <c r="Y9" s="616"/>
      <c r="Z9" s="616"/>
      <c r="AA9" s="616"/>
      <c r="AB9" s="616"/>
      <c r="AC9" s="616"/>
      <c r="AD9" s="616"/>
      <c r="AE9" s="616"/>
    </row>
    <row r="10" spans="1:37" ht="24.95" customHeight="1">
      <c r="A10" s="626"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7" ht="24.95" customHeight="1">
      <c r="A11" s="631" t="s">
        <v>352</v>
      </c>
      <c r="B11" s="632"/>
      <c r="C11" s="621" t="s">
        <v>353</v>
      </c>
      <c r="D11" s="1082"/>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7" ht="12.75" customHeight="1">
      <c r="C12" s="633"/>
      <c r="U12" s="612"/>
      <c r="W12" s="1087"/>
      <c r="X12" s="1087"/>
      <c r="Y12" s="1087"/>
      <c r="Z12" s="1087"/>
      <c r="AA12" s="1087"/>
      <c r="AB12" s="1087"/>
      <c r="AC12" s="1087"/>
      <c r="AD12" s="1087"/>
      <c r="AE12" s="1087"/>
    </row>
    <row r="13" spans="1:37" ht="14.25" customHeight="1">
      <c r="A13" s="1088" t="s">
        <v>354</v>
      </c>
      <c r="B13" s="1081" t="s">
        <v>355</v>
      </c>
      <c r="C13" s="1081"/>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7" ht="13.5" customHeight="1">
      <c r="A14" s="1088"/>
      <c r="B14" s="1081"/>
      <c r="C14" s="1081"/>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I14" s="634" t="s">
        <v>361</v>
      </c>
      <c r="AJ14" s="634" t="s">
        <v>362</v>
      </c>
      <c r="AK14" s="634" t="s">
        <v>363</v>
      </c>
    </row>
    <row r="15" spans="1:37" ht="38.1" customHeight="1">
      <c r="A15" s="1088"/>
      <c r="B15" s="1081"/>
      <c r="C15" s="1081"/>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I15" s="639" t="str">
        <f>IF(G8="第３種","○","×")</f>
        <v>×</v>
      </c>
      <c r="AJ15" s="639" t="str">
        <f>IF(G8="第４種","○","×")</f>
        <v>×</v>
      </c>
      <c r="AK15" s="639" t="str">
        <f>IF(G8="第５種","○","×")</f>
        <v>×</v>
      </c>
    </row>
    <row r="16" spans="1:37" ht="24.95" customHeight="1" thickBot="1">
      <c r="A16" s="1060"/>
      <c r="B16" s="1061"/>
      <c r="C16" s="1061"/>
      <c r="D16" s="1062"/>
      <c r="E16" s="1062"/>
      <c r="F16" s="1062"/>
      <c r="G16" s="640" t="s">
        <v>303</v>
      </c>
      <c r="H16" s="641"/>
      <c r="I16" s="641"/>
      <c r="J16" s="641"/>
      <c r="K16" s="641"/>
      <c r="L16" s="641"/>
      <c r="M16" s="641"/>
      <c r="N16" s="641"/>
      <c r="O16" s="641"/>
      <c r="P16" s="641"/>
      <c r="Q16" s="641"/>
      <c r="R16" s="641"/>
      <c r="S16" s="641"/>
      <c r="T16" s="642">
        <f>COUNTA(H16:S16)</f>
        <v>0</v>
      </c>
      <c r="U16" s="643"/>
      <c r="V16" s="644"/>
      <c r="W16" s="1056"/>
      <c r="X16" s="1056"/>
      <c r="Y16" s="1056"/>
      <c r="Z16" s="1056"/>
      <c r="AA16" s="1056"/>
      <c r="AB16" s="1056"/>
      <c r="AC16" s="1056"/>
      <c r="AD16" s="1056"/>
      <c r="AE16" s="1058"/>
    </row>
    <row r="17" spans="1:36" ht="24.95" customHeight="1" thickBot="1">
      <c r="A17" s="1060"/>
      <c r="B17" s="1061"/>
      <c r="C17" s="1061"/>
      <c r="D17" s="1063"/>
      <c r="E17" s="1063"/>
      <c r="F17" s="1063"/>
      <c r="G17" s="645" t="s">
        <v>311</v>
      </c>
      <c r="H17" s="646"/>
      <c r="I17" s="646"/>
      <c r="J17" s="646"/>
      <c r="K17" s="646"/>
      <c r="L17" s="646"/>
      <c r="M17" s="646"/>
      <c r="N17" s="646"/>
      <c r="O17" s="646"/>
      <c r="P17" s="646"/>
      <c r="Q17" s="646"/>
      <c r="R17" s="646"/>
      <c r="S17" s="646"/>
      <c r="T17" s="647">
        <f>SUM(H17:S17)</f>
        <v>0</v>
      </c>
      <c r="U17" s="648"/>
      <c r="V17" s="649"/>
      <c r="W17" s="1056"/>
      <c r="X17" s="1056"/>
      <c r="Y17" s="1056"/>
      <c r="Z17" s="1056"/>
      <c r="AA17" s="1056"/>
      <c r="AB17" s="1056"/>
      <c r="AC17" s="1056"/>
      <c r="AD17" s="1056"/>
      <c r="AE17" s="1059"/>
      <c r="AJ17" s="650" t="str">
        <f>IF(COUNTIF(AI15:AK15,"○"),"入力不可","入力可")</f>
        <v>入力可</v>
      </c>
    </row>
    <row r="18" spans="1:36" ht="24.95" customHeight="1">
      <c r="A18" s="1060"/>
      <c r="B18" s="1061"/>
      <c r="C18" s="1061"/>
      <c r="D18" s="1062"/>
      <c r="E18" s="1064"/>
      <c r="F18" s="1062"/>
      <c r="G18" s="640" t="s">
        <v>303</v>
      </c>
      <c r="H18" s="641"/>
      <c r="I18" s="641"/>
      <c r="J18" s="641"/>
      <c r="K18" s="641"/>
      <c r="L18" s="641"/>
      <c r="M18" s="641"/>
      <c r="N18" s="641"/>
      <c r="O18" s="641"/>
      <c r="P18" s="641"/>
      <c r="Q18" s="641"/>
      <c r="R18" s="641"/>
      <c r="S18" s="641"/>
      <c r="T18" s="642">
        <f>COUNTA(H18:S18)</f>
        <v>0</v>
      </c>
      <c r="U18" s="643"/>
      <c r="V18" s="644"/>
      <c r="W18" s="1056"/>
      <c r="X18" s="1056"/>
      <c r="Y18" s="1056"/>
      <c r="Z18" s="1056"/>
      <c r="AA18" s="1056"/>
      <c r="AB18" s="1056"/>
      <c r="AC18" s="1056"/>
      <c r="AD18" s="1056"/>
      <c r="AE18" s="1058"/>
    </row>
    <row r="19" spans="1:36" ht="24.95" customHeight="1" thickBot="1">
      <c r="A19" s="1060"/>
      <c r="B19" s="1061"/>
      <c r="C19" s="1061"/>
      <c r="D19" s="1063"/>
      <c r="E19" s="1065"/>
      <c r="F19" s="1063"/>
      <c r="G19" s="645" t="s">
        <v>311</v>
      </c>
      <c r="H19" s="646"/>
      <c r="I19" s="651"/>
      <c r="J19" s="646"/>
      <c r="K19" s="646"/>
      <c r="L19" s="646"/>
      <c r="M19" s="646"/>
      <c r="N19" s="646"/>
      <c r="O19" s="646"/>
      <c r="P19" s="646"/>
      <c r="Q19" s="646"/>
      <c r="R19" s="646"/>
      <c r="S19" s="646"/>
      <c r="T19" s="647">
        <f>SUM(H19:S19)</f>
        <v>0</v>
      </c>
      <c r="U19" s="648"/>
      <c r="V19" s="648"/>
      <c r="W19" s="1056"/>
      <c r="X19" s="1056"/>
      <c r="Y19" s="1056"/>
      <c r="Z19" s="1056"/>
      <c r="AA19" s="1056"/>
      <c r="AB19" s="1056"/>
      <c r="AC19" s="1056"/>
      <c r="AD19" s="1056"/>
      <c r="AE19" s="1059"/>
    </row>
    <row r="20" spans="1:36" ht="24.95" customHeight="1" thickBot="1">
      <c r="A20" s="1060"/>
      <c r="B20" s="1061"/>
      <c r="C20" s="1061"/>
      <c r="D20" s="1062"/>
      <c r="E20" s="1064"/>
      <c r="F20" s="1062"/>
      <c r="G20" s="652" t="s">
        <v>303</v>
      </c>
      <c r="H20" s="641"/>
      <c r="I20" s="641"/>
      <c r="J20" s="641"/>
      <c r="K20" s="641"/>
      <c r="L20" s="641"/>
      <c r="M20" s="641"/>
      <c r="N20" s="641"/>
      <c r="O20" s="641"/>
      <c r="P20" s="641"/>
      <c r="Q20" s="641"/>
      <c r="R20" s="641"/>
      <c r="S20" s="641"/>
      <c r="T20" s="642">
        <f>COUNTA(H20:S20)</f>
        <v>0</v>
      </c>
      <c r="U20" s="643"/>
      <c r="V20" s="644"/>
      <c r="W20" s="1056"/>
      <c r="X20" s="1056"/>
      <c r="Y20" s="1056"/>
      <c r="Z20" s="1056"/>
      <c r="AA20" s="1056"/>
      <c r="AB20" s="1056"/>
      <c r="AC20" s="1056"/>
      <c r="AD20" s="1056"/>
      <c r="AE20" s="1058"/>
      <c r="AI20" s="653" t="s">
        <v>378</v>
      </c>
      <c r="AJ20" s="654" t="s">
        <v>379</v>
      </c>
    </row>
    <row r="21" spans="1:36" ht="24.95" customHeight="1" thickBot="1">
      <c r="A21" s="1060"/>
      <c r="B21" s="1061"/>
      <c r="C21" s="1061"/>
      <c r="D21" s="1063"/>
      <c r="E21" s="1065"/>
      <c r="F21" s="1063"/>
      <c r="G21" s="655" t="s">
        <v>311</v>
      </c>
      <c r="H21" s="646"/>
      <c r="I21" s="646"/>
      <c r="J21" s="646"/>
      <c r="K21" s="646"/>
      <c r="L21" s="646"/>
      <c r="M21" s="646"/>
      <c r="N21" s="646"/>
      <c r="O21" s="646"/>
      <c r="P21" s="646"/>
      <c r="Q21" s="646"/>
      <c r="R21" s="646"/>
      <c r="S21" s="646"/>
      <c r="T21" s="647">
        <f>SUM(H21:S21)</f>
        <v>0</v>
      </c>
      <c r="U21" s="648"/>
      <c r="V21" s="648"/>
      <c r="W21" s="1056"/>
      <c r="X21" s="1056"/>
      <c r="Y21" s="1056"/>
      <c r="Z21" s="1056"/>
      <c r="AA21" s="1056"/>
      <c r="AB21" s="1056"/>
      <c r="AC21" s="1056"/>
      <c r="AD21" s="1056"/>
      <c r="AE21" s="1059"/>
      <c r="AI21" s="656">
        <f>X27</f>
        <v>0</v>
      </c>
      <c r="AJ21" s="657">
        <f>AB27</f>
        <v>0</v>
      </c>
    </row>
    <row r="22" spans="1:36" ht="24.95" customHeight="1" thickBot="1">
      <c r="A22" s="1060"/>
      <c r="B22" s="1061"/>
      <c r="C22" s="1061"/>
      <c r="D22" s="1062"/>
      <c r="E22" s="1064"/>
      <c r="F22" s="1062"/>
      <c r="G22" s="640" t="s">
        <v>303</v>
      </c>
      <c r="H22" s="641"/>
      <c r="I22" s="641"/>
      <c r="J22" s="641"/>
      <c r="K22" s="641"/>
      <c r="L22" s="641"/>
      <c r="M22" s="641"/>
      <c r="N22" s="641"/>
      <c r="O22" s="641"/>
      <c r="P22" s="641"/>
      <c r="Q22" s="641"/>
      <c r="R22" s="641"/>
      <c r="S22" s="641"/>
      <c r="T22" s="642">
        <f>COUNTA(H22:S22)</f>
        <v>0</v>
      </c>
      <c r="U22" s="643"/>
      <c r="V22" s="644"/>
      <c r="W22" s="1056"/>
      <c r="X22" s="1056"/>
      <c r="Y22" s="1056"/>
      <c r="Z22" s="1056"/>
      <c r="AA22" s="1056"/>
      <c r="AB22" s="1056"/>
      <c r="AC22" s="1056"/>
      <c r="AD22" s="1056"/>
      <c r="AE22" s="1058"/>
      <c r="AI22" s="653" t="s">
        <v>380</v>
      </c>
      <c r="AJ22" s="654" t="s">
        <v>381</v>
      </c>
    </row>
    <row r="23" spans="1:36" ht="24.95" customHeight="1" thickBot="1">
      <c r="A23" s="1060"/>
      <c r="B23" s="1061"/>
      <c r="C23" s="1061"/>
      <c r="D23" s="1063"/>
      <c r="E23" s="1065"/>
      <c r="F23" s="1063"/>
      <c r="G23" s="658" t="s">
        <v>311</v>
      </c>
      <c r="H23" s="646"/>
      <c r="I23" s="646"/>
      <c r="J23" s="646"/>
      <c r="K23" s="646"/>
      <c r="L23" s="646"/>
      <c r="M23" s="646"/>
      <c r="N23" s="646"/>
      <c r="O23" s="646"/>
      <c r="P23" s="659"/>
      <c r="Q23" s="659"/>
      <c r="R23" s="659"/>
      <c r="S23" s="659"/>
      <c r="T23" s="660">
        <f>SUM(H23:S23)</f>
        <v>0</v>
      </c>
      <c r="U23" s="661"/>
      <c r="V23" s="661"/>
      <c r="W23" s="1057"/>
      <c r="X23" s="1057"/>
      <c r="Y23" s="1057"/>
      <c r="Z23" s="1057"/>
      <c r="AA23" s="1057"/>
      <c r="AB23" s="1057"/>
      <c r="AC23" s="1057"/>
      <c r="AD23" s="1057"/>
      <c r="AE23" s="1059"/>
      <c r="AI23" s="656">
        <f>X29</f>
        <v>0</v>
      </c>
      <c r="AJ23" s="662">
        <f>AB29</f>
        <v>0</v>
      </c>
    </row>
    <row r="24" spans="1:36" ht="20.100000000000001" customHeight="1">
      <c r="F24" s="663"/>
      <c r="G24" s="664"/>
      <c r="H24" s="665"/>
      <c r="I24" s="665"/>
      <c r="J24" s="665"/>
      <c r="K24" s="665"/>
      <c r="L24" s="665"/>
      <c r="M24" s="665"/>
      <c r="N24" s="665"/>
      <c r="O24" s="665"/>
      <c r="P24" s="1046" t="s">
        <v>302</v>
      </c>
      <c r="Q24" s="1047"/>
      <c r="R24" s="1050" t="s">
        <v>303</v>
      </c>
      <c r="S24" s="1050"/>
      <c r="T24" s="666">
        <f>T16+T18+T20+T22</f>
        <v>0</v>
      </c>
      <c r="U24" s="667">
        <f>U16+U18+U20+U22</f>
        <v>0</v>
      </c>
      <c r="V24" s="667">
        <f>V16+V18+V20+V22</f>
        <v>0</v>
      </c>
      <c r="W24" s="668" t="s">
        <v>304</v>
      </c>
      <c r="X24" s="668" t="s">
        <v>305</v>
      </c>
      <c r="Y24" s="668" t="s">
        <v>306</v>
      </c>
      <c r="Z24" s="668" t="s">
        <v>307</v>
      </c>
      <c r="AA24" s="668" t="s">
        <v>308</v>
      </c>
      <c r="AB24" s="668" t="s">
        <v>309</v>
      </c>
      <c r="AC24" s="668" t="s">
        <v>310</v>
      </c>
      <c r="AD24" s="669" t="s">
        <v>202</v>
      </c>
    </row>
    <row r="25" spans="1:36" ht="20.100000000000001" customHeight="1" thickBot="1">
      <c r="C25" s="670"/>
      <c r="D25" s="671"/>
      <c r="E25" s="671"/>
      <c r="F25" s="663"/>
      <c r="G25" s="664"/>
      <c r="H25" s="665"/>
      <c r="I25" s="665"/>
      <c r="J25" s="665"/>
      <c r="K25" s="665"/>
      <c r="L25" s="665"/>
      <c r="M25" s="665"/>
      <c r="N25" s="665"/>
      <c r="O25" s="665"/>
      <c r="P25" s="1048"/>
      <c r="Q25" s="1049"/>
      <c r="R25" s="1051" t="s">
        <v>311</v>
      </c>
      <c r="S25" s="1051"/>
      <c r="T25" s="672">
        <f t="shared" ref="T25:V25" si="0">T17+T19+T21+T23</f>
        <v>0</v>
      </c>
      <c r="U25" s="673">
        <f t="shared" si="0"/>
        <v>0</v>
      </c>
      <c r="V25" s="673">
        <f t="shared" si="0"/>
        <v>0</v>
      </c>
      <c r="W25" s="674">
        <f t="shared" ref="W25:AD25" si="1">SUM(W16:W23)</f>
        <v>0</v>
      </c>
      <c r="X25" s="674">
        <f t="shared" si="1"/>
        <v>0</v>
      </c>
      <c r="Y25" s="674">
        <f t="shared" si="1"/>
        <v>0</v>
      </c>
      <c r="Z25" s="674">
        <f t="shared" si="1"/>
        <v>0</v>
      </c>
      <c r="AA25" s="674">
        <f t="shared" si="1"/>
        <v>0</v>
      </c>
      <c r="AB25" s="674">
        <f t="shared" si="1"/>
        <v>0</v>
      </c>
      <c r="AC25" s="674">
        <f t="shared" si="1"/>
        <v>0</v>
      </c>
      <c r="AD25" s="675">
        <f t="shared" si="1"/>
        <v>0</v>
      </c>
    </row>
    <row r="26" spans="1:36" ht="12">
      <c r="C26" s="676"/>
      <c r="D26" s="676"/>
      <c r="E26" s="676"/>
      <c r="F26" s="676"/>
      <c r="G26" s="671"/>
      <c r="T26" s="671"/>
      <c r="W26" s="671"/>
      <c r="X26" s="671"/>
      <c r="Y26" s="671"/>
      <c r="Z26" s="671"/>
      <c r="AA26" s="671"/>
      <c r="AB26" s="671"/>
      <c r="AC26" s="671"/>
      <c r="AD26" s="671"/>
    </row>
    <row r="27" spans="1:36" ht="26.25" customHeight="1">
      <c r="A27" s="1052" t="s">
        <v>382</v>
      </c>
      <c r="B27" s="1052"/>
      <c r="C27" s="1052"/>
      <c r="D27" s="1052"/>
      <c r="E27" s="1052"/>
      <c r="F27" s="1052"/>
      <c r="G27" s="1052"/>
      <c r="H27" s="1052"/>
      <c r="I27" s="1052"/>
      <c r="J27" s="1052"/>
      <c r="K27" s="1052"/>
      <c r="L27" s="1052"/>
      <c r="M27" s="1052"/>
      <c r="N27" s="1052"/>
      <c r="O27" s="1052"/>
      <c r="T27" s="1053" t="s">
        <v>383</v>
      </c>
      <c r="U27" s="1054"/>
      <c r="V27" s="1055"/>
      <c r="W27" s="677" t="s">
        <v>198</v>
      </c>
      <c r="X27" s="1032">
        <f>Z25</f>
        <v>0</v>
      </c>
      <c r="Y27" s="1032"/>
      <c r="Z27" s="678" t="s">
        <v>315</v>
      </c>
      <c r="AA27" s="679" t="s">
        <v>316</v>
      </c>
      <c r="AB27" s="1032">
        <f>AD25</f>
        <v>0</v>
      </c>
      <c r="AC27" s="1032"/>
      <c r="AD27" s="678" t="s">
        <v>315</v>
      </c>
    </row>
    <row r="28" spans="1:36" ht="25.5" customHeight="1">
      <c r="A28" s="1052"/>
      <c r="B28" s="1052"/>
      <c r="C28" s="1052"/>
      <c r="D28" s="1052"/>
      <c r="E28" s="1052"/>
      <c r="F28" s="1052"/>
      <c r="G28" s="1052"/>
      <c r="H28" s="1052"/>
      <c r="I28" s="1052"/>
      <c r="J28" s="1052"/>
      <c r="K28" s="1052"/>
      <c r="L28" s="1052"/>
      <c r="M28" s="1052"/>
      <c r="N28" s="1052"/>
      <c r="O28" s="1052"/>
      <c r="T28" s="1033" t="s">
        <v>384</v>
      </c>
      <c r="U28" s="1034"/>
      <c r="V28" s="1035"/>
      <c r="W28" s="1039" t="s">
        <v>221</v>
      </c>
      <c r="X28" s="1041" t="s">
        <v>318</v>
      </c>
      <c r="Y28" s="1041"/>
      <c r="Z28" s="1042"/>
      <c r="AA28" s="1043" t="s">
        <v>222</v>
      </c>
      <c r="AB28" s="1041" t="s">
        <v>319</v>
      </c>
      <c r="AC28" s="1041"/>
      <c r="AD28" s="1042"/>
    </row>
    <row r="29" spans="1:36" ht="45" customHeight="1">
      <c r="A29" s="1052"/>
      <c r="B29" s="1052"/>
      <c r="C29" s="1052"/>
      <c r="D29" s="1052"/>
      <c r="E29" s="1052"/>
      <c r="F29" s="1052"/>
      <c r="G29" s="1052"/>
      <c r="H29" s="1052"/>
      <c r="I29" s="1052"/>
      <c r="J29" s="1052"/>
      <c r="K29" s="1052"/>
      <c r="L29" s="1052"/>
      <c r="M29" s="1052"/>
      <c r="N29" s="1052"/>
      <c r="O29" s="1052"/>
      <c r="T29" s="1036"/>
      <c r="U29" s="1037"/>
      <c r="V29" s="1038"/>
      <c r="W29" s="1040"/>
      <c r="X29" s="1045">
        <f>W25+(X25*2)+(Y25*3)</f>
        <v>0</v>
      </c>
      <c r="Y29" s="1045"/>
      <c r="Z29" s="680" t="s">
        <v>320</v>
      </c>
      <c r="AA29" s="1044"/>
      <c r="AB29" s="1045">
        <f>AA25+(AB25*2)+(AC25*3)</f>
        <v>0</v>
      </c>
      <c r="AC29" s="1045"/>
      <c r="AD29" s="680" t="s">
        <v>320</v>
      </c>
    </row>
    <row r="30" spans="1:36" ht="12">
      <c r="C30" s="681"/>
      <c r="D30" s="681"/>
      <c r="E30" s="681"/>
      <c r="F30" s="681"/>
      <c r="G30" s="681"/>
      <c r="H30" s="681"/>
      <c r="I30" s="681"/>
      <c r="J30" s="681"/>
      <c r="K30" s="681"/>
      <c r="L30" s="681"/>
      <c r="M30" s="681"/>
      <c r="N30" s="681"/>
      <c r="O30" s="681"/>
      <c r="P30" s="681"/>
      <c r="Q30" s="681"/>
      <c r="R30" s="681"/>
      <c r="S30" s="681"/>
      <c r="T30" s="681"/>
      <c r="W30" s="681"/>
      <c r="X30" s="681"/>
      <c r="Y30" s="681"/>
      <c r="Z30" s="681"/>
      <c r="AA30" s="681"/>
      <c r="AB30" s="681"/>
      <c r="AC30" s="681"/>
      <c r="AD30" s="681"/>
      <c r="AE30" s="681"/>
    </row>
    <row r="31" spans="1:36" ht="12"/>
    <row r="32" spans="1:36" ht="24.95" customHeight="1">
      <c r="D32" s="682"/>
    </row>
    <row r="33" spans="4:22" ht="24.95" customHeight="1">
      <c r="D33" s="682"/>
      <c r="U33" s="614"/>
      <c r="V33" s="614"/>
    </row>
    <row r="34" spans="4:22" ht="12">
      <c r="U34" s="614"/>
      <c r="V34" s="614"/>
    </row>
    <row r="35" spans="4:22" ht="12">
      <c r="U35" s="614"/>
      <c r="V35" s="614"/>
    </row>
    <row r="36" spans="4:22" ht="12">
      <c r="U36" s="614"/>
      <c r="V36" s="614"/>
    </row>
    <row r="37" spans="4:22" ht="12">
      <c r="U37" s="614"/>
      <c r="V37" s="614"/>
    </row>
    <row r="38" spans="4:22" ht="12">
      <c r="U38" s="614"/>
      <c r="V38" s="614"/>
    </row>
    <row r="39" spans="4:22" ht="12">
      <c r="U39" s="614"/>
      <c r="V39" s="614"/>
    </row>
    <row r="40" spans="4:22" ht="12">
      <c r="U40" s="614"/>
      <c r="V40" s="614"/>
    </row>
    <row r="41" spans="4:22" ht="12">
      <c r="U41" s="614"/>
      <c r="V41" s="614"/>
    </row>
    <row r="42" spans="4:22" ht="12">
      <c r="U42" s="614"/>
      <c r="V42" s="614"/>
    </row>
    <row r="43" spans="4:22" ht="12">
      <c r="U43" s="614"/>
      <c r="V43" s="614"/>
    </row>
    <row r="44" spans="4:22" ht="12">
      <c r="U44" s="614"/>
      <c r="V44" s="614"/>
    </row>
    <row r="45" spans="4:22" ht="12">
      <c r="U45" s="614"/>
      <c r="V45" s="614"/>
    </row>
    <row r="46" spans="4:22" ht="12">
      <c r="U46" s="614"/>
      <c r="V46" s="614"/>
    </row>
    <row r="47" spans="4:22" ht="12">
      <c r="U47" s="614"/>
      <c r="V47" s="614"/>
    </row>
    <row r="48" spans="4:22" ht="12">
      <c r="U48" s="614"/>
      <c r="V48" s="614"/>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sheetData>
  <mergeCells count="93">
    <mergeCell ref="A1:C1"/>
    <mergeCell ref="C3:AE3"/>
    <mergeCell ref="A5:C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4"/>
  <conditionalFormatting sqref="A16:B16 A18:B18 A20:B20 A22:B22">
    <cfRule type="containsBlanks" dxfId="130" priority="4" stopIfTrue="1">
      <formula>LEN(TRIM(A16))=0</formula>
    </cfRule>
  </conditionalFormatting>
  <conditionalFormatting sqref="B7:B8 F8:G8 B9:G9 F10 D16:F23 U16:V23">
    <cfRule type="containsBlanks" dxfId="129" priority="5" stopIfTrue="1">
      <formula>LEN(TRIM(B7))=0</formula>
    </cfRule>
  </conditionalFormatting>
  <conditionalFormatting sqref="B10:B11 D10:D11">
    <cfRule type="containsBlanks" dxfId="128" priority="3" stopIfTrue="1">
      <formula>LEN(TRIM(B10))=0</formula>
    </cfRule>
  </conditionalFormatting>
  <conditionalFormatting sqref="H16:S23 W16:AD23">
    <cfRule type="containsBlanks" dxfId="127" priority="2">
      <formula>LEN(TRIM(H16))=0</formula>
    </cfRule>
  </conditionalFormatting>
  <conditionalFormatting sqref="K8:L9">
    <cfRule type="expression" dxfId="126" priority="1">
      <formula>IF($AJ$17="入力不可",TRUE,FALSE)</formula>
    </cfRule>
  </conditionalFormatting>
  <dataValidations count="6">
    <dataValidation type="custom" allowBlank="1" showInputMessage="1" showErrorMessage="1" errorTitle="!入力不要！" error="地域種別が第３種、第４種及び第５種に該当する場合は入力不要です。" sqref="K8:L8" xr:uid="{A5C19A34-59B8-44BD-B857-E720F8557F1C}">
      <formula1>IF(AJ17="入力不可",FALSE,TRUE)</formula1>
    </dataValidation>
    <dataValidation type="list" allowBlank="1" showInputMessage="1" showErrorMessage="1" sqref="G8" xr:uid="{0A1EB982-DFCB-4634-9872-7C33EDE7B992}">
      <formula1>"第１種,第２種,第３種,第４種,第５種"</formula1>
    </dataValidation>
    <dataValidation type="custom" allowBlank="1" showInputMessage="1" showErrorMessage="1" errorTitle="!入力不要！" error="地域種別が第３種、第４種及び第５種に該当する場合は入力不要です。" sqref="K9:L9" xr:uid="{A31F871F-CB9E-47A8-9764-2534E1D9C1C4}">
      <formula1>IF(AJ17="入力不可",FALSE,TRUE)</formula1>
    </dataValidation>
    <dataValidation type="list" allowBlank="1" showInputMessage="1" showErrorMessage="1" sqref="F16:F23" xr:uid="{8C7FE09B-7E0D-43B5-A803-C8A3DAD9D13F}">
      <formula1>"第1種,第2種,第3種,第4種,第5種"</formula1>
    </dataValidation>
    <dataValidation type="custom" allowBlank="1" showInputMessage="1" showErrorMessage="1" sqref="AH21" xr:uid="{9B9E3DA4-E44E-458B-9DC4-FFDC0D7CF17F}">
      <formula1>IF($AJ$17="入力不可",FALSE,TRUE)</formula1>
    </dataValidation>
    <dataValidation type="list" allowBlank="1" showInputMessage="1" sqref="H20:S20 H22:S22 H18:S18 H16:S16" xr:uid="{F0A363D8-D671-4BEC-8960-81797E3C537D}">
      <formula1>"→,内,救,地,外,小,産,麻,精,選"</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7537-8B55-485E-A512-0B04C1216947}">
  <sheetPr>
    <tabColor rgb="FF00B0F0"/>
    <pageSetUpPr fitToPage="1"/>
  </sheetPr>
  <dimension ref="A1:AK95"/>
  <sheetViews>
    <sheetView showZeros="0" view="pageBreakPreview" zoomScale="85" zoomScaleNormal="100" zoomScaleSheetLayoutView="85" workbookViewId="0">
      <selection sqref="A1:D1"/>
    </sheetView>
  </sheetViews>
  <sheetFormatPr defaultColWidth="9" defaultRowHeight="15" customHeight="1"/>
  <cols>
    <col min="1" max="1" width="16.625" style="614" bestFit="1" customWidth="1"/>
    <col min="2" max="2" width="19.625" style="614" customWidth="1"/>
    <col min="3" max="3" width="13.625" style="614" customWidth="1"/>
    <col min="4" max="6" width="9.375" style="614" customWidth="1"/>
    <col min="7" max="7" width="7.5" style="614" bestFit="1" customWidth="1"/>
    <col min="8" max="19" width="4" style="614" customWidth="1"/>
    <col min="20" max="20" width="14.625" style="614" customWidth="1"/>
    <col min="21" max="22" width="4.375" style="613" customWidth="1"/>
    <col min="23" max="30" width="6.625" style="614" customWidth="1"/>
    <col min="31" max="31" width="38.125" style="614" customWidth="1"/>
    <col min="32" max="33" width="9" style="614"/>
    <col min="34" max="34" width="14.5" style="614" customWidth="1"/>
    <col min="35" max="37" width="9" style="614" customWidth="1"/>
    <col min="38" max="16384" width="9" style="614"/>
  </cols>
  <sheetData>
    <row r="1" spans="1:36" s="609" customFormat="1" ht="13.15">
      <c r="A1" s="1092" t="s">
        <v>385</v>
      </c>
      <c r="B1" s="1092"/>
      <c r="C1" s="683"/>
      <c r="U1" s="610"/>
      <c r="V1" s="610"/>
    </row>
    <row r="2" spans="1:36" s="609" customFormat="1" ht="14.45">
      <c r="B2" s="611"/>
      <c r="C2" s="611"/>
      <c r="U2" s="612"/>
      <c r="V2" s="613"/>
    </row>
    <row r="3" spans="1:36" ht="24.95" customHeight="1">
      <c r="B3" s="1093" t="s">
        <v>339</v>
      </c>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6" ht="17.25" customHeight="1">
      <c r="B4" s="615"/>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6" ht="17.25" customHeight="1">
      <c r="A5" s="1094" t="s">
        <v>386</v>
      </c>
      <c r="B5" s="1094"/>
      <c r="C5" s="68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6" ht="17.25" customHeight="1">
      <c r="B6" s="615"/>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6" ht="24.95" customHeight="1">
      <c r="A7" s="589" t="s">
        <v>387</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6" ht="24.95" customHeight="1">
      <c r="A8" s="589" t="s">
        <v>343</v>
      </c>
      <c r="B8" s="1123">
        <f>第2号様式!G9</f>
        <v>0</v>
      </c>
      <c r="C8" s="1123"/>
      <c r="D8" s="1123"/>
      <c r="E8" s="1123"/>
      <c r="F8" s="621" t="s">
        <v>344</v>
      </c>
      <c r="G8" s="621"/>
      <c r="H8" s="615"/>
      <c r="I8" s="1124" t="s">
        <v>346</v>
      </c>
      <c r="J8" s="1125"/>
      <c r="K8" s="1128"/>
      <c r="L8" s="1129"/>
      <c r="M8" s="615"/>
      <c r="N8" s="615"/>
      <c r="O8" s="615"/>
      <c r="P8" s="615"/>
      <c r="Q8" s="615"/>
      <c r="R8" s="615"/>
      <c r="S8" s="615"/>
      <c r="T8" s="616"/>
      <c r="U8" s="617"/>
      <c r="V8" s="617"/>
      <c r="W8" s="616"/>
      <c r="X8" s="616"/>
      <c r="Y8" s="616"/>
      <c r="Z8" s="616"/>
      <c r="AA8" s="616"/>
      <c r="AB8" s="616"/>
      <c r="AC8" s="616"/>
      <c r="AD8" s="616"/>
      <c r="AE8" s="616"/>
    </row>
    <row r="9" spans="1:36" ht="24.95" customHeight="1">
      <c r="A9" s="625" t="s">
        <v>347</v>
      </c>
      <c r="B9" s="1123"/>
      <c r="C9" s="1123"/>
      <c r="D9" s="1123"/>
      <c r="E9" s="1123"/>
      <c r="F9" s="1123"/>
      <c r="G9" s="1123"/>
      <c r="H9" s="615"/>
      <c r="I9" s="1124" t="s">
        <v>348</v>
      </c>
      <c r="J9" s="1125"/>
      <c r="K9" s="1126"/>
      <c r="L9" s="1127"/>
      <c r="M9" s="615"/>
      <c r="N9" s="615"/>
      <c r="O9" s="615"/>
      <c r="P9" s="615"/>
      <c r="Q9" s="615"/>
      <c r="R9" s="615"/>
      <c r="S9" s="615"/>
      <c r="T9" s="616"/>
      <c r="U9" s="617"/>
      <c r="V9" s="617"/>
      <c r="W9" s="616"/>
      <c r="X9" s="616"/>
      <c r="Y9" s="616"/>
      <c r="Z9" s="616"/>
      <c r="AA9" s="616"/>
      <c r="AB9" s="616"/>
      <c r="AC9" s="616"/>
      <c r="AD9" s="616"/>
      <c r="AE9" s="616"/>
    </row>
    <row r="10" spans="1:36" ht="24.95" customHeight="1">
      <c r="A10" s="625"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6" ht="24.95" customHeight="1">
      <c r="A11" s="631" t="s">
        <v>352</v>
      </c>
      <c r="B11" s="685"/>
      <c r="C11" s="621" t="s">
        <v>353</v>
      </c>
      <c r="D11" s="1083"/>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6" ht="12.75" customHeight="1">
      <c r="B12" s="633"/>
      <c r="C12" s="633"/>
      <c r="U12" s="612"/>
      <c r="W12" s="1087"/>
      <c r="X12" s="1087"/>
      <c r="Y12" s="1087"/>
      <c r="Z12" s="1087"/>
      <c r="AA12" s="1087"/>
      <c r="AB12" s="1087"/>
      <c r="AC12" s="1087"/>
      <c r="AD12" s="1087"/>
      <c r="AE12" s="1087"/>
    </row>
    <row r="13" spans="1:36" ht="14.25" customHeight="1">
      <c r="A13" s="1088" t="s">
        <v>388</v>
      </c>
      <c r="B13" s="1088" t="s">
        <v>389</v>
      </c>
      <c r="C13" s="1088"/>
      <c r="D13" s="999" t="s">
        <v>356</v>
      </c>
      <c r="E13" s="995" t="s">
        <v>357</v>
      </c>
      <c r="F13" s="1081"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6" ht="13.5" customHeight="1">
      <c r="A14" s="1088"/>
      <c r="B14" s="1088"/>
      <c r="C14" s="1088"/>
      <c r="D14" s="999"/>
      <c r="E14" s="995"/>
      <c r="F14" s="1449"/>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H14" s="634" t="s">
        <v>361</v>
      </c>
      <c r="AI14" s="634" t="s">
        <v>362</v>
      </c>
      <c r="AJ14" s="634" t="s">
        <v>363</v>
      </c>
    </row>
    <row r="15" spans="1:36" ht="38.1" customHeight="1">
      <c r="A15" s="1088"/>
      <c r="B15" s="1088"/>
      <c r="C15" s="1088"/>
      <c r="D15" s="999"/>
      <c r="E15" s="995"/>
      <c r="F15" s="1449"/>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H15" s="639" t="str">
        <f>IF(G8="第３種","○","×")</f>
        <v>×</v>
      </c>
      <c r="AI15" s="639" t="str">
        <f>IF(G8="第４種","○","×")</f>
        <v>×</v>
      </c>
      <c r="AJ15" s="639" t="str">
        <f>IF(G8="第５種","○","×")</f>
        <v>×</v>
      </c>
    </row>
    <row r="16" spans="1:36" ht="24.95" customHeight="1" thickBot="1">
      <c r="A16" s="1113"/>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686"/>
      <c r="X16" s="686"/>
      <c r="Y16" s="686"/>
      <c r="Z16" s="686"/>
      <c r="AA16" s="686"/>
      <c r="AB16" s="686"/>
      <c r="AC16" s="686"/>
      <c r="AD16" s="686"/>
      <c r="AE16" s="687"/>
    </row>
    <row r="17" spans="1:35" ht="24.95" customHeight="1" thickBot="1">
      <c r="A17" s="1114"/>
      <c r="B17" s="1118"/>
      <c r="C17" s="1119"/>
      <c r="D17" s="1122"/>
      <c r="E17" s="1122"/>
      <c r="F17" s="1122"/>
      <c r="G17" s="688" t="s">
        <v>390</v>
      </c>
      <c r="H17" s="689"/>
      <c r="I17" s="689"/>
      <c r="J17" s="689"/>
      <c r="K17" s="689"/>
      <c r="L17" s="689"/>
      <c r="M17" s="689"/>
      <c r="N17" s="689"/>
      <c r="O17" s="689"/>
      <c r="P17" s="689"/>
      <c r="Q17" s="689"/>
      <c r="R17" s="689"/>
      <c r="S17" s="689"/>
      <c r="T17" s="690">
        <f>SUM(H17:S17)</f>
        <v>0</v>
      </c>
      <c r="U17" s="691"/>
      <c r="V17" s="692"/>
      <c r="W17" s="693"/>
      <c r="X17" s="693"/>
      <c r="Y17" s="693"/>
      <c r="Z17" s="693"/>
      <c r="AA17" s="693"/>
      <c r="AB17" s="693"/>
      <c r="AC17" s="693"/>
      <c r="AD17" s="693"/>
      <c r="AE17" s="687"/>
      <c r="AI17" s="694" t="str">
        <f>IF(COUNTIF(AH15:AJ15,"○"),"入力不可","入力可")</f>
        <v>入力可</v>
      </c>
    </row>
    <row r="18" spans="1:35" ht="24.95" customHeight="1">
      <c r="A18" s="1114"/>
      <c r="B18" s="1118"/>
      <c r="C18" s="1119"/>
      <c r="D18" s="1122"/>
      <c r="E18" s="1122"/>
      <c r="F18" s="1122"/>
      <c r="G18" s="695" t="s">
        <v>391</v>
      </c>
      <c r="H18" s="696"/>
      <c r="I18" s="697"/>
      <c r="J18" s="696"/>
      <c r="K18" s="696"/>
      <c r="L18" s="696"/>
      <c r="M18" s="696"/>
      <c r="N18" s="696"/>
      <c r="O18" s="696"/>
      <c r="P18" s="696"/>
      <c r="Q18" s="696"/>
      <c r="R18" s="696"/>
      <c r="S18" s="696"/>
      <c r="T18" s="698">
        <f>SUM(H18:S18)</f>
        <v>0</v>
      </c>
      <c r="U18" s="699"/>
      <c r="V18" s="700"/>
      <c r="W18" s="693"/>
      <c r="X18" s="693"/>
      <c r="Y18" s="693"/>
      <c r="Z18" s="693"/>
      <c r="AA18" s="693"/>
      <c r="AB18" s="693"/>
      <c r="AC18" s="693"/>
      <c r="AD18" s="693"/>
      <c r="AE18" s="687"/>
    </row>
    <row r="19" spans="1:35" ht="24.95" customHeight="1">
      <c r="A19" s="1115"/>
      <c r="B19" s="1120"/>
      <c r="C19" s="1121"/>
      <c r="D19" s="1063"/>
      <c r="E19" s="1063"/>
      <c r="F19" s="1063"/>
      <c r="G19" s="701" t="s">
        <v>302</v>
      </c>
      <c r="H19" s="702">
        <f t="shared" ref="H19:S19" si="0">IF(H17+H18&lt;4,H17+H18,4)</f>
        <v>0</v>
      </c>
      <c r="I19" s="702">
        <f t="shared" si="0"/>
        <v>0</v>
      </c>
      <c r="J19" s="702">
        <f t="shared" si="0"/>
        <v>0</v>
      </c>
      <c r="K19" s="702">
        <f t="shared" si="0"/>
        <v>0</v>
      </c>
      <c r="L19" s="702">
        <f t="shared" si="0"/>
        <v>0</v>
      </c>
      <c r="M19" s="702">
        <f t="shared" si="0"/>
        <v>0</v>
      </c>
      <c r="N19" s="702">
        <f t="shared" si="0"/>
        <v>0</v>
      </c>
      <c r="O19" s="702">
        <f t="shared" si="0"/>
        <v>0</v>
      </c>
      <c r="P19" s="702">
        <f t="shared" si="0"/>
        <v>0</v>
      </c>
      <c r="Q19" s="702">
        <f t="shared" si="0"/>
        <v>0</v>
      </c>
      <c r="R19" s="702">
        <f t="shared" si="0"/>
        <v>0</v>
      </c>
      <c r="S19" s="702">
        <f t="shared" si="0"/>
        <v>0</v>
      </c>
      <c r="T19" s="703">
        <f>SUM(H19:S19)</f>
        <v>0</v>
      </c>
      <c r="U19" s="704"/>
      <c r="V19" s="704"/>
      <c r="W19" s="686"/>
      <c r="X19" s="686"/>
      <c r="Y19" s="686"/>
      <c r="Z19" s="686"/>
      <c r="AA19" s="686"/>
      <c r="AB19" s="686"/>
      <c r="AC19" s="686"/>
      <c r="AD19" s="686"/>
      <c r="AE19" s="705"/>
    </row>
    <row r="20" spans="1:35" ht="24.95" customHeight="1">
      <c r="A20" s="1113"/>
      <c r="B20" s="1116"/>
      <c r="C20" s="1117"/>
      <c r="D20" s="1062"/>
      <c r="E20" s="1062"/>
      <c r="F20" s="1062"/>
      <c r="G20" s="640" t="s">
        <v>303</v>
      </c>
      <c r="H20" s="641"/>
      <c r="I20" s="641"/>
      <c r="J20" s="641"/>
      <c r="K20" s="641"/>
      <c r="L20" s="641"/>
      <c r="M20" s="641"/>
      <c r="N20" s="641"/>
      <c r="O20" s="641"/>
      <c r="P20" s="641"/>
      <c r="Q20" s="641"/>
      <c r="R20" s="641"/>
      <c r="S20" s="641"/>
      <c r="T20" s="642">
        <f>COUNTA(H20:S20)</f>
        <v>0</v>
      </c>
      <c r="U20" s="643"/>
      <c r="V20" s="644"/>
      <c r="W20" s="686"/>
      <c r="X20" s="686"/>
      <c r="Y20" s="686"/>
      <c r="Z20" s="686"/>
      <c r="AA20" s="686"/>
      <c r="AB20" s="686"/>
      <c r="AC20" s="686"/>
      <c r="AD20" s="686"/>
      <c r="AE20" s="687"/>
    </row>
    <row r="21" spans="1:35" ht="24.95" customHeight="1">
      <c r="A21" s="1114"/>
      <c r="B21" s="1118"/>
      <c r="C21" s="1119"/>
      <c r="D21" s="1122"/>
      <c r="E21" s="1122"/>
      <c r="F21" s="1122"/>
      <c r="G21" s="688" t="s">
        <v>390</v>
      </c>
      <c r="H21" s="689"/>
      <c r="I21" s="689"/>
      <c r="J21" s="689"/>
      <c r="K21" s="689"/>
      <c r="L21" s="689"/>
      <c r="M21" s="689"/>
      <c r="N21" s="689"/>
      <c r="O21" s="689"/>
      <c r="P21" s="689"/>
      <c r="Q21" s="689"/>
      <c r="R21" s="689"/>
      <c r="S21" s="689"/>
      <c r="T21" s="690">
        <f>SUM(H21:S21)</f>
        <v>0</v>
      </c>
      <c r="U21" s="691"/>
      <c r="V21" s="692"/>
      <c r="W21" s="693"/>
      <c r="X21" s="693"/>
      <c r="Y21" s="693"/>
      <c r="Z21" s="693"/>
      <c r="AA21" s="693"/>
      <c r="AB21" s="693"/>
      <c r="AC21" s="693"/>
      <c r="AD21" s="693"/>
      <c r="AE21" s="687"/>
    </row>
    <row r="22" spans="1:35" ht="24.95" customHeight="1">
      <c r="A22" s="1114"/>
      <c r="B22" s="1118"/>
      <c r="C22" s="1119"/>
      <c r="D22" s="1122"/>
      <c r="E22" s="1122"/>
      <c r="F22" s="1122"/>
      <c r="G22" s="695" t="s">
        <v>391</v>
      </c>
      <c r="H22" s="696"/>
      <c r="I22" s="697"/>
      <c r="J22" s="696"/>
      <c r="K22" s="696"/>
      <c r="L22" s="696"/>
      <c r="M22" s="696"/>
      <c r="N22" s="696"/>
      <c r="O22" s="696"/>
      <c r="P22" s="696"/>
      <c r="Q22" s="696"/>
      <c r="R22" s="696"/>
      <c r="S22" s="696"/>
      <c r="T22" s="698">
        <f>SUM(H22:S22)</f>
        <v>0</v>
      </c>
      <c r="U22" s="699"/>
      <c r="V22" s="700"/>
      <c r="W22" s="693"/>
      <c r="X22" s="693"/>
      <c r="Y22" s="693"/>
      <c r="Z22" s="693"/>
      <c r="AA22" s="693"/>
      <c r="AB22" s="693"/>
      <c r="AC22" s="693"/>
      <c r="AD22" s="693"/>
      <c r="AE22" s="687"/>
    </row>
    <row r="23" spans="1:35" ht="24.95" customHeight="1">
      <c r="A23" s="1115"/>
      <c r="B23" s="1120"/>
      <c r="C23" s="1121"/>
      <c r="D23" s="1063"/>
      <c r="E23" s="1063"/>
      <c r="F23" s="1063"/>
      <c r="G23" s="701" t="s">
        <v>302</v>
      </c>
      <c r="H23" s="702">
        <f t="shared" ref="H23:S23" si="1">IF(H21+H22&lt;4,H21+H22,4)</f>
        <v>0</v>
      </c>
      <c r="I23" s="702">
        <f t="shared" si="1"/>
        <v>0</v>
      </c>
      <c r="J23" s="702">
        <f t="shared" si="1"/>
        <v>0</v>
      </c>
      <c r="K23" s="702">
        <f t="shared" si="1"/>
        <v>0</v>
      </c>
      <c r="L23" s="702">
        <f t="shared" si="1"/>
        <v>0</v>
      </c>
      <c r="M23" s="702">
        <f t="shared" si="1"/>
        <v>0</v>
      </c>
      <c r="N23" s="702">
        <f t="shared" si="1"/>
        <v>0</v>
      </c>
      <c r="O23" s="702">
        <f t="shared" si="1"/>
        <v>0</v>
      </c>
      <c r="P23" s="702">
        <f t="shared" si="1"/>
        <v>0</v>
      </c>
      <c r="Q23" s="702">
        <f t="shared" si="1"/>
        <v>0</v>
      </c>
      <c r="R23" s="702">
        <f t="shared" si="1"/>
        <v>0</v>
      </c>
      <c r="S23" s="702">
        <f t="shared" si="1"/>
        <v>0</v>
      </c>
      <c r="T23" s="703">
        <f>SUM(H23:S23)</f>
        <v>0</v>
      </c>
      <c r="U23" s="704"/>
      <c r="V23" s="704"/>
      <c r="W23" s="686"/>
      <c r="X23" s="686"/>
      <c r="Y23" s="686"/>
      <c r="Z23" s="686"/>
      <c r="AA23" s="686"/>
      <c r="AB23" s="686"/>
      <c r="AC23" s="686"/>
      <c r="AD23" s="686"/>
      <c r="AE23" s="706"/>
    </row>
    <row r="24" spans="1:35" ht="24.95" customHeight="1">
      <c r="A24" s="1113"/>
      <c r="B24" s="1116"/>
      <c r="C24" s="1117"/>
      <c r="D24" s="1062"/>
      <c r="E24" s="1062"/>
      <c r="F24" s="1062"/>
      <c r="G24" s="640" t="s">
        <v>303</v>
      </c>
      <c r="H24" s="641"/>
      <c r="I24" s="641"/>
      <c r="J24" s="641"/>
      <c r="K24" s="641"/>
      <c r="L24" s="641"/>
      <c r="M24" s="641"/>
      <c r="N24" s="641"/>
      <c r="O24" s="641"/>
      <c r="P24" s="641"/>
      <c r="Q24" s="641"/>
      <c r="R24" s="641"/>
      <c r="S24" s="641"/>
      <c r="T24" s="642">
        <f>COUNTA(H24:S24)</f>
        <v>0</v>
      </c>
      <c r="U24" s="643"/>
      <c r="V24" s="644"/>
      <c r="W24" s="686"/>
      <c r="X24" s="686"/>
      <c r="Y24" s="686"/>
      <c r="Z24" s="686"/>
      <c r="AA24" s="686"/>
      <c r="AB24" s="686"/>
      <c r="AC24" s="686"/>
      <c r="AD24" s="686"/>
      <c r="AE24" s="707"/>
    </row>
    <row r="25" spans="1:35" ht="24.95" customHeight="1">
      <c r="A25" s="1114"/>
      <c r="B25" s="1118"/>
      <c r="C25" s="1119"/>
      <c r="D25" s="1122"/>
      <c r="E25" s="1122"/>
      <c r="F25" s="1122"/>
      <c r="G25" s="688" t="s">
        <v>390</v>
      </c>
      <c r="H25" s="689"/>
      <c r="I25" s="689"/>
      <c r="J25" s="689"/>
      <c r="K25" s="689"/>
      <c r="L25" s="689"/>
      <c r="M25" s="689"/>
      <c r="N25" s="689"/>
      <c r="O25" s="689"/>
      <c r="P25" s="689"/>
      <c r="Q25" s="689"/>
      <c r="R25" s="689"/>
      <c r="S25" s="689"/>
      <c r="T25" s="690">
        <f>SUM(H25:S25)</f>
        <v>0</v>
      </c>
      <c r="U25" s="691"/>
      <c r="V25" s="692"/>
      <c r="W25" s="693"/>
      <c r="X25" s="693"/>
      <c r="Y25" s="693"/>
      <c r="Z25" s="693"/>
      <c r="AA25" s="693"/>
      <c r="AB25" s="693"/>
      <c r="AC25" s="693"/>
      <c r="AD25" s="693"/>
      <c r="AE25" s="687"/>
    </row>
    <row r="26" spans="1:35" ht="24.95" customHeight="1">
      <c r="A26" s="1114"/>
      <c r="B26" s="1118"/>
      <c r="C26" s="1119"/>
      <c r="D26" s="1122"/>
      <c r="E26" s="1122"/>
      <c r="F26" s="1122"/>
      <c r="G26" s="695" t="s">
        <v>391</v>
      </c>
      <c r="H26" s="696"/>
      <c r="I26" s="697"/>
      <c r="J26" s="696"/>
      <c r="K26" s="696"/>
      <c r="L26" s="696"/>
      <c r="M26" s="696"/>
      <c r="N26" s="696"/>
      <c r="O26" s="696"/>
      <c r="P26" s="696"/>
      <c r="Q26" s="696"/>
      <c r="R26" s="696"/>
      <c r="S26" s="696"/>
      <c r="T26" s="698">
        <f>SUM(H26:S26)</f>
        <v>0</v>
      </c>
      <c r="U26" s="699"/>
      <c r="V26" s="700"/>
      <c r="W26" s="693"/>
      <c r="X26" s="693"/>
      <c r="Y26" s="693"/>
      <c r="Z26" s="693"/>
      <c r="AA26" s="693"/>
      <c r="AB26" s="693"/>
      <c r="AC26" s="693"/>
      <c r="AD26" s="693"/>
      <c r="AE26" s="687"/>
    </row>
    <row r="27" spans="1:35" ht="24.95" customHeight="1">
      <c r="A27" s="1115"/>
      <c r="B27" s="1120"/>
      <c r="C27" s="1121"/>
      <c r="D27" s="1063"/>
      <c r="E27" s="1063"/>
      <c r="F27" s="1063"/>
      <c r="G27" s="701" t="s">
        <v>302</v>
      </c>
      <c r="H27" s="702">
        <f t="shared" ref="H27:S27" si="2">IF(H25+H26&lt;4,H25+H26,4)</f>
        <v>0</v>
      </c>
      <c r="I27" s="702">
        <f t="shared" si="2"/>
        <v>0</v>
      </c>
      <c r="J27" s="702">
        <f t="shared" si="2"/>
        <v>0</v>
      </c>
      <c r="K27" s="702">
        <f t="shared" si="2"/>
        <v>0</v>
      </c>
      <c r="L27" s="702">
        <f t="shared" si="2"/>
        <v>0</v>
      </c>
      <c r="M27" s="702">
        <f t="shared" si="2"/>
        <v>0</v>
      </c>
      <c r="N27" s="702">
        <f t="shared" si="2"/>
        <v>0</v>
      </c>
      <c r="O27" s="702">
        <f t="shared" si="2"/>
        <v>0</v>
      </c>
      <c r="P27" s="702">
        <f t="shared" si="2"/>
        <v>0</v>
      </c>
      <c r="Q27" s="702">
        <f t="shared" si="2"/>
        <v>0</v>
      </c>
      <c r="R27" s="702">
        <f t="shared" si="2"/>
        <v>0</v>
      </c>
      <c r="S27" s="702">
        <f t="shared" si="2"/>
        <v>0</v>
      </c>
      <c r="T27" s="703">
        <f>SUM(H27:S27)</f>
        <v>0</v>
      </c>
      <c r="U27" s="704"/>
      <c r="V27" s="704"/>
      <c r="W27" s="686"/>
      <c r="X27" s="686"/>
      <c r="Y27" s="686"/>
      <c r="Z27" s="686"/>
      <c r="AA27" s="686"/>
      <c r="AB27" s="686"/>
      <c r="AC27" s="686"/>
      <c r="AD27" s="686"/>
      <c r="AE27" s="708"/>
    </row>
    <row r="28" spans="1:35" ht="24.95" customHeight="1">
      <c r="A28" s="1113"/>
      <c r="B28" s="1116"/>
      <c r="C28" s="1117"/>
      <c r="D28" s="1062"/>
      <c r="E28" s="1062"/>
      <c r="F28" s="1062"/>
      <c r="G28" s="640" t="s">
        <v>303</v>
      </c>
      <c r="H28" s="709"/>
      <c r="I28" s="709"/>
      <c r="J28" s="709"/>
      <c r="K28" s="709"/>
      <c r="L28" s="709"/>
      <c r="M28" s="709"/>
      <c r="N28" s="709"/>
      <c r="O28" s="709"/>
      <c r="P28" s="709"/>
      <c r="Q28" s="709"/>
      <c r="R28" s="709"/>
      <c r="S28" s="709"/>
      <c r="T28" s="642">
        <f>COUNTA(H28:S28)</f>
        <v>0</v>
      </c>
      <c r="U28" s="643"/>
      <c r="V28" s="644"/>
      <c r="W28" s="686"/>
      <c r="X28" s="686"/>
      <c r="Y28" s="686"/>
      <c r="Z28" s="686"/>
      <c r="AA28" s="686"/>
      <c r="AB28" s="686"/>
      <c r="AC28" s="686"/>
      <c r="AD28" s="686"/>
      <c r="AE28" s="687"/>
    </row>
    <row r="29" spans="1:35" ht="24.95" customHeight="1">
      <c r="A29" s="1114"/>
      <c r="B29" s="1118"/>
      <c r="C29" s="1119"/>
      <c r="D29" s="1122"/>
      <c r="E29" s="1122"/>
      <c r="F29" s="1122"/>
      <c r="G29" s="688" t="s">
        <v>390</v>
      </c>
      <c r="H29" s="710"/>
      <c r="I29" s="710"/>
      <c r="J29" s="710"/>
      <c r="K29" s="710"/>
      <c r="L29" s="710"/>
      <c r="M29" s="710"/>
      <c r="N29" s="710"/>
      <c r="O29" s="710"/>
      <c r="P29" s="710"/>
      <c r="Q29" s="710"/>
      <c r="R29" s="710"/>
      <c r="S29" s="710"/>
      <c r="T29" s="690">
        <f>SUM(H29:S29)</f>
        <v>0</v>
      </c>
      <c r="U29" s="691"/>
      <c r="V29" s="692"/>
      <c r="W29" s="693"/>
      <c r="X29" s="693"/>
      <c r="Y29" s="693"/>
      <c r="Z29" s="693"/>
      <c r="AA29" s="693"/>
      <c r="AB29" s="693"/>
      <c r="AC29" s="693"/>
      <c r="AD29" s="693"/>
      <c r="AE29" s="687"/>
    </row>
    <row r="30" spans="1:35" ht="24.95" customHeight="1">
      <c r="A30" s="1114"/>
      <c r="B30" s="1118"/>
      <c r="C30" s="1119"/>
      <c r="D30" s="1122"/>
      <c r="E30" s="1122"/>
      <c r="F30" s="1122"/>
      <c r="G30" s="695" t="s">
        <v>391</v>
      </c>
      <c r="H30" s="711"/>
      <c r="I30" s="712"/>
      <c r="J30" s="711"/>
      <c r="K30" s="711"/>
      <c r="L30" s="711"/>
      <c r="M30" s="711"/>
      <c r="N30" s="711"/>
      <c r="O30" s="711"/>
      <c r="P30" s="711"/>
      <c r="Q30" s="711"/>
      <c r="R30" s="711"/>
      <c r="S30" s="711"/>
      <c r="T30" s="698">
        <f>SUM(H30:S30)</f>
        <v>0</v>
      </c>
      <c r="U30" s="699"/>
      <c r="V30" s="700"/>
      <c r="W30" s="693"/>
      <c r="X30" s="693"/>
      <c r="Y30" s="693"/>
      <c r="Z30" s="693"/>
      <c r="AA30" s="693"/>
      <c r="AB30" s="693"/>
      <c r="AC30" s="693"/>
      <c r="AD30" s="693"/>
      <c r="AE30" s="687"/>
    </row>
    <row r="31" spans="1:35" ht="24.95" customHeight="1" thickBot="1">
      <c r="A31" s="1115"/>
      <c r="B31" s="1120"/>
      <c r="C31" s="1121"/>
      <c r="D31" s="1063"/>
      <c r="E31" s="1063"/>
      <c r="F31" s="1063"/>
      <c r="G31" s="713" t="s">
        <v>302</v>
      </c>
      <c r="H31" s="702">
        <f t="shared" ref="H31:S31" si="3">IF(H29+H30&lt;4,H29+H30,4)</f>
        <v>0</v>
      </c>
      <c r="I31" s="702">
        <f t="shared" si="3"/>
        <v>0</v>
      </c>
      <c r="J31" s="702">
        <f t="shared" si="3"/>
        <v>0</v>
      </c>
      <c r="K31" s="702">
        <f t="shared" si="3"/>
        <v>0</v>
      </c>
      <c r="L31" s="702">
        <f t="shared" si="3"/>
        <v>0</v>
      </c>
      <c r="M31" s="702">
        <f t="shared" si="3"/>
        <v>0</v>
      </c>
      <c r="N31" s="702">
        <f t="shared" si="3"/>
        <v>0</v>
      </c>
      <c r="O31" s="702">
        <f t="shared" si="3"/>
        <v>0</v>
      </c>
      <c r="P31" s="714">
        <f t="shared" si="3"/>
        <v>0</v>
      </c>
      <c r="Q31" s="714">
        <f t="shared" si="3"/>
        <v>0</v>
      </c>
      <c r="R31" s="714">
        <f t="shared" si="3"/>
        <v>0</v>
      </c>
      <c r="S31" s="714">
        <f t="shared" si="3"/>
        <v>0</v>
      </c>
      <c r="T31" s="715">
        <f>SUM(H31:S31)</f>
        <v>0</v>
      </c>
      <c r="U31" s="716"/>
      <c r="V31" s="716"/>
      <c r="W31" s="717"/>
      <c r="X31" s="717"/>
      <c r="Y31" s="717"/>
      <c r="Z31" s="717"/>
      <c r="AA31" s="717"/>
      <c r="AB31" s="717"/>
      <c r="AC31" s="717"/>
      <c r="AD31" s="717"/>
      <c r="AE31" s="718"/>
    </row>
    <row r="32" spans="1:35" ht="20.100000000000001" customHeight="1">
      <c r="F32" s="663"/>
      <c r="G32" s="664"/>
      <c r="H32" s="665"/>
      <c r="I32" s="665"/>
      <c r="J32" s="665"/>
      <c r="K32" s="665"/>
      <c r="L32" s="665"/>
      <c r="M32" s="665"/>
      <c r="N32" s="665"/>
      <c r="O32" s="665"/>
      <c r="P32" s="1101" t="s">
        <v>302</v>
      </c>
      <c r="Q32" s="1102"/>
      <c r="R32" s="1050" t="s">
        <v>303</v>
      </c>
      <c r="S32" s="1050"/>
      <c r="T32" s="719">
        <f t="shared" ref="T32:AD34" si="4">T16+T20+T24+T28</f>
        <v>0</v>
      </c>
      <c r="U32" s="720">
        <f t="shared" si="4"/>
        <v>0</v>
      </c>
      <c r="V32" s="721">
        <f t="shared" si="4"/>
        <v>0</v>
      </c>
      <c r="W32" s="722" t="s">
        <v>304</v>
      </c>
      <c r="X32" s="668" t="s">
        <v>305</v>
      </c>
      <c r="Y32" s="723" t="s">
        <v>306</v>
      </c>
      <c r="Z32" s="668" t="s">
        <v>307</v>
      </c>
      <c r="AA32" s="723" t="s">
        <v>308</v>
      </c>
      <c r="AB32" s="668" t="s">
        <v>309</v>
      </c>
      <c r="AC32" s="723" t="s">
        <v>310</v>
      </c>
      <c r="AD32" s="669" t="s">
        <v>202</v>
      </c>
    </row>
    <row r="33" spans="1:37" ht="20.100000000000001" customHeight="1">
      <c r="B33" s="670"/>
      <c r="C33" s="670"/>
      <c r="D33" s="671"/>
      <c r="E33" s="671"/>
      <c r="F33" s="663"/>
      <c r="G33" s="664"/>
      <c r="H33" s="665"/>
      <c r="I33" s="665"/>
      <c r="J33" s="665"/>
      <c r="K33" s="665"/>
      <c r="L33" s="665"/>
      <c r="M33" s="665"/>
      <c r="N33" s="665"/>
      <c r="O33" s="665"/>
      <c r="P33" s="1103"/>
      <c r="Q33" s="1079"/>
      <c r="R33" s="1106" t="s">
        <v>311</v>
      </c>
      <c r="S33" s="1106"/>
      <c r="T33" s="724">
        <f t="shared" si="4"/>
        <v>0</v>
      </c>
      <c r="U33" s="725">
        <f t="shared" si="4"/>
        <v>0</v>
      </c>
      <c r="V33" s="726">
        <f t="shared" si="4"/>
        <v>0</v>
      </c>
      <c r="W33" s="727">
        <f t="shared" si="4"/>
        <v>0</v>
      </c>
      <c r="X33" s="727">
        <f t="shared" si="4"/>
        <v>0</v>
      </c>
      <c r="Y33" s="727">
        <f t="shared" si="4"/>
        <v>0</v>
      </c>
      <c r="Z33" s="727">
        <f t="shared" si="4"/>
        <v>0</v>
      </c>
      <c r="AA33" s="727">
        <f t="shared" si="4"/>
        <v>0</v>
      </c>
      <c r="AB33" s="727">
        <f t="shared" si="4"/>
        <v>0</v>
      </c>
      <c r="AC33" s="727">
        <f t="shared" si="4"/>
        <v>0</v>
      </c>
      <c r="AD33" s="728">
        <f t="shared" si="4"/>
        <v>0</v>
      </c>
      <c r="AH33" s="729" t="s">
        <v>323</v>
      </c>
      <c r="AI33" s="730">
        <f>T34</f>
        <v>0</v>
      </c>
      <c r="AJ33" s="730">
        <f>U34</f>
        <v>0</v>
      </c>
      <c r="AK33" s="730">
        <f>V34</f>
        <v>0</v>
      </c>
    </row>
    <row r="34" spans="1:37" ht="20.100000000000001" customHeight="1">
      <c r="B34" s="670"/>
      <c r="C34" s="670"/>
      <c r="D34" s="671"/>
      <c r="E34" s="671"/>
      <c r="F34" s="663"/>
      <c r="G34" s="664"/>
      <c r="H34" s="665"/>
      <c r="I34" s="665"/>
      <c r="J34" s="665"/>
      <c r="K34" s="665"/>
      <c r="L34" s="665"/>
      <c r="M34" s="665"/>
      <c r="N34" s="665"/>
      <c r="O34" s="665"/>
      <c r="P34" s="1103"/>
      <c r="Q34" s="1079"/>
      <c r="R34" s="1107" t="s">
        <v>392</v>
      </c>
      <c r="S34" s="1108"/>
      <c r="T34" s="1111">
        <f t="shared" si="4"/>
        <v>0</v>
      </c>
      <c r="U34" s="1098">
        <f t="shared" si="4"/>
        <v>0</v>
      </c>
      <c r="V34" s="1098">
        <f t="shared" si="4"/>
        <v>0</v>
      </c>
      <c r="W34" s="731" t="s">
        <v>205</v>
      </c>
      <c r="X34" s="732" t="s">
        <v>206</v>
      </c>
      <c r="Y34" s="731" t="s">
        <v>324</v>
      </c>
      <c r="Z34" s="732" t="s">
        <v>325</v>
      </c>
      <c r="AA34" s="731" t="s">
        <v>326</v>
      </c>
      <c r="AB34" s="732" t="s">
        <v>327</v>
      </c>
      <c r="AC34" s="731" t="s">
        <v>328</v>
      </c>
      <c r="AD34" s="733" t="s">
        <v>329</v>
      </c>
    </row>
    <row r="35" spans="1:37" ht="20.100000000000001" customHeight="1" thickBot="1">
      <c r="B35" s="670"/>
      <c r="C35" s="670"/>
      <c r="D35" s="671"/>
      <c r="E35" s="671"/>
      <c r="F35" s="663"/>
      <c r="G35" s="664"/>
      <c r="H35" s="665"/>
      <c r="I35" s="665"/>
      <c r="J35" s="665"/>
      <c r="K35" s="665"/>
      <c r="L35" s="665"/>
      <c r="M35" s="665"/>
      <c r="N35" s="665"/>
      <c r="O35" s="665"/>
      <c r="P35" s="1104"/>
      <c r="Q35" s="1105"/>
      <c r="R35" s="1109"/>
      <c r="S35" s="1110"/>
      <c r="T35" s="1112"/>
      <c r="U35" s="1099"/>
      <c r="V35" s="1099"/>
      <c r="W35" s="734">
        <f t="shared" ref="W35:AD35" si="5">W18+W22+W26+W30</f>
        <v>0</v>
      </c>
      <c r="X35" s="734">
        <f t="shared" si="5"/>
        <v>0</v>
      </c>
      <c r="Y35" s="734">
        <f t="shared" si="5"/>
        <v>0</v>
      </c>
      <c r="Z35" s="734">
        <f t="shared" si="5"/>
        <v>0</v>
      </c>
      <c r="AA35" s="734">
        <f t="shared" si="5"/>
        <v>0</v>
      </c>
      <c r="AB35" s="734">
        <f t="shared" si="5"/>
        <v>0</v>
      </c>
      <c r="AC35" s="734">
        <f t="shared" si="5"/>
        <v>0</v>
      </c>
      <c r="AD35" s="735">
        <f t="shared" si="5"/>
        <v>0</v>
      </c>
    </row>
    <row r="36" spans="1:37" ht="20.100000000000001" customHeight="1">
      <c r="B36" s="670"/>
      <c r="C36" s="670"/>
      <c r="D36" s="671"/>
      <c r="E36" s="671"/>
      <c r="F36" s="663"/>
      <c r="G36" s="664"/>
      <c r="H36" s="665"/>
      <c r="I36" s="665"/>
      <c r="J36" s="665"/>
      <c r="K36" s="665"/>
      <c r="L36" s="665"/>
      <c r="M36" s="665"/>
      <c r="N36" s="665"/>
      <c r="O36" s="665"/>
      <c r="P36" s="665"/>
      <c r="Q36" s="665"/>
      <c r="R36" s="664"/>
      <c r="S36" s="664"/>
      <c r="T36" s="665"/>
      <c r="U36" s="736"/>
      <c r="V36" s="736"/>
      <c r="W36" s="737"/>
      <c r="X36" s="737"/>
      <c r="Y36" s="737"/>
      <c r="Z36" s="737"/>
      <c r="AA36" s="737"/>
      <c r="AB36" s="737"/>
      <c r="AC36" s="737"/>
      <c r="AD36" s="737"/>
      <c r="AH36" s="729" t="s">
        <v>378</v>
      </c>
      <c r="AI36" s="729" t="s">
        <v>379</v>
      </c>
    </row>
    <row r="37" spans="1:37" ht="24.95" customHeight="1">
      <c r="B37" s="676"/>
      <c r="C37" s="676"/>
      <c r="D37" s="676"/>
      <c r="E37" s="676"/>
      <c r="F37" s="676"/>
      <c r="G37" s="671"/>
      <c r="T37" s="1097" t="s">
        <v>330</v>
      </c>
      <c r="U37" s="1097"/>
      <c r="V37" s="1097"/>
      <c r="W37" s="1097"/>
      <c r="X37" s="1097"/>
      <c r="Y37" s="1097"/>
      <c r="Z37" s="1097"/>
      <c r="AA37" s="1097"/>
      <c r="AB37" s="1097"/>
      <c r="AC37" s="1097"/>
      <c r="AD37" s="1097"/>
      <c r="AH37" s="730">
        <f>X38</f>
        <v>0</v>
      </c>
      <c r="AI37" s="730">
        <f>AB38</f>
        <v>0</v>
      </c>
    </row>
    <row r="38" spans="1:37" ht="24.95" customHeight="1">
      <c r="A38" s="1100" t="s">
        <v>393</v>
      </c>
      <c r="B38" s="1100"/>
      <c r="C38" s="1100"/>
      <c r="D38" s="1100"/>
      <c r="E38" s="1100"/>
      <c r="F38" s="1100"/>
      <c r="G38" s="1100"/>
      <c r="H38" s="1100"/>
      <c r="I38" s="1100"/>
      <c r="J38" s="1100"/>
      <c r="K38" s="1100"/>
      <c r="L38" s="1100"/>
      <c r="M38" s="1100"/>
      <c r="N38" s="1100"/>
      <c r="O38" s="1100"/>
      <c r="P38" s="1100"/>
      <c r="Q38" s="1100"/>
      <c r="T38" s="1053" t="s">
        <v>383</v>
      </c>
      <c r="U38" s="1054"/>
      <c r="V38" s="1055"/>
      <c r="W38" s="677" t="s">
        <v>198</v>
      </c>
      <c r="X38" s="1032">
        <f>Z33</f>
        <v>0</v>
      </c>
      <c r="Y38" s="1032"/>
      <c r="Z38" s="678" t="s">
        <v>315</v>
      </c>
      <c r="AA38" s="679" t="s">
        <v>316</v>
      </c>
      <c r="AB38" s="1032">
        <f>AD33</f>
        <v>0</v>
      </c>
      <c r="AC38" s="1032"/>
      <c r="AD38" s="678" t="s">
        <v>315</v>
      </c>
      <c r="AH38" s="729" t="s">
        <v>380</v>
      </c>
      <c r="AI38" s="729" t="s">
        <v>381</v>
      </c>
    </row>
    <row r="39" spans="1:37" ht="24.95" customHeight="1">
      <c r="A39" s="1100"/>
      <c r="B39" s="1100"/>
      <c r="C39" s="1100"/>
      <c r="D39" s="1100"/>
      <c r="E39" s="1100"/>
      <c r="F39" s="1100"/>
      <c r="G39" s="1100"/>
      <c r="H39" s="1100"/>
      <c r="I39" s="1100"/>
      <c r="J39" s="1100"/>
      <c r="K39" s="1100"/>
      <c r="L39" s="1100"/>
      <c r="M39" s="1100"/>
      <c r="N39" s="1100"/>
      <c r="O39" s="1100"/>
      <c r="P39" s="1100"/>
      <c r="Q39" s="1100"/>
      <c r="T39" s="1033" t="s">
        <v>384</v>
      </c>
      <c r="U39" s="1034"/>
      <c r="V39" s="1035"/>
      <c r="W39" s="1039" t="s">
        <v>221</v>
      </c>
      <c r="X39" s="1041" t="s">
        <v>318</v>
      </c>
      <c r="Y39" s="1041"/>
      <c r="Z39" s="1042"/>
      <c r="AA39" s="1043" t="s">
        <v>222</v>
      </c>
      <c r="AB39" s="1041" t="s">
        <v>319</v>
      </c>
      <c r="AC39" s="1041"/>
      <c r="AD39" s="1042"/>
      <c r="AH39" s="730">
        <f>X40</f>
        <v>0</v>
      </c>
      <c r="AI39" s="730">
        <f>AB40</f>
        <v>0</v>
      </c>
    </row>
    <row r="40" spans="1:37" ht="24.95" customHeight="1">
      <c r="A40" s="1100"/>
      <c r="B40" s="1100"/>
      <c r="C40" s="1100"/>
      <c r="D40" s="1100"/>
      <c r="E40" s="1100"/>
      <c r="F40" s="1100"/>
      <c r="G40" s="1100"/>
      <c r="H40" s="1100"/>
      <c r="I40" s="1100"/>
      <c r="J40" s="1100"/>
      <c r="K40" s="1100"/>
      <c r="L40" s="1100"/>
      <c r="M40" s="1100"/>
      <c r="N40" s="1100"/>
      <c r="O40" s="1100"/>
      <c r="P40" s="1100"/>
      <c r="Q40" s="1100"/>
      <c r="T40" s="1036"/>
      <c r="U40" s="1037"/>
      <c r="V40" s="1038"/>
      <c r="W40" s="1040"/>
      <c r="X40" s="1072">
        <f>W33+(X33*2)+(Y33*3)</f>
        <v>0</v>
      </c>
      <c r="Y40" s="1072"/>
      <c r="Z40" s="680" t="s">
        <v>320</v>
      </c>
      <c r="AA40" s="1044"/>
      <c r="AB40" s="1072">
        <f>AA33+(AB33*2)+(AC33*3)</f>
        <v>0</v>
      </c>
      <c r="AC40" s="1072"/>
      <c r="AD40" s="680" t="s">
        <v>320</v>
      </c>
    </row>
    <row r="41" spans="1:37" ht="24.95" customHeight="1">
      <c r="A41" s="1100"/>
      <c r="B41" s="1100"/>
      <c r="C41" s="1100"/>
      <c r="D41" s="1100"/>
      <c r="E41" s="1100"/>
      <c r="F41" s="1100"/>
      <c r="G41" s="1100"/>
      <c r="H41" s="1100"/>
      <c r="I41" s="1100"/>
      <c r="J41" s="1100"/>
      <c r="K41" s="1100"/>
      <c r="L41" s="1100"/>
      <c r="M41" s="1100"/>
      <c r="N41" s="1100"/>
      <c r="O41" s="1100"/>
      <c r="P41" s="1100"/>
      <c r="Q41" s="1100"/>
      <c r="R41" s="681"/>
      <c r="S41" s="681"/>
      <c r="T41" s="681"/>
      <c r="W41" s="681"/>
      <c r="X41" s="681"/>
      <c r="Y41" s="681"/>
      <c r="Z41" s="681"/>
      <c r="AA41" s="681"/>
      <c r="AB41" s="681"/>
      <c r="AC41" s="681"/>
      <c r="AD41" s="681"/>
      <c r="AE41" s="681"/>
    </row>
    <row r="42" spans="1:37" ht="24.95" customHeight="1">
      <c r="A42" s="1100"/>
      <c r="B42" s="1100"/>
      <c r="C42" s="1100"/>
      <c r="D42" s="1100"/>
      <c r="E42" s="1100"/>
      <c r="F42" s="1100"/>
      <c r="G42" s="1100"/>
      <c r="H42" s="1100"/>
      <c r="I42" s="1100"/>
      <c r="J42" s="1100"/>
      <c r="K42" s="1100"/>
      <c r="L42" s="1100"/>
      <c r="M42" s="1100"/>
      <c r="N42" s="1100"/>
      <c r="O42" s="1100"/>
      <c r="P42" s="1100"/>
      <c r="Q42" s="1100"/>
      <c r="T42" s="1097" t="s">
        <v>331</v>
      </c>
      <c r="U42" s="1097"/>
      <c r="V42" s="1097"/>
      <c r="W42" s="1097"/>
      <c r="X42" s="1097"/>
      <c r="Y42" s="1097"/>
      <c r="Z42" s="1097"/>
      <c r="AA42" s="1097"/>
      <c r="AB42" s="1097"/>
      <c r="AC42" s="1097"/>
      <c r="AD42" s="1097"/>
    </row>
    <row r="43" spans="1:37" ht="24.95" customHeight="1">
      <c r="D43" s="682"/>
      <c r="T43" s="1053" t="s">
        <v>383</v>
      </c>
      <c r="U43" s="1054"/>
      <c r="V43" s="1055"/>
      <c r="W43" s="677" t="s">
        <v>325</v>
      </c>
      <c r="X43" s="1032">
        <f>Z35</f>
        <v>0</v>
      </c>
      <c r="Y43" s="1032"/>
      <c r="Z43" s="678" t="s">
        <v>315</v>
      </c>
      <c r="AA43" s="679" t="s">
        <v>329</v>
      </c>
      <c r="AB43" s="1032">
        <f>AD35</f>
        <v>0</v>
      </c>
      <c r="AC43" s="1032"/>
      <c r="AD43" s="678" t="s">
        <v>315</v>
      </c>
      <c r="AH43" s="729" t="s">
        <v>394</v>
      </c>
      <c r="AI43" s="729" t="s">
        <v>395</v>
      </c>
    </row>
    <row r="44" spans="1:37" ht="24.95" customHeight="1">
      <c r="D44" s="682"/>
      <c r="T44" s="1033" t="s">
        <v>384</v>
      </c>
      <c r="U44" s="1034"/>
      <c r="V44" s="1035"/>
      <c r="W44" s="1039" t="s">
        <v>332</v>
      </c>
      <c r="X44" s="1041" t="s">
        <v>333</v>
      </c>
      <c r="Y44" s="1041"/>
      <c r="Z44" s="1042"/>
      <c r="AA44" s="1043" t="s">
        <v>334</v>
      </c>
      <c r="AB44" s="1041" t="s">
        <v>335</v>
      </c>
      <c r="AC44" s="1041"/>
      <c r="AD44" s="1042"/>
      <c r="AH44" s="730">
        <f>X43</f>
        <v>0</v>
      </c>
      <c r="AI44" s="730">
        <f>AB43</f>
        <v>0</v>
      </c>
    </row>
    <row r="45" spans="1:37" ht="24.95" customHeight="1">
      <c r="T45" s="1036"/>
      <c r="U45" s="1037"/>
      <c r="V45" s="1038"/>
      <c r="W45" s="1040"/>
      <c r="X45" s="1072">
        <f>W35+(X35*2)+(Y35*3)</f>
        <v>0</v>
      </c>
      <c r="Y45" s="1072"/>
      <c r="Z45" s="680" t="s">
        <v>320</v>
      </c>
      <c r="AA45" s="1044"/>
      <c r="AB45" s="1072">
        <f>AA35+(AB35*2)+(AC35*3)</f>
        <v>0</v>
      </c>
      <c r="AC45" s="1072"/>
      <c r="AD45" s="680" t="s">
        <v>320</v>
      </c>
      <c r="AH45" s="729" t="s">
        <v>396</v>
      </c>
      <c r="AI45" s="729" t="s">
        <v>397</v>
      </c>
    </row>
    <row r="46" spans="1:37" ht="15" customHeight="1">
      <c r="AH46" s="730">
        <f>X45</f>
        <v>0</v>
      </c>
      <c r="AI46" s="730">
        <f>AB45</f>
        <v>0</v>
      </c>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row r="65" s="614" customFormat="1" ht="12"/>
    <row r="66" s="614" customFormat="1" ht="12"/>
    <row r="67" s="614" customFormat="1" ht="12"/>
    <row r="68" s="614" customFormat="1" ht="12"/>
    <row r="69" s="614" customFormat="1" ht="12"/>
    <row r="70" s="614" customFormat="1" ht="12"/>
    <row r="71" s="614" customFormat="1" ht="12"/>
    <row r="72" s="614" customFormat="1" ht="12"/>
    <row r="73" s="614" customFormat="1" ht="12"/>
    <row r="74" s="614" customFormat="1" ht="12"/>
    <row r="75" s="614" customFormat="1" ht="12"/>
    <row r="76" s="614" customFormat="1" ht="12"/>
    <row r="77" s="614" customFormat="1" ht="12"/>
    <row r="78" s="614" customFormat="1" ht="12"/>
    <row r="79" s="614" customFormat="1" ht="12"/>
    <row r="80" s="614" customFormat="1" ht="12"/>
    <row r="81" s="614" customFormat="1" ht="12"/>
    <row r="82" s="614" customFormat="1" ht="12"/>
    <row r="83" s="614" customFormat="1" ht="12"/>
    <row r="84" s="614" customFormat="1" ht="12"/>
    <row r="85" s="614" customFormat="1" ht="12"/>
    <row r="86" s="614" customFormat="1" ht="12"/>
    <row r="87" s="614" customFormat="1" ht="12"/>
    <row r="88" s="614" customFormat="1" ht="12"/>
    <row r="89" s="614" customFormat="1" ht="12"/>
    <row r="90" s="614" customFormat="1" ht="12"/>
    <row r="91" s="614" customFormat="1" ht="12"/>
    <row r="94" s="614" customFormat="1" ht="12"/>
    <row r="95" s="614" customFormat="1" ht="12"/>
  </sheetData>
  <mergeCells count="73">
    <mergeCell ref="A1:B1"/>
    <mergeCell ref="B3:AE3"/>
    <mergeCell ref="A5:B5"/>
    <mergeCell ref="B8:E8"/>
    <mergeCell ref="I8:J8"/>
    <mergeCell ref="K8:L8"/>
    <mergeCell ref="A13:A15"/>
    <mergeCell ref="B13:C15"/>
    <mergeCell ref="D13:D15"/>
    <mergeCell ref="E13:E15"/>
    <mergeCell ref="F13:F15"/>
    <mergeCell ref="B9:G9"/>
    <mergeCell ref="I9:J9"/>
    <mergeCell ref="K9:L9"/>
    <mergeCell ref="D11:G11"/>
    <mergeCell ref="W12:AE12"/>
    <mergeCell ref="G13:G15"/>
    <mergeCell ref="H13:T14"/>
    <mergeCell ref="U13:V14"/>
    <mergeCell ref="W13:AD13"/>
    <mergeCell ref="AE13:AE15"/>
    <mergeCell ref="W14:Z14"/>
    <mergeCell ref="AA14:AD14"/>
    <mergeCell ref="A20:A23"/>
    <mergeCell ref="B20:C23"/>
    <mergeCell ref="D20:D23"/>
    <mergeCell ref="E20:E23"/>
    <mergeCell ref="F20:F23"/>
    <mergeCell ref="A16:A19"/>
    <mergeCell ref="B16:C19"/>
    <mergeCell ref="D16:D19"/>
    <mergeCell ref="E16:E19"/>
    <mergeCell ref="F16:F19"/>
    <mergeCell ref="A28:A31"/>
    <mergeCell ref="B28:C31"/>
    <mergeCell ref="D28:D31"/>
    <mergeCell ref="E28:E31"/>
    <mergeCell ref="F28:F31"/>
    <mergeCell ref="A24:A27"/>
    <mergeCell ref="B24:C27"/>
    <mergeCell ref="D24:D27"/>
    <mergeCell ref="E24:E27"/>
    <mergeCell ref="F24:F27"/>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4"/>
  <conditionalFormatting sqref="A16:B16">
    <cfRule type="containsBlanks" dxfId="125" priority="19" stopIfTrue="1">
      <formula>LEN(TRIM(A16))=0</formula>
    </cfRule>
  </conditionalFormatting>
  <conditionalFormatting sqref="A20:B20">
    <cfRule type="containsBlanks" dxfId="124" priority="13" stopIfTrue="1">
      <formula>LEN(TRIM(A20))=0</formula>
    </cfRule>
  </conditionalFormatting>
  <conditionalFormatting sqref="A24:B24">
    <cfRule type="containsBlanks" dxfId="123" priority="12" stopIfTrue="1">
      <formula>LEN(TRIM(A24))=0</formula>
    </cfRule>
  </conditionalFormatting>
  <conditionalFormatting sqref="A28:B28">
    <cfRule type="containsBlanks" dxfId="122" priority="11" stopIfTrue="1">
      <formula>LEN(TRIM(A28))=0</formula>
    </cfRule>
  </conditionalFormatting>
  <conditionalFormatting sqref="B7:B8 F8:G8">
    <cfRule type="containsBlanks" dxfId="121" priority="1" stopIfTrue="1">
      <formula>LEN(TRIM(B7))=0</formula>
    </cfRule>
  </conditionalFormatting>
  <conditionalFormatting sqref="B10:B11 D10:D11">
    <cfRule type="containsBlanks" dxfId="120" priority="15" stopIfTrue="1">
      <formula>LEN(TRIM(B10))=0</formula>
    </cfRule>
  </conditionalFormatting>
  <conditionalFormatting sqref="B9:G9 F10">
    <cfRule type="containsBlanks" dxfId="119" priority="20" stopIfTrue="1">
      <formula>LEN(TRIM(B9))=0</formula>
    </cfRule>
  </conditionalFormatting>
  <conditionalFormatting sqref="D16:F31">
    <cfRule type="containsBlanks" dxfId="118" priority="16" stopIfTrue="1">
      <formula>LEN(TRIM(D16))=0</formula>
    </cfRule>
  </conditionalFormatting>
  <conditionalFormatting sqref="H16:S18">
    <cfRule type="containsBlanks" dxfId="117" priority="10">
      <formula>LEN(TRIM(H16))=0</formula>
    </cfRule>
  </conditionalFormatting>
  <conditionalFormatting sqref="H20:S22">
    <cfRule type="containsBlanks" dxfId="116" priority="9">
      <formula>LEN(TRIM(H20))=0</formula>
    </cfRule>
  </conditionalFormatting>
  <conditionalFormatting sqref="H24:S26">
    <cfRule type="containsBlanks" dxfId="115" priority="8">
      <formula>LEN(TRIM(H24))=0</formula>
    </cfRule>
  </conditionalFormatting>
  <conditionalFormatting sqref="K8:L9">
    <cfRule type="expression" dxfId="114" priority="2">
      <formula>IF($AI$17="入力不可",TRUE,FALSE)</formula>
    </cfRule>
  </conditionalFormatting>
  <conditionalFormatting sqref="U16:V18">
    <cfRule type="containsBlanks" dxfId="113" priority="7">
      <formula>LEN(TRIM(U16))=0</formula>
    </cfRule>
  </conditionalFormatting>
  <conditionalFormatting sqref="U20:V22">
    <cfRule type="containsBlanks" dxfId="112" priority="6">
      <formula>LEN(TRIM(U20))=0</formula>
    </cfRule>
  </conditionalFormatting>
  <conditionalFormatting sqref="U24:V26">
    <cfRule type="containsBlanks" dxfId="111" priority="5">
      <formula>LEN(TRIM(U24))=0</formula>
    </cfRule>
  </conditionalFormatting>
  <conditionalFormatting sqref="U28:V30">
    <cfRule type="containsBlanks" dxfId="110" priority="4">
      <formula>LEN(TRIM(U28))=0</formula>
    </cfRule>
  </conditionalFormatting>
  <conditionalFormatting sqref="W17:AD18 W21:AD22 W25:AD26 W29:AD30">
    <cfRule type="containsBlanks" dxfId="109" priority="3">
      <formula>LEN(TRIM(W17))=0</formula>
    </cfRule>
  </conditionalFormatting>
  <dataValidations count="7">
    <dataValidation type="list" allowBlank="1" showInputMessage="1" showErrorMessage="1" sqref="G8" xr:uid="{AB28750C-4578-42B1-BA0E-667500BDA1AC}">
      <formula1>"第１種,第２種,第３種,第４種,第５種"</formula1>
    </dataValidation>
    <dataValidation type="list" allowBlank="1" showInputMessage="1" showErrorMessage="1" errorTitle="！入力不要！" error="地域種別が第３種、第４種及び第５種に該当する場合は入力不要です。" sqref="F16:F19" xr:uid="{BDD2C509-18B1-4CD1-9C70-BDA54F212266}">
      <formula1>"第1種,第2種,第3種,第4種,第5種"</formula1>
    </dataValidation>
    <dataValidation type="custom" allowBlank="1" showInputMessage="1" showErrorMessage="1" sqref="K8:L9" xr:uid="{2146FC0F-75CC-4F4A-B8A7-A2AB6DF0EA79}">
      <formula1>IF($AI$17="入力不可",FALSE,TRUE)</formula1>
    </dataValidation>
    <dataValidation type="list" allowBlank="1" showInputMessage="1" showErrorMessage="1" sqref="F20:F31" xr:uid="{DC2D2B0F-A535-49FA-8333-76B1C93FD266}">
      <formula1>"第1種,第2種,第3種,第4種,第5種"</formula1>
    </dataValidation>
    <dataValidation type="list" allowBlank="1" showInputMessage="1" sqref="H16:S16 H20:S20 H24:S24 H28:S28" xr:uid="{78525A68-6488-403B-ABC6-3C970D16D980}">
      <formula1>"→,内,救,地,外,小,産,麻,精,選"</formula1>
    </dataValidation>
    <dataValidation allowBlank="1" showErrorMessage="1" sqref="A16:A31" xr:uid="{7E5A74FB-9D1A-44CE-B7F9-3C666759417D}"/>
    <dataValidation allowBlank="1" showInputMessage="1" showErrorMessage="1" prompt="宿日直と_x000a_オンコールを合わせ_x000a_４回まで" sqref="H19:S19 H23:S23 H27:S27 H31:S31" xr:uid="{660252B6-E79C-4824-BC8F-402938437C02}"/>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tabColor rgb="FF00B0F0"/>
    <pageSetUpPr fitToPage="1"/>
  </sheetPr>
  <dimension ref="A1:G37"/>
  <sheetViews>
    <sheetView showZeros="0" view="pageBreakPreview" zoomScale="90" zoomScaleNormal="100" zoomScaleSheetLayoutView="90" workbookViewId="0">
      <selection sqref="A1:D1"/>
    </sheetView>
  </sheetViews>
  <sheetFormatPr defaultRowHeight="15" customHeight="1"/>
  <cols>
    <col min="1" max="1" width="28.25" style="132" customWidth="1"/>
    <col min="2" max="2" width="14.625" style="131" customWidth="1"/>
    <col min="3" max="3" width="9.375" style="131" bestFit="1" customWidth="1"/>
    <col min="4" max="4" width="3.625" style="132" customWidth="1"/>
    <col min="5" max="5" width="9.375" style="131" customWidth="1"/>
    <col min="6" max="6" width="10.875" style="131" customWidth="1"/>
    <col min="7" max="7" width="22.625" style="132" customWidth="1"/>
    <col min="8" max="256" width="9" style="132"/>
    <col min="257" max="257" width="25.625" style="132" customWidth="1"/>
    <col min="258" max="258" width="12.625" style="132" customWidth="1"/>
    <col min="259" max="259" width="9.375" style="132" bestFit="1" customWidth="1"/>
    <col min="260" max="260" width="3.625" style="132" customWidth="1"/>
    <col min="261" max="261" width="9.375" style="132" customWidth="1"/>
    <col min="262" max="262" width="6.375" style="132" customWidth="1"/>
    <col min="263" max="263" width="22.625" style="132" customWidth="1"/>
    <col min="264" max="512" width="9" style="132"/>
    <col min="513" max="513" width="25.625" style="132" customWidth="1"/>
    <col min="514" max="514" width="12.625" style="132" customWidth="1"/>
    <col min="515" max="515" width="9.375" style="132" bestFit="1" customWidth="1"/>
    <col min="516" max="516" width="3.625" style="132" customWidth="1"/>
    <col min="517" max="517" width="9.375" style="132" customWidth="1"/>
    <col min="518" max="518" width="6.375" style="132" customWidth="1"/>
    <col min="519" max="519" width="22.625" style="132" customWidth="1"/>
    <col min="520" max="768" width="9" style="132"/>
    <col min="769" max="769" width="25.625" style="132" customWidth="1"/>
    <col min="770" max="770" width="12.625" style="132" customWidth="1"/>
    <col min="771" max="771" width="9.375" style="132" bestFit="1" customWidth="1"/>
    <col min="772" max="772" width="3.625" style="132" customWidth="1"/>
    <col min="773" max="773" width="9.375" style="132" customWidth="1"/>
    <col min="774" max="774" width="6.375" style="132" customWidth="1"/>
    <col min="775" max="775" width="22.625" style="132" customWidth="1"/>
    <col min="776" max="1024" width="9" style="132"/>
    <col min="1025" max="1025" width="25.625" style="132" customWidth="1"/>
    <col min="1026" max="1026" width="12.625" style="132" customWidth="1"/>
    <col min="1027" max="1027" width="9.375" style="132" bestFit="1" customWidth="1"/>
    <col min="1028" max="1028" width="3.625" style="132" customWidth="1"/>
    <col min="1029" max="1029" width="9.375" style="132" customWidth="1"/>
    <col min="1030" max="1030" width="6.375" style="132" customWidth="1"/>
    <col min="1031" max="1031" width="22.625" style="132" customWidth="1"/>
    <col min="1032" max="1280" width="9" style="132"/>
    <col min="1281" max="1281" width="25.625" style="132" customWidth="1"/>
    <col min="1282" max="1282" width="12.625" style="132" customWidth="1"/>
    <col min="1283" max="1283" width="9.375" style="132" bestFit="1" customWidth="1"/>
    <col min="1284" max="1284" width="3.625" style="132" customWidth="1"/>
    <col min="1285" max="1285" width="9.375" style="132" customWidth="1"/>
    <col min="1286" max="1286" width="6.375" style="132" customWidth="1"/>
    <col min="1287" max="1287" width="22.625" style="132" customWidth="1"/>
    <col min="1288" max="1536" width="9" style="132"/>
    <col min="1537" max="1537" width="25.625" style="132" customWidth="1"/>
    <col min="1538" max="1538" width="12.625" style="132" customWidth="1"/>
    <col min="1539" max="1539" width="9.375" style="132" bestFit="1" customWidth="1"/>
    <col min="1540" max="1540" width="3.625" style="132" customWidth="1"/>
    <col min="1541" max="1541" width="9.375" style="132" customWidth="1"/>
    <col min="1542" max="1542" width="6.375" style="132" customWidth="1"/>
    <col min="1543" max="1543" width="22.625" style="132" customWidth="1"/>
    <col min="1544" max="1792" width="9" style="132"/>
    <col min="1793" max="1793" width="25.625" style="132" customWidth="1"/>
    <col min="1794" max="1794" width="12.625" style="132" customWidth="1"/>
    <col min="1795" max="1795" width="9.375" style="132" bestFit="1" customWidth="1"/>
    <col min="1796" max="1796" width="3.625" style="132" customWidth="1"/>
    <col min="1797" max="1797" width="9.375" style="132" customWidth="1"/>
    <col min="1798" max="1798" width="6.375" style="132" customWidth="1"/>
    <col min="1799" max="1799" width="22.625" style="132" customWidth="1"/>
    <col min="1800" max="2048" width="9" style="132"/>
    <col min="2049" max="2049" width="25.625" style="132" customWidth="1"/>
    <col min="2050" max="2050" width="12.625" style="132" customWidth="1"/>
    <col min="2051" max="2051" width="9.375" style="132" bestFit="1" customWidth="1"/>
    <col min="2052" max="2052" width="3.625" style="132" customWidth="1"/>
    <col min="2053" max="2053" width="9.375" style="132" customWidth="1"/>
    <col min="2054" max="2054" width="6.375" style="132" customWidth="1"/>
    <col min="2055" max="2055" width="22.625" style="132" customWidth="1"/>
    <col min="2056" max="2304" width="9" style="132"/>
    <col min="2305" max="2305" width="25.625" style="132" customWidth="1"/>
    <col min="2306" max="2306" width="12.625" style="132" customWidth="1"/>
    <col min="2307" max="2307" width="9.375" style="132" bestFit="1" customWidth="1"/>
    <col min="2308" max="2308" width="3.625" style="132" customWidth="1"/>
    <col min="2309" max="2309" width="9.375" style="132" customWidth="1"/>
    <col min="2310" max="2310" width="6.375" style="132" customWidth="1"/>
    <col min="2311" max="2311" width="22.625" style="132" customWidth="1"/>
    <col min="2312" max="2560" width="9" style="132"/>
    <col min="2561" max="2561" width="25.625" style="132" customWidth="1"/>
    <col min="2562" max="2562" width="12.625" style="132" customWidth="1"/>
    <col min="2563" max="2563" width="9.375" style="132" bestFit="1" customWidth="1"/>
    <col min="2564" max="2564" width="3.625" style="132" customWidth="1"/>
    <col min="2565" max="2565" width="9.375" style="132" customWidth="1"/>
    <col min="2566" max="2566" width="6.375" style="132" customWidth="1"/>
    <col min="2567" max="2567" width="22.625" style="132" customWidth="1"/>
    <col min="2568" max="2816" width="9" style="132"/>
    <col min="2817" max="2817" width="25.625" style="132" customWidth="1"/>
    <col min="2818" max="2818" width="12.625" style="132" customWidth="1"/>
    <col min="2819" max="2819" width="9.375" style="132" bestFit="1" customWidth="1"/>
    <col min="2820" max="2820" width="3.625" style="132" customWidth="1"/>
    <col min="2821" max="2821" width="9.375" style="132" customWidth="1"/>
    <col min="2822" max="2822" width="6.375" style="132" customWidth="1"/>
    <col min="2823" max="2823" width="22.625" style="132" customWidth="1"/>
    <col min="2824" max="3072" width="9" style="132"/>
    <col min="3073" max="3073" width="25.625" style="132" customWidth="1"/>
    <col min="3074" max="3074" width="12.625" style="132" customWidth="1"/>
    <col min="3075" max="3075" width="9.375" style="132" bestFit="1" customWidth="1"/>
    <col min="3076" max="3076" width="3.625" style="132" customWidth="1"/>
    <col min="3077" max="3077" width="9.375" style="132" customWidth="1"/>
    <col min="3078" max="3078" width="6.375" style="132" customWidth="1"/>
    <col min="3079" max="3079" width="22.625" style="132" customWidth="1"/>
    <col min="3080" max="3328" width="9" style="132"/>
    <col min="3329" max="3329" width="25.625" style="132" customWidth="1"/>
    <col min="3330" max="3330" width="12.625" style="132" customWidth="1"/>
    <col min="3331" max="3331" width="9.375" style="132" bestFit="1" customWidth="1"/>
    <col min="3332" max="3332" width="3.625" style="132" customWidth="1"/>
    <col min="3333" max="3333" width="9.375" style="132" customWidth="1"/>
    <col min="3334" max="3334" width="6.375" style="132" customWidth="1"/>
    <col min="3335" max="3335" width="22.625" style="132" customWidth="1"/>
    <col min="3336" max="3584" width="9" style="132"/>
    <col min="3585" max="3585" width="25.625" style="132" customWidth="1"/>
    <col min="3586" max="3586" width="12.625" style="132" customWidth="1"/>
    <col min="3587" max="3587" width="9.375" style="132" bestFit="1" customWidth="1"/>
    <col min="3588" max="3588" width="3.625" style="132" customWidth="1"/>
    <col min="3589" max="3589" width="9.375" style="132" customWidth="1"/>
    <col min="3590" max="3590" width="6.375" style="132" customWidth="1"/>
    <col min="3591" max="3591" width="22.625" style="132" customWidth="1"/>
    <col min="3592" max="3840" width="9" style="132"/>
    <col min="3841" max="3841" width="25.625" style="132" customWidth="1"/>
    <col min="3842" max="3842" width="12.625" style="132" customWidth="1"/>
    <col min="3843" max="3843" width="9.375" style="132" bestFit="1" customWidth="1"/>
    <col min="3844" max="3844" width="3.625" style="132" customWidth="1"/>
    <col min="3845" max="3845" width="9.375" style="132" customWidth="1"/>
    <col min="3846" max="3846" width="6.375" style="132" customWidth="1"/>
    <col min="3847" max="3847" width="22.625" style="132" customWidth="1"/>
    <col min="3848" max="4096" width="9" style="132"/>
    <col min="4097" max="4097" width="25.625" style="132" customWidth="1"/>
    <col min="4098" max="4098" width="12.625" style="132" customWidth="1"/>
    <col min="4099" max="4099" width="9.375" style="132" bestFit="1" customWidth="1"/>
    <col min="4100" max="4100" width="3.625" style="132" customWidth="1"/>
    <col min="4101" max="4101" width="9.375" style="132" customWidth="1"/>
    <col min="4102" max="4102" width="6.375" style="132" customWidth="1"/>
    <col min="4103" max="4103" width="22.625" style="132" customWidth="1"/>
    <col min="4104" max="4352" width="9" style="132"/>
    <col min="4353" max="4353" width="25.625" style="132" customWidth="1"/>
    <col min="4354" max="4354" width="12.625" style="132" customWidth="1"/>
    <col min="4355" max="4355" width="9.375" style="132" bestFit="1" customWidth="1"/>
    <col min="4356" max="4356" width="3.625" style="132" customWidth="1"/>
    <col min="4357" max="4357" width="9.375" style="132" customWidth="1"/>
    <col min="4358" max="4358" width="6.375" style="132" customWidth="1"/>
    <col min="4359" max="4359" width="22.625" style="132" customWidth="1"/>
    <col min="4360" max="4608" width="9" style="132"/>
    <col min="4609" max="4609" width="25.625" style="132" customWidth="1"/>
    <col min="4610" max="4610" width="12.625" style="132" customWidth="1"/>
    <col min="4611" max="4611" width="9.375" style="132" bestFit="1" customWidth="1"/>
    <col min="4612" max="4612" width="3.625" style="132" customWidth="1"/>
    <col min="4613" max="4613" width="9.375" style="132" customWidth="1"/>
    <col min="4614" max="4614" width="6.375" style="132" customWidth="1"/>
    <col min="4615" max="4615" width="22.625" style="132" customWidth="1"/>
    <col min="4616" max="4864" width="9" style="132"/>
    <col min="4865" max="4865" width="25.625" style="132" customWidth="1"/>
    <col min="4866" max="4866" width="12.625" style="132" customWidth="1"/>
    <col min="4867" max="4867" width="9.375" style="132" bestFit="1" customWidth="1"/>
    <col min="4868" max="4868" width="3.625" style="132" customWidth="1"/>
    <col min="4869" max="4869" width="9.375" style="132" customWidth="1"/>
    <col min="4870" max="4870" width="6.375" style="132" customWidth="1"/>
    <col min="4871" max="4871" width="22.625" style="132" customWidth="1"/>
    <col min="4872" max="5120" width="9" style="132"/>
    <col min="5121" max="5121" width="25.625" style="132" customWidth="1"/>
    <col min="5122" max="5122" width="12.625" style="132" customWidth="1"/>
    <col min="5123" max="5123" width="9.375" style="132" bestFit="1" customWidth="1"/>
    <col min="5124" max="5124" width="3.625" style="132" customWidth="1"/>
    <col min="5125" max="5125" width="9.375" style="132" customWidth="1"/>
    <col min="5126" max="5126" width="6.375" style="132" customWidth="1"/>
    <col min="5127" max="5127" width="22.625" style="132" customWidth="1"/>
    <col min="5128" max="5376" width="9" style="132"/>
    <col min="5377" max="5377" width="25.625" style="132" customWidth="1"/>
    <col min="5378" max="5378" width="12.625" style="132" customWidth="1"/>
    <col min="5379" max="5379" width="9.375" style="132" bestFit="1" customWidth="1"/>
    <col min="5380" max="5380" width="3.625" style="132" customWidth="1"/>
    <col min="5381" max="5381" width="9.375" style="132" customWidth="1"/>
    <col min="5382" max="5382" width="6.375" style="132" customWidth="1"/>
    <col min="5383" max="5383" width="22.625" style="132" customWidth="1"/>
    <col min="5384" max="5632" width="9" style="132"/>
    <col min="5633" max="5633" width="25.625" style="132" customWidth="1"/>
    <col min="5634" max="5634" width="12.625" style="132" customWidth="1"/>
    <col min="5635" max="5635" width="9.375" style="132" bestFit="1" customWidth="1"/>
    <col min="5636" max="5636" width="3.625" style="132" customWidth="1"/>
    <col min="5637" max="5637" width="9.375" style="132" customWidth="1"/>
    <col min="5638" max="5638" width="6.375" style="132" customWidth="1"/>
    <col min="5639" max="5639" width="22.625" style="132" customWidth="1"/>
    <col min="5640" max="5888" width="9" style="132"/>
    <col min="5889" max="5889" width="25.625" style="132" customWidth="1"/>
    <col min="5890" max="5890" width="12.625" style="132" customWidth="1"/>
    <col min="5891" max="5891" width="9.375" style="132" bestFit="1" customWidth="1"/>
    <col min="5892" max="5892" width="3.625" style="132" customWidth="1"/>
    <col min="5893" max="5893" width="9.375" style="132" customWidth="1"/>
    <col min="5894" max="5894" width="6.375" style="132" customWidth="1"/>
    <col min="5895" max="5895" width="22.625" style="132" customWidth="1"/>
    <col min="5896" max="6144" width="9" style="132"/>
    <col min="6145" max="6145" width="25.625" style="132" customWidth="1"/>
    <col min="6146" max="6146" width="12.625" style="132" customWidth="1"/>
    <col min="6147" max="6147" width="9.375" style="132" bestFit="1" customWidth="1"/>
    <col min="6148" max="6148" width="3.625" style="132" customWidth="1"/>
    <col min="6149" max="6149" width="9.375" style="132" customWidth="1"/>
    <col min="6150" max="6150" width="6.375" style="132" customWidth="1"/>
    <col min="6151" max="6151" width="22.625" style="132" customWidth="1"/>
    <col min="6152" max="6400" width="9" style="132"/>
    <col min="6401" max="6401" width="25.625" style="132" customWidth="1"/>
    <col min="6402" max="6402" width="12.625" style="132" customWidth="1"/>
    <col min="6403" max="6403" width="9.375" style="132" bestFit="1" customWidth="1"/>
    <col min="6404" max="6404" width="3.625" style="132" customWidth="1"/>
    <col min="6405" max="6405" width="9.375" style="132" customWidth="1"/>
    <col min="6406" max="6406" width="6.375" style="132" customWidth="1"/>
    <col min="6407" max="6407" width="22.625" style="132" customWidth="1"/>
    <col min="6408" max="6656" width="9" style="132"/>
    <col min="6657" max="6657" width="25.625" style="132" customWidth="1"/>
    <col min="6658" max="6658" width="12.625" style="132" customWidth="1"/>
    <col min="6659" max="6659" width="9.375" style="132" bestFit="1" customWidth="1"/>
    <col min="6660" max="6660" width="3.625" style="132" customWidth="1"/>
    <col min="6661" max="6661" width="9.375" style="132" customWidth="1"/>
    <col min="6662" max="6662" width="6.375" style="132" customWidth="1"/>
    <col min="6663" max="6663" width="22.625" style="132" customWidth="1"/>
    <col min="6664" max="6912" width="9" style="132"/>
    <col min="6913" max="6913" width="25.625" style="132" customWidth="1"/>
    <col min="6914" max="6914" width="12.625" style="132" customWidth="1"/>
    <col min="6915" max="6915" width="9.375" style="132" bestFit="1" customWidth="1"/>
    <col min="6916" max="6916" width="3.625" style="132" customWidth="1"/>
    <col min="6917" max="6917" width="9.375" style="132" customWidth="1"/>
    <col min="6918" max="6918" width="6.375" style="132" customWidth="1"/>
    <col min="6919" max="6919" width="22.625" style="132" customWidth="1"/>
    <col min="6920" max="7168" width="9" style="132"/>
    <col min="7169" max="7169" width="25.625" style="132" customWidth="1"/>
    <col min="7170" max="7170" width="12.625" style="132" customWidth="1"/>
    <col min="7171" max="7171" width="9.375" style="132" bestFit="1" customWidth="1"/>
    <col min="7172" max="7172" width="3.625" style="132" customWidth="1"/>
    <col min="7173" max="7173" width="9.375" style="132" customWidth="1"/>
    <col min="7174" max="7174" width="6.375" style="132" customWidth="1"/>
    <col min="7175" max="7175" width="22.625" style="132" customWidth="1"/>
    <col min="7176" max="7424" width="9" style="132"/>
    <col min="7425" max="7425" width="25.625" style="132" customWidth="1"/>
    <col min="7426" max="7426" width="12.625" style="132" customWidth="1"/>
    <col min="7427" max="7427" width="9.375" style="132" bestFit="1" customWidth="1"/>
    <col min="7428" max="7428" width="3.625" style="132" customWidth="1"/>
    <col min="7429" max="7429" width="9.375" style="132" customWidth="1"/>
    <col min="7430" max="7430" width="6.375" style="132" customWidth="1"/>
    <col min="7431" max="7431" width="22.625" style="132" customWidth="1"/>
    <col min="7432" max="7680" width="9" style="132"/>
    <col min="7681" max="7681" width="25.625" style="132" customWidth="1"/>
    <col min="7682" max="7682" width="12.625" style="132" customWidth="1"/>
    <col min="7683" max="7683" width="9.375" style="132" bestFit="1" customWidth="1"/>
    <col min="7684" max="7684" width="3.625" style="132" customWidth="1"/>
    <col min="7685" max="7685" width="9.375" style="132" customWidth="1"/>
    <col min="7686" max="7686" width="6.375" style="132" customWidth="1"/>
    <col min="7687" max="7687" width="22.625" style="132" customWidth="1"/>
    <col min="7688" max="7936" width="9" style="132"/>
    <col min="7937" max="7937" width="25.625" style="132" customWidth="1"/>
    <col min="7938" max="7938" width="12.625" style="132" customWidth="1"/>
    <col min="7939" max="7939" width="9.375" style="132" bestFit="1" customWidth="1"/>
    <col min="7940" max="7940" width="3.625" style="132" customWidth="1"/>
    <col min="7941" max="7941" width="9.375" style="132" customWidth="1"/>
    <col min="7942" max="7942" width="6.375" style="132" customWidth="1"/>
    <col min="7943" max="7943" width="22.625" style="132" customWidth="1"/>
    <col min="7944" max="8192" width="9" style="132"/>
    <col min="8193" max="8193" width="25.625" style="132" customWidth="1"/>
    <col min="8194" max="8194" width="12.625" style="132" customWidth="1"/>
    <col min="8195" max="8195" width="9.375" style="132" bestFit="1" customWidth="1"/>
    <col min="8196" max="8196" width="3.625" style="132" customWidth="1"/>
    <col min="8197" max="8197" width="9.375" style="132" customWidth="1"/>
    <col min="8198" max="8198" width="6.375" style="132" customWidth="1"/>
    <col min="8199" max="8199" width="22.625" style="132" customWidth="1"/>
    <col min="8200" max="8448" width="9" style="132"/>
    <col min="8449" max="8449" width="25.625" style="132" customWidth="1"/>
    <col min="8450" max="8450" width="12.625" style="132" customWidth="1"/>
    <col min="8451" max="8451" width="9.375" style="132" bestFit="1" customWidth="1"/>
    <col min="8452" max="8452" width="3.625" style="132" customWidth="1"/>
    <col min="8453" max="8453" width="9.375" style="132" customWidth="1"/>
    <col min="8454" max="8454" width="6.375" style="132" customWidth="1"/>
    <col min="8455" max="8455" width="22.625" style="132" customWidth="1"/>
    <col min="8456" max="8704" width="9" style="132"/>
    <col min="8705" max="8705" width="25.625" style="132" customWidth="1"/>
    <col min="8706" max="8706" width="12.625" style="132" customWidth="1"/>
    <col min="8707" max="8707" width="9.375" style="132" bestFit="1" customWidth="1"/>
    <col min="8708" max="8708" width="3.625" style="132" customWidth="1"/>
    <col min="8709" max="8709" width="9.375" style="132" customWidth="1"/>
    <col min="8710" max="8710" width="6.375" style="132" customWidth="1"/>
    <col min="8711" max="8711" width="22.625" style="132" customWidth="1"/>
    <col min="8712" max="8960" width="9" style="132"/>
    <col min="8961" max="8961" width="25.625" style="132" customWidth="1"/>
    <col min="8962" max="8962" width="12.625" style="132" customWidth="1"/>
    <col min="8963" max="8963" width="9.375" style="132" bestFit="1" customWidth="1"/>
    <col min="8964" max="8964" width="3.625" style="132" customWidth="1"/>
    <col min="8965" max="8965" width="9.375" style="132" customWidth="1"/>
    <col min="8966" max="8966" width="6.375" style="132" customWidth="1"/>
    <col min="8967" max="8967" width="22.625" style="132" customWidth="1"/>
    <col min="8968" max="9216" width="9" style="132"/>
    <col min="9217" max="9217" width="25.625" style="132" customWidth="1"/>
    <col min="9218" max="9218" width="12.625" style="132" customWidth="1"/>
    <col min="9219" max="9219" width="9.375" style="132" bestFit="1" customWidth="1"/>
    <col min="9220" max="9220" width="3.625" style="132" customWidth="1"/>
    <col min="9221" max="9221" width="9.375" style="132" customWidth="1"/>
    <col min="9222" max="9222" width="6.375" style="132" customWidth="1"/>
    <col min="9223" max="9223" width="22.625" style="132" customWidth="1"/>
    <col min="9224" max="9472" width="9" style="132"/>
    <col min="9473" max="9473" width="25.625" style="132" customWidth="1"/>
    <col min="9474" max="9474" width="12.625" style="132" customWidth="1"/>
    <col min="9475" max="9475" width="9.375" style="132" bestFit="1" customWidth="1"/>
    <col min="9476" max="9476" width="3.625" style="132" customWidth="1"/>
    <col min="9477" max="9477" width="9.375" style="132" customWidth="1"/>
    <col min="9478" max="9478" width="6.375" style="132" customWidth="1"/>
    <col min="9479" max="9479" width="22.625" style="132" customWidth="1"/>
    <col min="9480" max="9728" width="9" style="132"/>
    <col min="9729" max="9729" width="25.625" style="132" customWidth="1"/>
    <col min="9730" max="9730" width="12.625" style="132" customWidth="1"/>
    <col min="9731" max="9731" width="9.375" style="132" bestFit="1" customWidth="1"/>
    <col min="9732" max="9732" width="3.625" style="132" customWidth="1"/>
    <col min="9733" max="9733" width="9.375" style="132" customWidth="1"/>
    <col min="9734" max="9734" width="6.375" style="132" customWidth="1"/>
    <col min="9735" max="9735" width="22.625" style="132" customWidth="1"/>
    <col min="9736" max="9984" width="9" style="132"/>
    <col min="9985" max="9985" width="25.625" style="132" customWidth="1"/>
    <col min="9986" max="9986" width="12.625" style="132" customWidth="1"/>
    <col min="9987" max="9987" width="9.375" style="132" bestFit="1" customWidth="1"/>
    <col min="9988" max="9988" width="3.625" style="132" customWidth="1"/>
    <col min="9989" max="9989" width="9.375" style="132" customWidth="1"/>
    <col min="9990" max="9990" width="6.375" style="132" customWidth="1"/>
    <col min="9991" max="9991" width="22.625" style="132" customWidth="1"/>
    <col min="9992" max="10240" width="9" style="132"/>
    <col min="10241" max="10241" width="25.625" style="132" customWidth="1"/>
    <col min="10242" max="10242" width="12.625" style="132" customWidth="1"/>
    <col min="10243" max="10243" width="9.375" style="132" bestFit="1" customWidth="1"/>
    <col min="10244" max="10244" width="3.625" style="132" customWidth="1"/>
    <col min="10245" max="10245" width="9.375" style="132" customWidth="1"/>
    <col min="10246" max="10246" width="6.375" style="132" customWidth="1"/>
    <col min="10247" max="10247" width="22.625" style="132" customWidth="1"/>
    <col min="10248" max="10496" width="9" style="132"/>
    <col min="10497" max="10497" width="25.625" style="132" customWidth="1"/>
    <col min="10498" max="10498" width="12.625" style="132" customWidth="1"/>
    <col min="10499" max="10499" width="9.375" style="132" bestFit="1" customWidth="1"/>
    <col min="10500" max="10500" width="3.625" style="132" customWidth="1"/>
    <col min="10501" max="10501" width="9.375" style="132" customWidth="1"/>
    <col min="10502" max="10502" width="6.375" style="132" customWidth="1"/>
    <col min="10503" max="10503" width="22.625" style="132" customWidth="1"/>
    <col min="10504" max="10752" width="9" style="132"/>
    <col min="10753" max="10753" width="25.625" style="132" customWidth="1"/>
    <col min="10754" max="10754" width="12.625" style="132" customWidth="1"/>
    <col min="10755" max="10755" width="9.375" style="132" bestFit="1" customWidth="1"/>
    <col min="10756" max="10756" width="3.625" style="132" customWidth="1"/>
    <col min="10757" max="10757" width="9.375" style="132" customWidth="1"/>
    <col min="10758" max="10758" width="6.375" style="132" customWidth="1"/>
    <col min="10759" max="10759" width="22.625" style="132" customWidth="1"/>
    <col min="10760" max="11008" width="9" style="132"/>
    <col min="11009" max="11009" width="25.625" style="132" customWidth="1"/>
    <col min="11010" max="11010" width="12.625" style="132" customWidth="1"/>
    <col min="11011" max="11011" width="9.375" style="132" bestFit="1" customWidth="1"/>
    <col min="11012" max="11012" width="3.625" style="132" customWidth="1"/>
    <col min="11013" max="11013" width="9.375" style="132" customWidth="1"/>
    <col min="11014" max="11014" width="6.375" style="132" customWidth="1"/>
    <col min="11015" max="11015" width="22.625" style="132" customWidth="1"/>
    <col min="11016" max="11264" width="9" style="132"/>
    <col min="11265" max="11265" width="25.625" style="132" customWidth="1"/>
    <col min="11266" max="11266" width="12.625" style="132" customWidth="1"/>
    <col min="11267" max="11267" width="9.375" style="132" bestFit="1" customWidth="1"/>
    <col min="11268" max="11268" width="3.625" style="132" customWidth="1"/>
    <col min="11269" max="11269" width="9.375" style="132" customWidth="1"/>
    <col min="11270" max="11270" width="6.375" style="132" customWidth="1"/>
    <col min="11271" max="11271" width="22.625" style="132" customWidth="1"/>
    <col min="11272" max="11520" width="9" style="132"/>
    <col min="11521" max="11521" width="25.625" style="132" customWidth="1"/>
    <col min="11522" max="11522" width="12.625" style="132" customWidth="1"/>
    <col min="11523" max="11523" width="9.375" style="132" bestFit="1" customWidth="1"/>
    <col min="11524" max="11524" width="3.625" style="132" customWidth="1"/>
    <col min="11525" max="11525" width="9.375" style="132" customWidth="1"/>
    <col min="11526" max="11526" width="6.375" style="132" customWidth="1"/>
    <col min="11527" max="11527" width="22.625" style="132" customWidth="1"/>
    <col min="11528" max="11776" width="9" style="132"/>
    <col min="11777" max="11777" width="25.625" style="132" customWidth="1"/>
    <col min="11778" max="11778" width="12.625" style="132" customWidth="1"/>
    <col min="11779" max="11779" width="9.375" style="132" bestFit="1" customWidth="1"/>
    <col min="11780" max="11780" width="3.625" style="132" customWidth="1"/>
    <col min="11781" max="11781" width="9.375" style="132" customWidth="1"/>
    <col min="11782" max="11782" width="6.375" style="132" customWidth="1"/>
    <col min="11783" max="11783" width="22.625" style="132" customWidth="1"/>
    <col min="11784" max="12032" width="9" style="132"/>
    <col min="12033" max="12033" width="25.625" style="132" customWidth="1"/>
    <col min="12034" max="12034" width="12.625" style="132" customWidth="1"/>
    <col min="12035" max="12035" width="9.375" style="132" bestFit="1" customWidth="1"/>
    <col min="12036" max="12036" width="3.625" style="132" customWidth="1"/>
    <col min="12037" max="12037" width="9.375" style="132" customWidth="1"/>
    <col min="12038" max="12038" width="6.375" style="132" customWidth="1"/>
    <col min="12039" max="12039" width="22.625" style="132" customWidth="1"/>
    <col min="12040" max="12288" width="9" style="132"/>
    <col min="12289" max="12289" width="25.625" style="132" customWidth="1"/>
    <col min="12290" max="12290" width="12.625" style="132" customWidth="1"/>
    <col min="12291" max="12291" width="9.375" style="132" bestFit="1" customWidth="1"/>
    <col min="12292" max="12292" width="3.625" style="132" customWidth="1"/>
    <col min="12293" max="12293" width="9.375" style="132" customWidth="1"/>
    <col min="12294" max="12294" width="6.375" style="132" customWidth="1"/>
    <col min="12295" max="12295" width="22.625" style="132" customWidth="1"/>
    <col min="12296" max="12544" width="9" style="132"/>
    <col min="12545" max="12545" width="25.625" style="132" customWidth="1"/>
    <col min="12546" max="12546" width="12.625" style="132" customWidth="1"/>
    <col min="12547" max="12547" width="9.375" style="132" bestFit="1" customWidth="1"/>
    <col min="12548" max="12548" width="3.625" style="132" customWidth="1"/>
    <col min="12549" max="12549" width="9.375" style="132" customWidth="1"/>
    <col min="12550" max="12550" width="6.375" style="132" customWidth="1"/>
    <col min="12551" max="12551" width="22.625" style="132" customWidth="1"/>
    <col min="12552" max="12800" width="9" style="132"/>
    <col min="12801" max="12801" width="25.625" style="132" customWidth="1"/>
    <col min="12802" max="12802" width="12.625" style="132" customWidth="1"/>
    <col min="12803" max="12803" width="9.375" style="132" bestFit="1" customWidth="1"/>
    <col min="12804" max="12804" width="3.625" style="132" customWidth="1"/>
    <col min="12805" max="12805" width="9.375" style="132" customWidth="1"/>
    <col min="12806" max="12806" width="6.375" style="132" customWidth="1"/>
    <col min="12807" max="12807" width="22.625" style="132" customWidth="1"/>
    <col min="12808" max="13056" width="9" style="132"/>
    <col min="13057" max="13057" width="25.625" style="132" customWidth="1"/>
    <col min="13058" max="13058" width="12.625" style="132" customWidth="1"/>
    <col min="13059" max="13059" width="9.375" style="132" bestFit="1" customWidth="1"/>
    <col min="13060" max="13060" width="3.625" style="132" customWidth="1"/>
    <col min="13061" max="13061" width="9.375" style="132" customWidth="1"/>
    <col min="13062" max="13062" width="6.375" style="132" customWidth="1"/>
    <col min="13063" max="13063" width="22.625" style="132" customWidth="1"/>
    <col min="13064" max="13312" width="9" style="132"/>
    <col min="13313" max="13313" width="25.625" style="132" customWidth="1"/>
    <col min="13314" max="13314" width="12.625" style="132" customWidth="1"/>
    <col min="13315" max="13315" width="9.375" style="132" bestFit="1" customWidth="1"/>
    <col min="13316" max="13316" width="3.625" style="132" customWidth="1"/>
    <col min="13317" max="13317" width="9.375" style="132" customWidth="1"/>
    <col min="13318" max="13318" width="6.375" style="132" customWidth="1"/>
    <col min="13319" max="13319" width="22.625" style="132" customWidth="1"/>
    <col min="13320" max="13568" width="9" style="132"/>
    <col min="13569" max="13569" width="25.625" style="132" customWidth="1"/>
    <col min="13570" max="13570" width="12.625" style="132" customWidth="1"/>
    <col min="13571" max="13571" width="9.375" style="132" bestFit="1" customWidth="1"/>
    <col min="13572" max="13572" width="3.625" style="132" customWidth="1"/>
    <col min="13573" max="13573" width="9.375" style="132" customWidth="1"/>
    <col min="13574" max="13574" width="6.375" style="132" customWidth="1"/>
    <col min="13575" max="13575" width="22.625" style="132" customWidth="1"/>
    <col min="13576" max="13824" width="9" style="132"/>
    <col min="13825" max="13825" width="25.625" style="132" customWidth="1"/>
    <col min="13826" max="13826" width="12.625" style="132" customWidth="1"/>
    <col min="13827" max="13827" width="9.375" style="132" bestFit="1" customWidth="1"/>
    <col min="13828" max="13828" width="3.625" style="132" customWidth="1"/>
    <col min="13829" max="13829" width="9.375" style="132" customWidth="1"/>
    <col min="13830" max="13830" width="6.375" style="132" customWidth="1"/>
    <col min="13831" max="13831" width="22.625" style="132" customWidth="1"/>
    <col min="13832" max="14080" width="9" style="132"/>
    <col min="14081" max="14081" width="25.625" style="132" customWidth="1"/>
    <col min="14082" max="14082" width="12.625" style="132" customWidth="1"/>
    <col min="14083" max="14083" width="9.375" style="132" bestFit="1" customWidth="1"/>
    <col min="14084" max="14084" width="3.625" style="132" customWidth="1"/>
    <col min="14085" max="14085" width="9.375" style="132" customWidth="1"/>
    <col min="14086" max="14086" width="6.375" style="132" customWidth="1"/>
    <col min="14087" max="14087" width="22.625" style="132" customWidth="1"/>
    <col min="14088" max="14336" width="9" style="132"/>
    <col min="14337" max="14337" width="25.625" style="132" customWidth="1"/>
    <col min="14338" max="14338" width="12.625" style="132" customWidth="1"/>
    <col min="14339" max="14339" width="9.375" style="132" bestFit="1" customWidth="1"/>
    <col min="14340" max="14340" width="3.625" style="132" customWidth="1"/>
    <col min="14341" max="14341" width="9.375" style="132" customWidth="1"/>
    <col min="14342" max="14342" width="6.375" style="132" customWidth="1"/>
    <col min="14343" max="14343" width="22.625" style="132" customWidth="1"/>
    <col min="14344" max="14592" width="9" style="132"/>
    <col min="14593" max="14593" width="25.625" style="132" customWidth="1"/>
    <col min="14594" max="14594" width="12.625" style="132" customWidth="1"/>
    <col min="14595" max="14595" width="9.375" style="132" bestFit="1" customWidth="1"/>
    <col min="14596" max="14596" width="3.625" style="132" customWidth="1"/>
    <col min="14597" max="14597" width="9.375" style="132" customWidth="1"/>
    <col min="14598" max="14598" width="6.375" style="132" customWidth="1"/>
    <col min="14599" max="14599" width="22.625" style="132" customWidth="1"/>
    <col min="14600" max="14848" width="9" style="132"/>
    <col min="14849" max="14849" width="25.625" style="132" customWidth="1"/>
    <col min="14850" max="14850" width="12.625" style="132" customWidth="1"/>
    <col min="14851" max="14851" width="9.375" style="132" bestFit="1" customWidth="1"/>
    <col min="14852" max="14852" width="3.625" style="132" customWidth="1"/>
    <col min="14853" max="14853" width="9.375" style="132" customWidth="1"/>
    <col min="14854" max="14854" width="6.375" style="132" customWidth="1"/>
    <col min="14855" max="14855" width="22.625" style="132" customWidth="1"/>
    <col min="14856" max="15104" width="9" style="132"/>
    <col min="15105" max="15105" width="25.625" style="132" customWidth="1"/>
    <col min="15106" max="15106" width="12.625" style="132" customWidth="1"/>
    <col min="15107" max="15107" width="9.375" style="132" bestFit="1" customWidth="1"/>
    <col min="15108" max="15108" width="3.625" style="132" customWidth="1"/>
    <col min="15109" max="15109" width="9.375" style="132" customWidth="1"/>
    <col min="15110" max="15110" width="6.375" style="132" customWidth="1"/>
    <col min="15111" max="15111" width="22.625" style="132" customWidth="1"/>
    <col min="15112" max="15360" width="9" style="132"/>
    <col min="15361" max="15361" width="25.625" style="132" customWidth="1"/>
    <col min="15362" max="15362" width="12.625" style="132" customWidth="1"/>
    <col min="15363" max="15363" width="9.375" style="132" bestFit="1" customWidth="1"/>
    <col min="15364" max="15364" width="3.625" style="132" customWidth="1"/>
    <col min="15365" max="15365" width="9.375" style="132" customWidth="1"/>
    <col min="15366" max="15366" width="6.375" style="132" customWidth="1"/>
    <col min="15367" max="15367" width="22.625" style="132" customWidth="1"/>
    <col min="15368" max="15616" width="9" style="132"/>
    <col min="15617" max="15617" width="25.625" style="132" customWidth="1"/>
    <col min="15618" max="15618" width="12.625" style="132" customWidth="1"/>
    <col min="15619" max="15619" width="9.375" style="132" bestFit="1" customWidth="1"/>
    <col min="15620" max="15620" width="3.625" style="132" customWidth="1"/>
    <col min="15621" max="15621" width="9.375" style="132" customWidth="1"/>
    <col min="15622" max="15622" width="6.375" style="132" customWidth="1"/>
    <col min="15623" max="15623" width="22.625" style="132" customWidth="1"/>
    <col min="15624" max="15872" width="9" style="132"/>
    <col min="15873" max="15873" width="25.625" style="132" customWidth="1"/>
    <col min="15874" max="15874" width="12.625" style="132" customWidth="1"/>
    <col min="15875" max="15875" width="9.375" style="132" bestFit="1" customWidth="1"/>
    <col min="15876" max="15876" width="3.625" style="132" customWidth="1"/>
    <col min="15877" max="15877" width="9.375" style="132" customWidth="1"/>
    <col min="15878" max="15878" width="6.375" style="132" customWidth="1"/>
    <col min="15879" max="15879" width="22.625" style="132" customWidth="1"/>
    <col min="15880" max="16128" width="9" style="132"/>
    <col min="16129" max="16129" width="25.625" style="132" customWidth="1"/>
    <col min="16130" max="16130" width="12.625" style="132" customWidth="1"/>
    <col min="16131" max="16131" width="9.375" style="132" bestFit="1" customWidth="1"/>
    <col min="16132" max="16132" width="3.625" style="132" customWidth="1"/>
    <col min="16133" max="16133" width="9.375" style="132" customWidth="1"/>
    <col min="16134" max="16134" width="6.375" style="132" customWidth="1"/>
    <col min="16135" max="16135" width="22.625" style="132" customWidth="1"/>
    <col min="16136" max="16384" width="9" style="132"/>
  </cols>
  <sheetData>
    <row r="1" spans="1:7" ht="15" customHeight="1">
      <c r="A1" s="1026" t="s">
        <v>398</v>
      </c>
      <c r="B1" s="1027"/>
      <c r="C1" s="1026"/>
      <c r="D1" s="1026"/>
    </row>
    <row r="2" spans="1:7" ht="15" customHeight="1">
      <c r="A2" s="436"/>
      <c r="B2" s="437"/>
      <c r="C2" s="436"/>
      <c r="D2" s="436"/>
    </row>
    <row r="3" spans="1:7" ht="15" customHeight="1">
      <c r="A3" s="142" t="s">
        <v>399</v>
      </c>
      <c r="B3" s="308"/>
    </row>
    <row r="5" spans="1:7" ht="16.149999999999999">
      <c r="B5" s="130"/>
      <c r="C5" s="130"/>
      <c r="D5" s="130"/>
      <c r="E5" s="130"/>
      <c r="F5" s="130"/>
      <c r="G5" s="125"/>
    </row>
    <row r="6" spans="1:7" ht="15" customHeight="1">
      <c r="A6" s="131"/>
      <c r="D6" s="131"/>
    </row>
    <row r="8" spans="1:7" ht="15" customHeight="1">
      <c r="A8" s="133" t="s">
        <v>400</v>
      </c>
      <c r="B8" s="133" t="s">
        <v>401</v>
      </c>
      <c r="C8" s="1015" t="s">
        <v>402</v>
      </c>
      <c r="D8" s="1130"/>
      <c r="E8" s="1131"/>
      <c r="F8" s="134" t="s">
        <v>403</v>
      </c>
      <c r="G8" s="133" t="s">
        <v>404</v>
      </c>
    </row>
    <row r="9" spans="1:7" ht="15" customHeight="1">
      <c r="A9" s="135"/>
      <c r="B9" s="152"/>
      <c r="C9" s="128"/>
      <c r="D9" s="136"/>
      <c r="E9" s="137"/>
      <c r="F9" s="152"/>
      <c r="G9" s="135"/>
    </row>
    <row r="10" spans="1:7" ht="15" customHeight="1">
      <c r="A10" s="138"/>
      <c r="B10" s="153"/>
      <c r="C10" s="139"/>
      <c r="D10" s="131"/>
      <c r="E10" s="140"/>
      <c r="F10" s="153"/>
      <c r="G10" s="138"/>
    </row>
    <row r="11" spans="1:7" ht="15" customHeight="1">
      <c r="A11" s="138"/>
      <c r="B11" s="153"/>
      <c r="C11" s="129"/>
      <c r="D11" s="131"/>
      <c r="E11" s="141"/>
      <c r="F11" s="153"/>
      <c r="G11" s="138"/>
    </row>
    <row r="12" spans="1:7" ht="15" customHeight="1">
      <c r="A12" s="138"/>
      <c r="B12" s="153"/>
      <c r="C12" s="139"/>
      <c r="D12" s="131"/>
      <c r="E12" s="140"/>
      <c r="F12" s="153"/>
      <c r="G12" s="138"/>
    </row>
    <row r="13" spans="1:7" ht="15" customHeight="1">
      <c r="A13" s="138"/>
      <c r="B13" s="153"/>
      <c r="C13" s="276"/>
      <c r="D13" s="131"/>
      <c r="E13" s="277"/>
      <c r="F13" s="153"/>
      <c r="G13" s="138"/>
    </row>
    <row r="14" spans="1:7" ht="15" customHeight="1">
      <c r="A14" s="138"/>
      <c r="B14" s="153"/>
      <c r="C14" s="139"/>
      <c r="D14" s="131"/>
      <c r="E14" s="140"/>
      <c r="F14" s="153"/>
      <c r="G14" s="138"/>
    </row>
    <row r="15" spans="1:7" ht="15" customHeight="1">
      <c r="A15" s="138"/>
      <c r="B15" s="153"/>
      <c r="C15" s="129"/>
      <c r="D15" s="131"/>
      <c r="E15" s="141"/>
      <c r="F15" s="153"/>
      <c r="G15" s="138"/>
    </row>
    <row r="16" spans="1:7" ht="15" customHeight="1">
      <c r="A16" s="138"/>
      <c r="B16" s="153"/>
      <c r="C16" s="129"/>
      <c r="D16" s="131"/>
      <c r="E16" s="141"/>
      <c r="F16" s="153"/>
      <c r="G16" s="138"/>
    </row>
    <row r="17" spans="1:7" ht="15" customHeight="1">
      <c r="A17" s="138"/>
      <c r="B17" s="153"/>
      <c r="C17" s="129"/>
      <c r="D17" s="131"/>
      <c r="E17" s="141"/>
      <c r="F17" s="153"/>
      <c r="G17" s="138"/>
    </row>
    <row r="18" spans="1:7" ht="15" customHeight="1">
      <c r="A18" s="138"/>
      <c r="B18" s="153"/>
      <c r="C18" s="129"/>
      <c r="D18" s="131"/>
      <c r="E18" s="141"/>
      <c r="F18" s="153"/>
      <c r="G18" s="138"/>
    </row>
    <row r="19" spans="1:7" ht="15" customHeight="1">
      <c r="A19" s="138"/>
      <c r="B19" s="153"/>
      <c r="C19" s="129"/>
      <c r="D19" s="131"/>
      <c r="E19" s="141"/>
      <c r="F19" s="153"/>
      <c r="G19" s="138"/>
    </row>
    <row r="20" spans="1:7" ht="15" customHeight="1">
      <c r="A20" s="138"/>
      <c r="B20" s="153"/>
      <c r="C20" s="129"/>
      <c r="D20" s="131"/>
      <c r="E20" s="141"/>
      <c r="F20" s="153"/>
      <c r="G20" s="138"/>
    </row>
    <row r="21" spans="1:7" ht="15" customHeight="1">
      <c r="A21" s="138"/>
      <c r="B21" s="153"/>
      <c r="C21" s="129"/>
      <c r="D21" s="131"/>
      <c r="E21" s="141"/>
      <c r="F21" s="153"/>
      <c r="G21" s="138"/>
    </row>
    <row r="22" spans="1:7" ht="15" customHeight="1">
      <c r="A22" s="138"/>
      <c r="B22" s="153"/>
      <c r="C22" s="129"/>
      <c r="D22" s="131"/>
      <c r="E22" s="141"/>
      <c r="F22" s="153"/>
      <c r="G22" s="138"/>
    </row>
    <row r="23" spans="1:7" ht="15" customHeight="1">
      <c r="A23" s="138"/>
      <c r="B23" s="153"/>
      <c r="C23" s="129"/>
      <c r="D23" s="131"/>
      <c r="E23" s="141"/>
      <c r="F23" s="153"/>
      <c r="G23" s="138"/>
    </row>
    <row r="24" spans="1:7" ht="15" customHeight="1">
      <c r="A24" s="138"/>
      <c r="B24" s="153"/>
      <c r="C24" s="129"/>
      <c r="D24" s="131"/>
      <c r="E24" s="141"/>
      <c r="F24" s="153"/>
      <c r="G24" s="138"/>
    </row>
    <row r="25" spans="1:7" ht="15" customHeight="1">
      <c r="A25" s="138"/>
      <c r="B25" s="153"/>
      <c r="C25" s="129"/>
      <c r="D25" s="131"/>
      <c r="E25" s="141"/>
      <c r="F25" s="153"/>
      <c r="G25" s="138"/>
    </row>
    <row r="26" spans="1:7" ht="15" customHeight="1">
      <c r="A26" s="138"/>
      <c r="B26" s="153"/>
      <c r="C26" s="129"/>
      <c r="D26" s="131"/>
      <c r="E26" s="141"/>
      <c r="F26" s="153"/>
      <c r="G26" s="138"/>
    </row>
    <row r="27" spans="1:7" ht="15" customHeight="1">
      <c r="A27" s="138"/>
      <c r="B27" s="153"/>
      <c r="C27" s="129"/>
      <c r="D27" s="131"/>
      <c r="E27" s="141"/>
      <c r="F27" s="153"/>
      <c r="G27" s="138"/>
    </row>
    <row r="28" spans="1:7" ht="15" customHeight="1">
      <c r="A28" s="138"/>
      <c r="B28" s="153"/>
      <c r="C28" s="129"/>
      <c r="D28" s="131"/>
      <c r="E28" s="141"/>
      <c r="F28" s="153"/>
      <c r="G28" s="138"/>
    </row>
    <row r="29" spans="1:7" ht="15" customHeight="1">
      <c r="A29" s="138"/>
      <c r="B29" s="153"/>
      <c r="C29" s="129"/>
      <c r="D29" s="131"/>
      <c r="E29" s="141"/>
      <c r="F29" s="153"/>
      <c r="G29" s="138"/>
    </row>
    <row r="30" spans="1:7" ht="15" customHeight="1">
      <c r="A30" s="138"/>
      <c r="B30" s="153"/>
      <c r="C30" s="129"/>
      <c r="D30" s="131"/>
      <c r="E30" s="141"/>
      <c r="F30" s="153"/>
      <c r="G30" s="138"/>
    </row>
    <row r="31" spans="1:7" ht="15" customHeight="1">
      <c r="A31" s="138"/>
      <c r="B31" s="153"/>
      <c r="C31" s="129"/>
      <c r="D31" s="131"/>
      <c r="E31" s="141"/>
      <c r="F31" s="153"/>
      <c r="G31" s="138"/>
    </row>
    <row r="32" spans="1:7" ht="15" customHeight="1">
      <c r="A32" s="138"/>
      <c r="B32" s="153"/>
      <c r="C32" s="129"/>
      <c r="D32" s="131"/>
      <c r="E32" s="141"/>
      <c r="F32" s="153"/>
      <c r="G32" s="138"/>
    </row>
    <row r="33" spans="1:7" ht="15" customHeight="1">
      <c r="A33" s="138"/>
      <c r="B33" s="153"/>
      <c r="C33" s="129"/>
      <c r="D33" s="131"/>
      <c r="E33" s="141"/>
      <c r="F33" s="153"/>
      <c r="G33" s="138"/>
    </row>
    <row r="34" spans="1:7" ht="15" customHeight="1">
      <c r="A34" s="138"/>
      <c r="B34" s="153"/>
      <c r="C34" s="129"/>
      <c r="D34" s="131"/>
      <c r="E34" s="141"/>
      <c r="F34" s="153"/>
      <c r="G34" s="138"/>
    </row>
    <row r="35" spans="1:7" ht="15" customHeight="1" thickBot="1">
      <c r="A35" s="138"/>
      <c r="B35" s="153"/>
      <c r="C35" s="129"/>
      <c r="D35" s="131"/>
      <c r="E35" s="141"/>
      <c r="F35" s="153"/>
      <c r="G35" s="278"/>
    </row>
    <row r="36" spans="1:7" ht="15" customHeight="1" thickTop="1">
      <c r="A36" s="279"/>
      <c r="B36" s="280" t="s">
        <v>405</v>
      </c>
      <c r="C36" s="280"/>
      <c r="D36" s="281"/>
      <c r="E36" s="282"/>
      <c r="F36" s="283">
        <f>SUM(F9:F35)</f>
        <v>0</v>
      </c>
      <c r="G36" s="269"/>
    </row>
    <row r="37" spans="1:7" ht="15" customHeight="1">
      <c r="A37" s="132" t="s">
        <v>406</v>
      </c>
    </row>
  </sheetData>
  <mergeCells count="2">
    <mergeCell ref="C8:E8"/>
    <mergeCell ref="A1:D1"/>
  </mergeCells>
  <phoneticPr fontId="4"/>
  <printOptions horizontalCentered="1"/>
  <pageMargins left="0.23622047244094491" right="0.23622047244094491" top="0.74803149606299213" bottom="0.74803149606299213" header="0.31496062992125984" footer="0.31496062992125984"/>
  <pageSetup paperSize="9" scale="94" orientation="landscape" blackAndWhite="1"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tabColor rgb="FF00B0F0"/>
    <pageSetUpPr fitToPage="1"/>
  </sheetPr>
  <dimension ref="A1:G28"/>
  <sheetViews>
    <sheetView view="pageBreakPreview" zoomScale="85" zoomScaleNormal="100" zoomScaleSheetLayoutView="85" workbookViewId="0">
      <selection sqref="A1:D1"/>
    </sheetView>
  </sheetViews>
  <sheetFormatPr defaultRowHeight="14.45"/>
  <cols>
    <col min="1" max="1" width="25.5" style="271" customWidth="1"/>
    <col min="2" max="2" width="14" style="271" customWidth="1"/>
    <col min="3" max="3" width="12.125" style="271" customWidth="1"/>
    <col min="4" max="4" width="19.25" style="271" customWidth="1"/>
    <col min="5" max="5" width="17.375" style="271" customWidth="1"/>
    <col min="6" max="6" width="28.5" style="271" customWidth="1"/>
    <col min="7" max="7" width="36" style="271" customWidth="1"/>
    <col min="8" max="256" width="9" style="271"/>
    <col min="257" max="257" width="25.5" style="271" customWidth="1"/>
    <col min="258" max="258" width="14" style="271" customWidth="1"/>
    <col min="259" max="259" width="12.125" style="271" customWidth="1"/>
    <col min="260" max="260" width="19.25" style="271" customWidth="1"/>
    <col min="261" max="261" width="17.375" style="271" customWidth="1"/>
    <col min="262" max="262" width="28.5" style="271" customWidth="1"/>
    <col min="263" max="263" width="53.5" style="271" customWidth="1"/>
    <col min="264" max="512" width="9" style="271"/>
    <col min="513" max="513" width="25.5" style="271" customWidth="1"/>
    <col min="514" max="514" width="14" style="271" customWidth="1"/>
    <col min="515" max="515" width="12.125" style="271" customWidth="1"/>
    <col min="516" max="516" width="19.25" style="271" customWidth="1"/>
    <col min="517" max="517" width="17.375" style="271" customWidth="1"/>
    <col min="518" max="518" width="28.5" style="271" customWidth="1"/>
    <col min="519" max="519" width="53.5" style="271" customWidth="1"/>
    <col min="520" max="768" width="9" style="271"/>
    <col min="769" max="769" width="25.5" style="271" customWidth="1"/>
    <col min="770" max="770" width="14" style="271" customWidth="1"/>
    <col min="771" max="771" width="12.125" style="271" customWidth="1"/>
    <col min="772" max="772" width="19.25" style="271" customWidth="1"/>
    <col min="773" max="773" width="17.375" style="271" customWidth="1"/>
    <col min="774" max="774" width="28.5" style="271" customWidth="1"/>
    <col min="775" max="775" width="53.5" style="271" customWidth="1"/>
    <col min="776" max="1024" width="9" style="271"/>
    <col min="1025" max="1025" width="25.5" style="271" customWidth="1"/>
    <col min="1026" max="1026" width="14" style="271" customWidth="1"/>
    <col min="1027" max="1027" width="12.125" style="271" customWidth="1"/>
    <col min="1028" max="1028" width="19.25" style="271" customWidth="1"/>
    <col min="1029" max="1029" width="17.375" style="271" customWidth="1"/>
    <col min="1030" max="1030" width="28.5" style="271" customWidth="1"/>
    <col min="1031" max="1031" width="53.5" style="271" customWidth="1"/>
    <col min="1032" max="1280" width="9" style="271"/>
    <col min="1281" max="1281" width="25.5" style="271" customWidth="1"/>
    <col min="1282" max="1282" width="14" style="271" customWidth="1"/>
    <col min="1283" max="1283" width="12.125" style="271" customWidth="1"/>
    <col min="1284" max="1284" width="19.25" style="271" customWidth="1"/>
    <col min="1285" max="1285" width="17.375" style="271" customWidth="1"/>
    <col min="1286" max="1286" width="28.5" style="271" customWidth="1"/>
    <col min="1287" max="1287" width="53.5" style="271" customWidth="1"/>
    <col min="1288" max="1536" width="9" style="271"/>
    <col min="1537" max="1537" width="25.5" style="271" customWidth="1"/>
    <col min="1538" max="1538" width="14" style="271" customWidth="1"/>
    <col min="1539" max="1539" width="12.125" style="271" customWidth="1"/>
    <col min="1540" max="1540" width="19.25" style="271" customWidth="1"/>
    <col min="1541" max="1541" width="17.375" style="271" customWidth="1"/>
    <col min="1542" max="1542" width="28.5" style="271" customWidth="1"/>
    <col min="1543" max="1543" width="53.5" style="271" customWidth="1"/>
    <col min="1544" max="1792" width="9" style="271"/>
    <col min="1793" max="1793" width="25.5" style="271" customWidth="1"/>
    <col min="1794" max="1794" width="14" style="271" customWidth="1"/>
    <col min="1795" max="1795" width="12.125" style="271" customWidth="1"/>
    <col min="1796" max="1796" width="19.25" style="271" customWidth="1"/>
    <col min="1797" max="1797" width="17.375" style="271" customWidth="1"/>
    <col min="1798" max="1798" width="28.5" style="271" customWidth="1"/>
    <col min="1799" max="1799" width="53.5" style="271" customWidth="1"/>
    <col min="1800" max="2048" width="9" style="271"/>
    <col min="2049" max="2049" width="25.5" style="271" customWidth="1"/>
    <col min="2050" max="2050" width="14" style="271" customWidth="1"/>
    <col min="2051" max="2051" width="12.125" style="271" customWidth="1"/>
    <col min="2052" max="2052" width="19.25" style="271" customWidth="1"/>
    <col min="2053" max="2053" width="17.375" style="271" customWidth="1"/>
    <col min="2054" max="2054" width="28.5" style="271" customWidth="1"/>
    <col min="2055" max="2055" width="53.5" style="271" customWidth="1"/>
    <col min="2056" max="2304" width="9" style="271"/>
    <col min="2305" max="2305" width="25.5" style="271" customWidth="1"/>
    <col min="2306" max="2306" width="14" style="271" customWidth="1"/>
    <col min="2307" max="2307" width="12.125" style="271" customWidth="1"/>
    <col min="2308" max="2308" width="19.25" style="271" customWidth="1"/>
    <col min="2309" max="2309" width="17.375" style="271" customWidth="1"/>
    <col min="2310" max="2310" width="28.5" style="271" customWidth="1"/>
    <col min="2311" max="2311" width="53.5" style="271" customWidth="1"/>
    <col min="2312" max="2560" width="9" style="271"/>
    <col min="2561" max="2561" width="25.5" style="271" customWidth="1"/>
    <col min="2562" max="2562" width="14" style="271" customWidth="1"/>
    <col min="2563" max="2563" width="12.125" style="271" customWidth="1"/>
    <col min="2564" max="2564" width="19.25" style="271" customWidth="1"/>
    <col min="2565" max="2565" width="17.375" style="271" customWidth="1"/>
    <col min="2566" max="2566" width="28.5" style="271" customWidth="1"/>
    <col min="2567" max="2567" width="53.5" style="271" customWidth="1"/>
    <col min="2568" max="2816" width="9" style="271"/>
    <col min="2817" max="2817" width="25.5" style="271" customWidth="1"/>
    <col min="2818" max="2818" width="14" style="271" customWidth="1"/>
    <col min="2819" max="2819" width="12.125" style="271" customWidth="1"/>
    <col min="2820" max="2820" width="19.25" style="271" customWidth="1"/>
    <col min="2821" max="2821" width="17.375" style="271" customWidth="1"/>
    <col min="2822" max="2822" width="28.5" style="271" customWidth="1"/>
    <col min="2823" max="2823" width="53.5" style="271" customWidth="1"/>
    <col min="2824" max="3072" width="9" style="271"/>
    <col min="3073" max="3073" width="25.5" style="271" customWidth="1"/>
    <col min="3074" max="3074" width="14" style="271" customWidth="1"/>
    <col min="3075" max="3075" width="12.125" style="271" customWidth="1"/>
    <col min="3076" max="3076" width="19.25" style="271" customWidth="1"/>
    <col min="3077" max="3077" width="17.375" style="271" customWidth="1"/>
    <col min="3078" max="3078" width="28.5" style="271" customWidth="1"/>
    <col min="3079" max="3079" width="53.5" style="271" customWidth="1"/>
    <col min="3080" max="3328" width="9" style="271"/>
    <col min="3329" max="3329" width="25.5" style="271" customWidth="1"/>
    <col min="3330" max="3330" width="14" style="271" customWidth="1"/>
    <col min="3331" max="3331" width="12.125" style="271" customWidth="1"/>
    <col min="3332" max="3332" width="19.25" style="271" customWidth="1"/>
    <col min="3333" max="3333" width="17.375" style="271" customWidth="1"/>
    <col min="3334" max="3334" width="28.5" style="271" customWidth="1"/>
    <col min="3335" max="3335" width="53.5" style="271" customWidth="1"/>
    <col min="3336" max="3584" width="9" style="271"/>
    <col min="3585" max="3585" width="25.5" style="271" customWidth="1"/>
    <col min="3586" max="3586" width="14" style="271" customWidth="1"/>
    <col min="3587" max="3587" width="12.125" style="271" customWidth="1"/>
    <col min="3588" max="3588" width="19.25" style="271" customWidth="1"/>
    <col min="3589" max="3589" width="17.375" style="271" customWidth="1"/>
    <col min="3590" max="3590" width="28.5" style="271" customWidth="1"/>
    <col min="3591" max="3591" width="53.5" style="271" customWidth="1"/>
    <col min="3592" max="3840" width="9" style="271"/>
    <col min="3841" max="3841" width="25.5" style="271" customWidth="1"/>
    <col min="3842" max="3842" width="14" style="271" customWidth="1"/>
    <col min="3843" max="3843" width="12.125" style="271" customWidth="1"/>
    <col min="3844" max="3844" width="19.25" style="271" customWidth="1"/>
    <col min="3845" max="3845" width="17.375" style="271" customWidth="1"/>
    <col min="3846" max="3846" width="28.5" style="271" customWidth="1"/>
    <col min="3847" max="3847" width="53.5" style="271" customWidth="1"/>
    <col min="3848" max="4096" width="9" style="271"/>
    <col min="4097" max="4097" width="25.5" style="271" customWidth="1"/>
    <col min="4098" max="4098" width="14" style="271" customWidth="1"/>
    <col min="4099" max="4099" width="12.125" style="271" customWidth="1"/>
    <col min="4100" max="4100" width="19.25" style="271" customWidth="1"/>
    <col min="4101" max="4101" width="17.375" style="271" customWidth="1"/>
    <col min="4102" max="4102" width="28.5" style="271" customWidth="1"/>
    <col min="4103" max="4103" width="53.5" style="271" customWidth="1"/>
    <col min="4104" max="4352" width="9" style="271"/>
    <col min="4353" max="4353" width="25.5" style="271" customWidth="1"/>
    <col min="4354" max="4354" width="14" style="271" customWidth="1"/>
    <col min="4355" max="4355" width="12.125" style="271" customWidth="1"/>
    <col min="4356" max="4356" width="19.25" style="271" customWidth="1"/>
    <col min="4357" max="4357" width="17.375" style="271" customWidth="1"/>
    <col min="4358" max="4358" width="28.5" style="271" customWidth="1"/>
    <col min="4359" max="4359" width="53.5" style="271" customWidth="1"/>
    <col min="4360" max="4608" width="9" style="271"/>
    <col min="4609" max="4609" width="25.5" style="271" customWidth="1"/>
    <col min="4610" max="4610" width="14" style="271" customWidth="1"/>
    <col min="4611" max="4611" width="12.125" style="271" customWidth="1"/>
    <col min="4612" max="4612" width="19.25" style="271" customWidth="1"/>
    <col min="4613" max="4613" width="17.375" style="271" customWidth="1"/>
    <col min="4614" max="4614" width="28.5" style="271" customWidth="1"/>
    <col min="4615" max="4615" width="53.5" style="271" customWidth="1"/>
    <col min="4616" max="4864" width="9" style="271"/>
    <col min="4865" max="4865" width="25.5" style="271" customWidth="1"/>
    <col min="4866" max="4866" width="14" style="271" customWidth="1"/>
    <col min="4867" max="4867" width="12.125" style="271" customWidth="1"/>
    <col min="4868" max="4868" width="19.25" style="271" customWidth="1"/>
    <col min="4869" max="4869" width="17.375" style="271" customWidth="1"/>
    <col min="4870" max="4870" width="28.5" style="271" customWidth="1"/>
    <col min="4871" max="4871" width="53.5" style="271" customWidth="1"/>
    <col min="4872" max="5120" width="9" style="271"/>
    <col min="5121" max="5121" width="25.5" style="271" customWidth="1"/>
    <col min="5122" max="5122" width="14" style="271" customWidth="1"/>
    <col min="5123" max="5123" width="12.125" style="271" customWidth="1"/>
    <col min="5124" max="5124" width="19.25" style="271" customWidth="1"/>
    <col min="5125" max="5125" width="17.375" style="271" customWidth="1"/>
    <col min="5126" max="5126" width="28.5" style="271" customWidth="1"/>
    <col min="5127" max="5127" width="53.5" style="271" customWidth="1"/>
    <col min="5128" max="5376" width="9" style="271"/>
    <col min="5377" max="5377" width="25.5" style="271" customWidth="1"/>
    <col min="5378" max="5378" width="14" style="271" customWidth="1"/>
    <col min="5379" max="5379" width="12.125" style="271" customWidth="1"/>
    <col min="5380" max="5380" width="19.25" style="271" customWidth="1"/>
    <col min="5381" max="5381" width="17.375" style="271" customWidth="1"/>
    <col min="5382" max="5382" width="28.5" style="271" customWidth="1"/>
    <col min="5383" max="5383" width="53.5" style="271" customWidth="1"/>
    <col min="5384" max="5632" width="9" style="271"/>
    <col min="5633" max="5633" width="25.5" style="271" customWidth="1"/>
    <col min="5634" max="5634" width="14" style="271" customWidth="1"/>
    <col min="5635" max="5635" width="12.125" style="271" customWidth="1"/>
    <col min="5636" max="5636" width="19.25" style="271" customWidth="1"/>
    <col min="5637" max="5637" width="17.375" style="271" customWidth="1"/>
    <col min="5638" max="5638" width="28.5" style="271" customWidth="1"/>
    <col min="5639" max="5639" width="53.5" style="271" customWidth="1"/>
    <col min="5640" max="5888" width="9" style="271"/>
    <col min="5889" max="5889" width="25.5" style="271" customWidth="1"/>
    <col min="5890" max="5890" width="14" style="271" customWidth="1"/>
    <col min="5891" max="5891" width="12.125" style="271" customWidth="1"/>
    <col min="5892" max="5892" width="19.25" style="271" customWidth="1"/>
    <col min="5893" max="5893" width="17.375" style="271" customWidth="1"/>
    <col min="5894" max="5894" width="28.5" style="271" customWidth="1"/>
    <col min="5895" max="5895" width="53.5" style="271" customWidth="1"/>
    <col min="5896" max="6144" width="9" style="271"/>
    <col min="6145" max="6145" width="25.5" style="271" customWidth="1"/>
    <col min="6146" max="6146" width="14" style="271" customWidth="1"/>
    <col min="6147" max="6147" width="12.125" style="271" customWidth="1"/>
    <col min="6148" max="6148" width="19.25" style="271" customWidth="1"/>
    <col min="6149" max="6149" width="17.375" style="271" customWidth="1"/>
    <col min="6150" max="6150" width="28.5" style="271" customWidth="1"/>
    <col min="6151" max="6151" width="53.5" style="271" customWidth="1"/>
    <col min="6152" max="6400" width="9" style="271"/>
    <col min="6401" max="6401" width="25.5" style="271" customWidth="1"/>
    <col min="6402" max="6402" width="14" style="271" customWidth="1"/>
    <col min="6403" max="6403" width="12.125" style="271" customWidth="1"/>
    <col min="6404" max="6404" width="19.25" style="271" customWidth="1"/>
    <col min="6405" max="6405" width="17.375" style="271" customWidth="1"/>
    <col min="6406" max="6406" width="28.5" style="271" customWidth="1"/>
    <col min="6407" max="6407" width="53.5" style="271" customWidth="1"/>
    <col min="6408" max="6656" width="9" style="271"/>
    <col min="6657" max="6657" width="25.5" style="271" customWidth="1"/>
    <col min="6658" max="6658" width="14" style="271" customWidth="1"/>
    <col min="6659" max="6659" width="12.125" style="271" customWidth="1"/>
    <col min="6660" max="6660" width="19.25" style="271" customWidth="1"/>
    <col min="6661" max="6661" width="17.375" style="271" customWidth="1"/>
    <col min="6662" max="6662" width="28.5" style="271" customWidth="1"/>
    <col min="6663" max="6663" width="53.5" style="271" customWidth="1"/>
    <col min="6664" max="6912" width="9" style="271"/>
    <col min="6913" max="6913" width="25.5" style="271" customWidth="1"/>
    <col min="6914" max="6914" width="14" style="271" customWidth="1"/>
    <col min="6915" max="6915" width="12.125" style="271" customWidth="1"/>
    <col min="6916" max="6916" width="19.25" style="271" customWidth="1"/>
    <col min="6917" max="6917" width="17.375" style="271" customWidth="1"/>
    <col min="6918" max="6918" width="28.5" style="271" customWidth="1"/>
    <col min="6919" max="6919" width="53.5" style="271" customWidth="1"/>
    <col min="6920" max="7168" width="9" style="271"/>
    <col min="7169" max="7169" width="25.5" style="271" customWidth="1"/>
    <col min="7170" max="7170" width="14" style="271" customWidth="1"/>
    <col min="7171" max="7171" width="12.125" style="271" customWidth="1"/>
    <col min="7172" max="7172" width="19.25" style="271" customWidth="1"/>
    <col min="7173" max="7173" width="17.375" style="271" customWidth="1"/>
    <col min="7174" max="7174" width="28.5" style="271" customWidth="1"/>
    <col min="7175" max="7175" width="53.5" style="271" customWidth="1"/>
    <col min="7176" max="7424" width="9" style="271"/>
    <col min="7425" max="7425" width="25.5" style="271" customWidth="1"/>
    <col min="7426" max="7426" width="14" style="271" customWidth="1"/>
    <col min="7427" max="7427" width="12.125" style="271" customWidth="1"/>
    <col min="7428" max="7428" width="19.25" style="271" customWidth="1"/>
    <col min="7429" max="7429" width="17.375" style="271" customWidth="1"/>
    <col min="7430" max="7430" width="28.5" style="271" customWidth="1"/>
    <col min="7431" max="7431" width="53.5" style="271" customWidth="1"/>
    <col min="7432" max="7680" width="9" style="271"/>
    <col min="7681" max="7681" width="25.5" style="271" customWidth="1"/>
    <col min="7682" max="7682" width="14" style="271" customWidth="1"/>
    <col min="7683" max="7683" width="12.125" style="271" customWidth="1"/>
    <col min="7684" max="7684" width="19.25" style="271" customWidth="1"/>
    <col min="7685" max="7685" width="17.375" style="271" customWidth="1"/>
    <col min="7686" max="7686" width="28.5" style="271" customWidth="1"/>
    <col min="7687" max="7687" width="53.5" style="271" customWidth="1"/>
    <col min="7688" max="7936" width="9" style="271"/>
    <col min="7937" max="7937" width="25.5" style="271" customWidth="1"/>
    <col min="7938" max="7938" width="14" style="271" customWidth="1"/>
    <col min="7939" max="7939" width="12.125" style="271" customWidth="1"/>
    <col min="7940" max="7940" width="19.25" style="271" customWidth="1"/>
    <col min="7941" max="7941" width="17.375" style="271" customWidth="1"/>
    <col min="7942" max="7942" width="28.5" style="271" customWidth="1"/>
    <col min="7943" max="7943" width="53.5" style="271" customWidth="1"/>
    <col min="7944" max="8192" width="9" style="271"/>
    <col min="8193" max="8193" width="25.5" style="271" customWidth="1"/>
    <col min="8194" max="8194" width="14" style="271" customWidth="1"/>
    <col min="8195" max="8195" width="12.125" style="271" customWidth="1"/>
    <col min="8196" max="8196" width="19.25" style="271" customWidth="1"/>
    <col min="8197" max="8197" width="17.375" style="271" customWidth="1"/>
    <col min="8198" max="8198" width="28.5" style="271" customWidth="1"/>
    <col min="8199" max="8199" width="53.5" style="271" customWidth="1"/>
    <col min="8200" max="8448" width="9" style="271"/>
    <col min="8449" max="8449" width="25.5" style="271" customWidth="1"/>
    <col min="8450" max="8450" width="14" style="271" customWidth="1"/>
    <col min="8451" max="8451" width="12.125" style="271" customWidth="1"/>
    <col min="8452" max="8452" width="19.25" style="271" customWidth="1"/>
    <col min="8453" max="8453" width="17.375" style="271" customWidth="1"/>
    <col min="8454" max="8454" width="28.5" style="271" customWidth="1"/>
    <col min="8455" max="8455" width="53.5" style="271" customWidth="1"/>
    <col min="8456" max="8704" width="9" style="271"/>
    <col min="8705" max="8705" width="25.5" style="271" customWidth="1"/>
    <col min="8706" max="8706" width="14" style="271" customWidth="1"/>
    <col min="8707" max="8707" width="12.125" style="271" customWidth="1"/>
    <col min="8708" max="8708" width="19.25" style="271" customWidth="1"/>
    <col min="8709" max="8709" width="17.375" style="271" customWidth="1"/>
    <col min="8710" max="8710" width="28.5" style="271" customWidth="1"/>
    <col min="8711" max="8711" width="53.5" style="271" customWidth="1"/>
    <col min="8712" max="8960" width="9" style="271"/>
    <col min="8961" max="8961" width="25.5" style="271" customWidth="1"/>
    <col min="8962" max="8962" width="14" style="271" customWidth="1"/>
    <col min="8963" max="8963" width="12.125" style="271" customWidth="1"/>
    <col min="8964" max="8964" width="19.25" style="271" customWidth="1"/>
    <col min="8965" max="8965" width="17.375" style="271" customWidth="1"/>
    <col min="8966" max="8966" width="28.5" style="271" customWidth="1"/>
    <col min="8967" max="8967" width="53.5" style="271" customWidth="1"/>
    <col min="8968" max="9216" width="9" style="271"/>
    <col min="9217" max="9217" width="25.5" style="271" customWidth="1"/>
    <col min="9218" max="9218" width="14" style="271" customWidth="1"/>
    <col min="9219" max="9219" width="12.125" style="271" customWidth="1"/>
    <col min="9220" max="9220" width="19.25" style="271" customWidth="1"/>
    <col min="9221" max="9221" width="17.375" style="271" customWidth="1"/>
    <col min="9222" max="9222" width="28.5" style="271" customWidth="1"/>
    <col min="9223" max="9223" width="53.5" style="271" customWidth="1"/>
    <col min="9224" max="9472" width="9" style="271"/>
    <col min="9473" max="9473" width="25.5" style="271" customWidth="1"/>
    <col min="9474" max="9474" width="14" style="271" customWidth="1"/>
    <col min="9475" max="9475" width="12.125" style="271" customWidth="1"/>
    <col min="9476" max="9476" width="19.25" style="271" customWidth="1"/>
    <col min="9477" max="9477" width="17.375" style="271" customWidth="1"/>
    <col min="9478" max="9478" width="28.5" style="271" customWidth="1"/>
    <col min="9479" max="9479" width="53.5" style="271" customWidth="1"/>
    <col min="9480" max="9728" width="9" style="271"/>
    <col min="9729" max="9729" width="25.5" style="271" customWidth="1"/>
    <col min="9730" max="9730" width="14" style="271" customWidth="1"/>
    <col min="9731" max="9731" width="12.125" style="271" customWidth="1"/>
    <col min="9732" max="9732" width="19.25" style="271" customWidth="1"/>
    <col min="9733" max="9733" width="17.375" style="271" customWidth="1"/>
    <col min="9734" max="9734" width="28.5" style="271" customWidth="1"/>
    <col min="9735" max="9735" width="53.5" style="271" customWidth="1"/>
    <col min="9736" max="9984" width="9" style="271"/>
    <col min="9985" max="9985" width="25.5" style="271" customWidth="1"/>
    <col min="9986" max="9986" width="14" style="271" customWidth="1"/>
    <col min="9987" max="9987" width="12.125" style="271" customWidth="1"/>
    <col min="9988" max="9988" width="19.25" style="271" customWidth="1"/>
    <col min="9989" max="9989" width="17.375" style="271" customWidth="1"/>
    <col min="9990" max="9990" width="28.5" style="271" customWidth="1"/>
    <col min="9991" max="9991" width="53.5" style="271" customWidth="1"/>
    <col min="9992" max="10240" width="9" style="271"/>
    <col min="10241" max="10241" width="25.5" style="271" customWidth="1"/>
    <col min="10242" max="10242" width="14" style="271" customWidth="1"/>
    <col min="10243" max="10243" width="12.125" style="271" customWidth="1"/>
    <col min="10244" max="10244" width="19.25" style="271" customWidth="1"/>
    <col min="10245" max="10245" width="17.375" style="271" customWidth="1"/>
    <col min="10246" max="10246" width="28.5" style="271" customWidth="1"/>
    <col min="10247" max="10247" width="53.5" style="271" customWidth="1"/>
    <col min="10248" max="10496" width="9" style="271"/>
    <col min="10497" max="10497" width="25.5" style="271" customWidth="1"/>
    <col min="10498" max="10498" width="14" style="271" customWidth="1"/>
    <col min="10499" max="10499" width="12.125" style="271" customWidth="1"/>
    <col min="10500" max="10500" width="19.25" style="271" customWidth="1"/>
    <col min="10501" max="10501" width="17.375" style="271" customWidth="1"/>
    <col min="10502" max="10502" width="28.5" style="271" customWidth="1"/>
    <col min="10503" max="10503" width="53.5" style="271" customWidth="1"/>
    <col min="10504" max="10752" width="9" style="271"/>
    <col min="10753" max="10753" width="25.5" style="271" customWidth="1"/>
    <col min="10754" max="10754" width="14" style="271" customWidth="1"/>
    <col min="10755" max="10755" width="12.125" style="271" customWidth="1"/>
    <col min="10756" max="10756" width="19.25" style="271" customWidth="1"/>
    <col min="10757" max="10757" width="17.375" style="271" customWidth="1"/>
    <col min="10758" max="10758" width="28.5" style="271" customWidth="1"/>
    <col min="10759" max="10759" width="53.5" style="271" customWidth="1"/>
    <col min="10760" max="11008" width="9" style="271"/>
    <col min="11009" max="11009" width="25.5" style="271" customWidth="1"/>
    <col min="11010" max="11010" width="14" style="271" customWidth="1"/>
    <col min="11011" max="11011" width="12.125" style="271" customWidth="1"/>
    <col min="11012" max="11012" width="19.25" style="271" customWidth="1"/>
    <col min="11013" max="11013" width="17.375" style="271" customWidth="1"/>
    <col min="11014" max="11014" width="28.5" style="271" customWidth="1"/>
    <col min="11015" max="11015" width="53.5" style="271" customWidth="1"/>
    <col min="11016" max="11264" width="9" style="271"/>
    <col min="11265" max="11265" width="25.5" style="271" customWidth="1"/>
    <col min="11266" max="11266" width="14" style="271" customWidth="1"/>
    <col min="11267" max="11267" width="12.125" style="271" customWidth="1"/>
    <col min="11268" max="11268" width="19.25" style="271" customWidth="1"/>
    <col min="11269" max="11269" width="17.375" style="271" customWidth="1"/>
    <col min="11270" max="11270" width="28.5" style="271" customWidth="1"/>
    <col min="11271" max="11271" width="53.5" style="271" customWidth="1"/>
    <col min="11272" max="11520" width="9" style="271"/>
    <col min="11521" max="11521" width="25.5" style="271" customWidth="1"/>
    <col min="11522" max="11522" width="14" style="271" customWidth="1"/>
    <col min="11523" max="11523" width="12.125" style="271" customWidth="1"/>
    <col min="11524" max="11524" width="19.25" style="271" customWidth="1"/>
    <col min="11525" max="11525" width="17.375" style="271" customWidth="1"/>
    <col min="11526" max="11526" width="28.5" style="271" customWidth="1"/>
    <col min="11527" max="11527" width="53.5" style="271" customWidth="1"/>
    <col min="11528" max="11776" width="9" style="271"/>
    <col min="11777" max="11777" width="25.5" style="271" customWidth="1"/>
    <col min="11778" max="11778" width="14" style="271" customWidth="1"/>
    <col min="11779" max="11779" width="12.125" style="271" customWidth="1"/>
    <col min="11780" max="11780" width="19.25" style="271" customWidth="1"/>
    <col min="11781" max="11781" width="17.375" style="271" customWidth="1"/>
    <col min="11782" max="11782" width="28.5" style="271" customWidth="1"/>
    <col min="11783" max="11783" width="53.5" style="271" customWidth="1"/>
    <col min="11784" max="12032" width="9" style="271"/>
    <col min="12033" max="12033" width="25.5" style="271" customWidth="1"/>
    <col min="12034" max="12034" width="14" style="271" customWidth="1"/>
    <col min="12035" max="12035" width="12.125" style="271" customWidth="1"/>
    <col min="12036" max="12036" width="19.25" style="271" customWidth="1"/>
    <col min="12037" max="12037" width="17.375" style="271" customWidth="1"/>
    <col min="12038" max="12038" width="28.5" style="271" customWidth="1"/>
    <col min="12039" max="12039" width="53.5" style="271" customWidth="1"/>
    <col min="12040" max="12288" width="9" style="271"/>
    <col min="12289" max="12289" width="25.5" style="271" customWidth="1"/>
    <col min="12290" max="12290" width="14" style="271" customWidth="1"/>
    <col min="12291" max="12291" width="12.125" style="271" customWidth="1"/>
    <col min="12292" max="12292" width="19.25" style="271" customWidth="1"/>
    <col min="12293" max="12293" width="17.375" style="271" customWidth="1"/>
    <col min="12294" max="12294" width="28.5" style="271" customWidth="1"/>
    <col min="12295" max="12295" width="53.5" style="271" customWidth="1"/>
    <col min="12296" max="12544" width="9" style="271"/>
    <col min="12545" max="12545" width="25.5" style="271" customWidth="1"/>
    <col min="12546" max="12546" width="14" style="271" customWidth="1"/>
    <col min="12547" max="12547" width="12.125" style="271" customWidth="1"/>
    <col min="12548" max="12548" width="19.25" style="271" customWidth="1"/>
    <col min="12549" max="12549" width="17.375" style="271" customWidth="1"/>
    <col min="12550" max="12550" width="28.5" style="271" customWidth="1"/>
    <col min="12551" max="12551" width="53.5" style="271" customWidth="1"/>
    <col min="12552" max="12800" width="9" style="271"/>
    <col min="12801" max="12801" width="25.5" style="271" customWidth="1"/>
    <col min="12802" max="12802" width="14" style="271" customWidth="1"/>
    <col min="12803" max="12803" width="12.125" style="271" customWidth="1"/>
    <col min="12804" max="12804" width="19.25" style="271" customWidth="1"/>
    <col min="12805" max="12805" width="17.375" style="271" customWidth="1"/>
    <col min="12806" max="12806" width="28.5" style="271" customWidth="1"/>
    <col min="12807" max="12807" width="53.5" style="271" customWidth="1"/>
    <col min="12808" max="13056" width="9" style="271"/>
    <col min="13057" max="13057" width="25.5" style="271" customWidth="1"/>
    <col min="13058" max="13058" width="14" style="271" customWidth="1"/>
    <col min="13059" max="13059" width="12.125" style="271" customWidth="1"/>
    <col min="13060" max="13060" width="19.25" style="271" customWidth="1"/>
    <col min="13061" max="13061" width="17.375" style="271" customWidth="1"/>
    <col min="13062" max="13062" width="28.5" style="271" customWidth="1"/>
    <col min="13063" max="13063" width="53.5" style="271" customWidth="1"/>
    <col min="13064" max="13312" width="9" style="271"/>
    <col min="13313" max="13313" width="25.5" style="271" customWidth="1"/>
    <col min="13314" max="13314" width="14" style="271" customWidth="1"/>
    <col min="13315" max="13315" width="12.125" style="271" customWidth="1"/>
    <col min="13316" max="13316" width="19.25" style="271" customWidth="1"/>
    <col min="13317" max="13317" width="17.375" style="271" customWidth="1"/>
    <col min="13318" max="13318" width="28.5" style="271" customWidth="1"/>
    <col min="13319" max="13319" width="53.5" style="271" customWidth="1"/>
    <col min="13320" max="13568" width="9" style="271"/>
    <col min="13569" max="13569" width="25.5" style="271" customWidth="1"/>
    <col min="13570" max="13570" width="14" style="271" customWidth="1"/>
    <col min="13571" max="13571" width="12.125" style="271" customWidth="1"/>
    <col min="13572" max="13572" width="19.25" style="271" customWidth="1"/>
    <col min="13573" max="13573" width="17.375" style="271" customWidth="1"/>
    <col min="13574" max="13574" width="28.5" style="271" customWidth="1"/>
    <col min="13575" max="13575" width="53.5" style="271" customWidth="1"/>
    <col min="13576" max="13824" width="9" style="271"/>
    <col min="13825" max="13825" width="25.5" style="271" customWidth="1"/>
    <col min="13826" max="13826" width="14" style="271" customWidth="1"/>
    <col min="13827" max="13827" width="12.125" style="271" customWidth="1"/>
    <col min="13828" max="13828" width="19.25" style="271" customWidth="1"/>
    <col min="13829" max="13829" width="17.375" style="271" customWidth="1"/>
    <col min="13830" max="13830" width="28.5" style="271" customWidth="1"/>
    <col min="13831" max="13831" width="53.5" style="271" customWidth="1"/>
    <col min="13832" max="14080" width="9" style="271"/>
    <col min="14081" max="14081" width="25.5" style="271" customWidth="1"/>
    <col min="14082" max="14082" width="14" style="271" customWidth="1"/>
    <col min="14083" max="14083" width="12.125" style="271" customWidth="1"/>
    <col min="14084" max="14084" width="19.25" style="271" customWidth="1"/>
    <col min="14085" max="14085" width="17.375" style="271" customWidth="1"/>
    <col min="14086" max="14086" width="28.5" style="271" customWidth="1"/>
    <col min="14087" max="14087" width="53.5" style="271" customWidth="1"/>
    <col min="14088" max="14336" width="9" style="271"/>
    <col min="14337" max="14337" width="25.5" style="271" customWidth="1"/>
    <col min="14338" max="14338" width="14" style="271" customWidth="1"/>
    <col min="14339" max="14339" width="12.125" style="271" customWidth="1"/>
    <col min="14340" max="14340" width="19.25" style="271" customWidth="1"/>
    <col min="14341" max="14341" width="17.375" style="271" customWidth="1"/>
    <col min="14342" max="14342" width="28.5" style="271" customWidth="1"/>
    <col min="14343" max="14343" width="53.5" style="271" customWidth="1"/>
    <col min="14344" max="14592" width="9" style="271"/>
    <col min="14593" max="14593" width="25.5" style="271" customWidth="1"/>
    <col min="14594" max="14594" width="14" style="271" customWidth="1"/>
    <col min="14595" max="14595" width="12.125" style="271" customWidth="1"/>
    <col min="14596" max="14596" width="19.25" style="271" customWidth="1"/>
    <col min="14597" max="14597" width="17.375" style="271" customWidth="1"/>
    <col min="14598" max="14598" width="28.5" style="271" customWidth="1"/>
    <col min="14599" max="14599" width="53.5" style="271" customWidth="1"/>
    <col min="14600" max="14848" width="9" style="271"/>
    <col min="14849" max="14849" width="25.5" style="271" customWidth="1"/>
    <col min="14850" max="14850" width="14" style="271" customWidth="1"/>
    <col min="14851" max="14851" width="12.125" style="271" customWidth="1"/>
    <col min="14852" max="14852" width="19.25" style="271" customWidth="1"/>
    <col min="14853" max="14853" width="17.375" style="271" customWidth="1"/>
    <col min="14854" max="14854" width="28.5" style="271" customWidth="1"/>
    <col min="14855" max="14855" width="53.5" style="271" customWidth="1"/>
    <col min="14856" max="15104" width="9" style="271"/>
    <col min="15105" max="15105" width="25.5" style="271" customWidth="1"/>
    <col min="15106" max="15106" width="14" style="271" customWidth="1"/>
    <col min="15107" max="15107" width="12.125" style="271" customWidth="1"/>
    <col min="15108" max="15108" width="19.25" style="271" customWidth="1"/>
    <col min="15109" max="15109" width="17.375" style="271" customWidth="1"/>
    <col min="15110" max="15110" width="28.5" style="271" customWidth="1"/>
    <col min="15111" max="15111" width="53.5" style="271" customWidth="1"/>
    <col min="15112" max="15360" width="9" style="271"/>
    <col min="15361" max="15361" width="25.5" style="271" customWidth="1"/>
    <col min="15362" max="15362" width="14" style="271" customWidth="1"/>
    <col min="15363" max="15363" width="12.125" style="271" customWidth="1"/>
    <col min="15364" max="15364" width="19.25" style="271" customWidth="1"/>
    <col min="15365" max="15365" width="17.375" style="271" customWidth="1"/>
    <col min="15366" max="15366" width="28.5" style="271" customWidth="1"/>
    <col min="15367" max="15367" width="53.5" style="271" customWidth="1"/>
    <col min="15368" max="15616" width="9" style="271"/>
    <col min="15617" max="15617" width="25.5" style="271" customWidth="1"/>
    <col min="15618" max="15618" width="14" style="271" customWidth="1"/>
    <col min="15619" max="15619" width="12.125" style="271" customWidth="1"/>
    <col min="15620" max="15620" width="19.25" style="271" customWidth="1"/>
    <col min="15621" max="15621" width="17.375" style="271" customWidth="1"/>
    <col min="15622" max="15622" width="28.5" style="271" customWidth="1"/>
    <col min="15623" max="15623" width="53.5" style="271" customWidth="1"/>
    <col min="15624" max="15872" width="9" style="271"/>
    <col min="15873" max="15873" width="25.5" style="271" customWidth="1"/>
    <col min="15874" max="15874" width="14" style="271" customWidth="1"/>
    <col min="15875" max="15875" width="12.125" style="271" customWidth="1"/>
    <col min="15876" max="15876" width="19.25" style="271" customWidth="1"/>
    <col min="15877" max="15877" width="17.375" style="271" customWidth="1"/>
    <col min="15878" max="15878" width="28.5" style="271" customWidth="1"/>
    <col min="15879" max="15879" width="53.5" style="271" customWidth="1"/>
    <col min="15880" max="16128" width="9" style="271"/>
    <col min="16129" max="16129" width="25.5" style="271" customWidth="1"/>
    <col min="16130" max="16130" width="14" style="271" customWidth="1"/>
    <col min="16131" max="16131" width="12.125" style="271" customWidth="1"/>
    <col min="16132" max="16132" width="19.25" style="271" customWidth="1"/>
    <col min="16133" max="16133" width="17.375" style="271" customWidth="1"/>
    <col min="16134" max="16134" width="28.5" style="271" customWidth="1"/>
    <col min="16135" max="16135" width="53.5" style="271" customWidth="1"/>
    <col min="16136" max="16384" width="9" style="271"/>
  </cols>
  <sheetData>
    <row r="1" spans="1:7">
      <c r="A1" s="271" t="s">
        <v>407</v>
      </c>
    </row>
    <row r="3" spans="1:7">
      <c r="A3" s="143" t="s">
        <v>408</v>
      </c>
      <c r="B3" s="305"/>
    </row>
    <row r="4" spans="1:7" ht="15" thickBot="1">
      <c r="G4" s="272" t="s">
        <v>409</v>
      </c>
    </row>
    <row r="5" spans="1:7" s="273" customFormat="1" ht="59.25" customHeight="1" thickTop="1" thickBot="1">
      <c r="A5" s="1134" t="s">
        <v>410</v>
      </c>
      <c r="B5" s="1137" t="s">
        <v>411</v>
      </c>
      <c r="C5" s="1137" t="s">
        <v>412</v>
      </c>
      <c r="D5" s="1140" t="s">
        <v>413</v>
      </c>
      <c r="E5" s="1141"/>
      <c r="F5" s="1142"/>
      <c r="G5" s="1143" t="s">
        <v>414</v>
      </c>
    </row>
    <row r="6" spans="1:7" s="273" customFormat="1" ht="24.75" customHeight="1" thickTop="1">
      <c r="A6" s="1135"/>
      <c r="B6" s="1138"/>
      <c r="C6" s="1138"/>
      <c r="D6" s="1148" t="s">
        <v>415</v>
      </c>
      <c r="E6" s="1149"/>
      <c r="F6" s="1149"/>
      <c r="G6" s="1144"/>
    </row>
    <row r="7" spans="1:7" s="273" customFormat="1" ht="24.75" customHeight="1" thickBot="1">
      <c r="A7" s="1135"/>
      <c r="B7" s="1138"/>
      <c r="C7" s="1139"/>
      <c r="D7" s="1150"/>
      <c r="E7" s="1151"/>
      <c r="F7" s="1152"/>
      <c r="G7" s="1145"/>
    </row>
    <row r="8" spans="1:7" s="273" customFormat="1" ht="24.75" customHeight="1" thickTop="1">
      <c r="A8" s="1135"/>
      <c r="B8" s="1138"/>
      <c r="C8" s="1139"/>
      <c r="D8" s="1153" t="s">
        <v>416</v>
      </c>
      <c r="E8" s="1155" t="s">
        <v>417</v>
      </c>
      <c r="F8" s="218" t="s">
        <v>418</v>
      </c>
      <c r="G8" s="1146"/>
    </row>
    <row r="9" spans="1:7" s="273" customFormat="1" ht="24.75" customHeight="1" thickBot="1">
      <c r="A9" s="1136"/>
      <c r="B9" s="1136"/>
      <c r="C9" s="1136"/>
      <c r="D9" s="1154"/>
      <c r="E9" s="1156"/>
      <c r="F9" s="219" t="s">
        <v>419</v>
      </c>
      <c r="G9" s="1147"/>
    </row>
    <row r="10" spans="1:7" s="275" customFormat="1" ht="24.75" customHeight="1" thickTop="1" thickBot="1">
      <c r="A10" s="220"/>
      <c r="B10" s="221"/>
      <c r="C10" s="222"/>
      <c r="D10" s="223"/>
      <c r="E10" s="224"/>
      <c r="F10" s="225"/>
      <c r="G10" s="274"/>
    </row>
    <row r="11" spans="1:7" s="275" customFormat="1" ht="24.75" customHeight="1" thickTop="1">
      <c r="A11" s="228" t="s">
        <v>420</v>
      </c>
      <c r="B11" s="229"/>
      <c r="C11" s="229"/>
      <c r="D11" s="230"/>
      <c r="E11" s="231"/>
      <c r="F11" s="232"/>
    </row>
    <row r="12" spans="1:7" s="275" customFormat="1" ht="24.75" customHeight="1">
      <c r="A12" s="233" t="s">
        <v>421</v>
      </c>
      <c r="B12" s="229"/>
      <c r="C12" s="229"/>
      <c r="D12" s="230"/>
      <c r="E12" s="231"/>
      <c r="F12" s="232"/>
    </row>
    <row r="13" spans="1:7" s="275" customFormat="1" ht="24.75" customHeight="1">
      <c r="A13" s="1132" t="s">
        <v>422</v>
      </c>
      <c r="B13" s="1132"/>
      <c r="C13" s="1132"/>
      <c r="D13" s="1132"/>
      <c r="E13" s="1132"/>
      <c r="F13" s="1132"/>
      <c r="G13" s="1132"/>
    </row>
    <row r="14" spans="1:7" s="275" customFormat="1" ht="24.75" customHeight="1">
      <c r="A14" s="1132" t="s">
        <v>423</v>
      </c>
      <c r="B14" s="1132"/>
      <c r="C14" s="1132"/>
      <c r="D14" s="1132"/>
      <c r="E14" s="1132"/>
      <c r="F14" s="1132"/>
      <c r="G14" s="1132"/>
    </row>
    <row r="15" spans="1:7" s="275" customFormat="1" ht="24.75" customHeight="1">
      <c r="A15" s="1132" t="s">
        <v>424</v>
      </c>
      <c r="B15" s="1132"/>
      <c r="C15" s="1132"/>
      <c r="D15" s="1132"/>
      <c r="E15" s="1132"/>
      <c r="F15" s="1132"/>
      <c r="G15" s="1132"/>
    </row>
    <row r="16" spans="1:7" s="275" customFormat="1" ht="24.75" customHeight="1">
      <c r="A16" s="233" t="s">
        <v>425</v>
      </c>
      <c r="B16" s="229"/>
      <c r="C16" s="229"/>
      <c r="D16" s="230"/>
      <c r="E16" s="231"/>
      <c r="F16" s="232"/>
    </row>
    <row r="17" spans="1:7" s="275" customFormat="1" ht="24.75" customHeight="1">
      <c r="A17" s="234" t="s">
        <v>426</v>
      </c>
      <c r="B17" s="229"/>
      <c r="C17" s="229"/>
      <c r="D17" s="230"/>
      <c r="E17" s="231"/>
      <c r="F17" s="232"/>
    </row>
    <row r="18" spans="1:7" ht="24.75" customHeight="1">
      <c r="A18" s="271" t="s">
        <v>427</v>
      </c>
      <c r="B18" s="235"/>
      <c r="C18" s="235"/>
      <c r="D18" s="236"/>
      <c r="E18" s="237"/>
      <c r="F18" s="237"/>
    </row>
    <row r="19" spans="1:7" ht="24.75" customHeight="1">
      <c r="A19" s="271" t="s">
        <v>428</v>
      </c>
      <c r="B19" s="235"/>
      <c r="C19" s="235"/>
      <c r="D19" s="236"/>
      <c r="E19" s="237"/>
      <c r="F19" s="237"/>
    </row>
    <row r="20" spans="1:7" ht="24.75" customHeight="1">
      <c r="A20" s="271" t="s">
        <v>429</v>
      </c>
      <c r="B20" s="235"/>
      <c r="C20" s="235"/>
      <c r="D20" s="236"/>
      <c r="E20" s="237"/>
      <c r="F20" s="237"/>
    </row>
    <row r="21" spans="1:7" ht="24.75" customHeight="1">
      <c r="B21" s="235"/>
      <c r="C21" s="235"/>
      <c r="D21" s="236"/>
      <c r="E21" s="237"/>
      <c r="F21" s="237"/>
    </row>
    <row r="22" spans="1:7" s="275" customFormat="1" ht="24.75" customHeight="1">
      <c r="A22" s="234" t="s">
        <v>430</v>
      </c>
      <c r="B22" s="229"/>
      <c r="C22" s="229"/>
      <c r="D22" s="230"/>
      <c r="E22" s="231"/>
      <c r="F22" s="232"/>
    </row>
    <row r="23" spans="1:7" ht="24.75" customHeight="1">
      <c r="A23" s="271" t="s">
        <v>431</v>
      </c>
    </row>
    <row r="24" spans="1:7" ht="24.75" customHeight="1"/>
    <row r="25" spans="1:7" ht="24.75" customHeight="1">
      <c r="A25" s="271" t="s">
        <v>432</v>
      </c>
    </row>
    <row r="26" spans="1:7" ht="24.75" customHeight="1">
      <c r="A26" s="271" t="s">
        <v>433</v>
      </c>
    </row>
    <row r="27" spans="1:7" ht="24.75" customHeight="1">
      <c r="A27" s="1133" t="s">
        <v>434</v>
      </c>
      <c r="B27" s="1133"/>
      <c r="C27" s="1133"/>
      <c r="D27" s="1133"/>
      <c r="E27" s="1133"/>
      <c r="F27" s="1133"/>
      <c r="G27" s="1133"/>
    </row>
    <row r="28" spans="1:7" ht="24.75" customHeight="1">
      <c r="A28" s="216"/>
    </row>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108"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9" orientation="landscape" blackAndWhite="1" errors="blank" r:id="rId1"/>
  <headerFooter alignWithMargins="0"/>
  <colBreaks count="1" manualBreakCount="1">
    <brk id="7" min="2"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0"/>
  <dimension ref="A1:AN168"/>
  <sheetViews>
    <sheetView showZeros="0" view="pageBreakPreview"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0" width="7" style="1" customWidth="1"/>
    <col min="31"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7" ht="18.75" customHeight="1">
      <c r="B1" s="305"/>
      <c r="AA1" s="1" t="s">
        <v>435</v>
      </c>
    </row>
    <row r="2" spans="1:27" ht="9" customHeight="1"/>
    <row r="3" spans="1:27" ht="18.75" customHeight="1">
      <c r="A3" s="952" t="s">
        <v>436</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7" ht="9" customHeight="1"/>
    <row r="5" spans="1:27" ht="18.75" customHeight="1">
      <c r="L5" s="11"/>
      <c r="N5" s="101" t="s">
        <v>437</v>
      </c>
    </row>
    <row r="6" spans="1:27" ht="18.75" customHeight="1">
      <c r="N6" s="1157"/>
      <c r="O6" s="1157"/>
      <c r="P6" s="1157"/>
      <c r="Q6" s="1157"/>
      <c r="R6" s="1157"/>
      <c r="S6" s="1157"/>
      <c r="T6" s="1157"/>
      <c r="U6" s="1157"/>
      <c r="V6" s="1157"/>
      <c r="W6" s="1157"/>
      <c r="X6" s="1157"/>
      <c r="Y6" s="1157"/>
    </row>
    <row r="7" spans="1:27" ht="18.75" customHeight="1">
      <c r="A7" s="1" t="s">
        <v>438</v>
      </c>
      <c r="I7" s="172"/>
      <c r="J7" s="1" t="s">
        <v>439</v>
      </c>
      <c r="N7" s="35"/>
      <c r="O7" s="35"/>
      <c r="P7" s="35"/>
      <c r="Q7" s="35"/>
      <c r="R7" s="35"/>
      <c r="S7" s="35"/>
      <c r="T7" s="35"/>
      <c r="U7" s="35"/>
      <c r="V7" s="35"/>
      <c r="W7" s="35"/>
      <c r="X7" s="35"/>
      <c r="Y7" s="35"/>
    </row>
    <row r="8" spans="1:27"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7"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7" ht="18.75" customHeight="1">
      <c r="N10" s="35"/>
      <c r="O10" s="35"/>
      <c r="P10" s="35"/>
      <c r="Q10" s="35"/>
      <c r="R10" s="35"/>
      <c r="S10" s="35"/>
      <c r="T10" s="35"/>
      <c r="U10" s="35"/>
      <c r="V10" s="35"/>
      <c r="W10" s="35"/>
      <c r="X10" s="35"/>
      <c r="Y10" s="35"/>
    </row>
    <row r="11" spans="1:27" ht="15" customHeight="1">
      <c r="A11" s="1" t="s">
        <v>441</v>
      </c>
    </row>
    <row r="12" spans="1:27" ht="15" customHeight="1">
      <c r="A12" s="1" t="s">
        <v>442</v>
      </c>
    </row>
    <row r="13" spans="1:27"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7"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7" ht="15" customHeight="1">
      <c r="B15" s="102" t="s">
        <v>448</v>
      </c>
      <c r="C15" s="67"/>
      <c r="D15" s="67"/>
      <c r="E15" s="67"/>
      <c r="F15" s="67"/>
      <c r="G15" s="67"/>
      <c r="H15" s="67"/>
      <c r="I15" s="67"/>
      <c r="J15" s="67"/>
      <c r="K15" s="67"/>
      <c r="L15" s="67"/>
      <c r="M15" s="1174"/>
      <c r="N15" s="1175"/>
      <c r="O15" s="1175"/>
      <c r="P15" s="173" t="s">
        <v>449</v>
      </c>
      <c r="Q15" s="1174"/>
      <c r="R15" s="1175"/>
      <c r="S15" s="1175"/>
      <c r="T15" s="39" t="s">
        <v>449</v>
      </c>
      <c r="U15" s="65" t="s">
        <v>450</v>
      </c>
      <c r="V15" s="1168">
        <f>SUM(M15+Q15)</f>
        <v>0</v>
      </c>
      <c r="W15" s="1168"/>
      <c r="X15" s="1168"/>
      <c r="Y15" s="39" t="s">
        <v>451</v>
      </c>
    </row>
    <row r="16" spans="1:27" ht="15" customHeight="1">
      <c r="B16" s="102" t="s">
        <v>452</v>
      </c>
      <c r="C16" s="67"/>
      <c r="D16" s="67"/>
      <c r="E16" s="67"/>
      <c r="F16" s="67"/>
      <c r="G16" s="67"/>
      <c r="H16" s="67"/>
      <c r="I16" s="67"/>
      <c r="J16" s="67"/>
      <c r="K16" s="67"/>
      <c r="L16" s="67"/>
      <c r="M16" s="1174"/>
      <c r="N16" s="1175"/>
      <c r="O16" s="1175"/>
      <c r="P16" s="173" t="s">
        <v>449</v>
      </c>
      <c r="Q16" s="1174"/>
      <c r="R16" s="1175"/>
      <c r="S16" s="117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173" t="s">
        <v>449</v>
      </c>
      <c r="Q17" s="1169">
        <f>SUM(Q15:S16)</f>
        <v>0</v>
      </c>
      <c r="R17" s="1170"/>
      <c r="S17" s="1170"/>
      <c r="T17" s="175" t="s">
        <v>449</v>
      </c>
      <c r="U17" s="176" t="s">
        <v>454</v>
      </c>
      <c r="V17" s="1170">
        <f>SUM(V15:X16)</f>
        <v>0</v>
      </c>
      <c r="W17" s="1170"/>
      <c r="X17" s="1170"/>
      <c r="Y17" s="39" t="s">
        <v>451</v>
      </c>
    </row>
    <row r="18" spans="1:25" ht="12" customHeight="1">
      <c r="B18" s="101" t="s">
        <v>455</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450" t="s">
        <v>456</v>
      </c>
      <c r="C19" s="1451"/>
      <c r="D19" s="1451"/>
      <c r="E19" s="1451"/>
      <c r="F19" s="1451"/>
      <c r="G19" s="1451"/>
      <c r="H19" s="1451"/>
      <c r="I19" s="1451"/>
      <c r="J19" s="1451"/>
      <c r="K19" s="1451"/>
      <c r="L19" s="1451"/>
      <c r="M19" s="1451"/>
      <c r="N19" s="1451"/>
      <c r="O19" s="1451"/>
      <c r="P19" s="1451"/>
      <c r="Q19" s="1451"/>
      <c r="R19" s="1451"/>
      <c r="S19" s="1451"/>
      <c r="T19" s="1451"/>
      <c r="U19" s="1451"/>
      <c r="V19" s="1451"/>
      <c r="W19" s="1451"/>
      <c r="X19" s="1451"/>
      <c r="Y19" s="1451"/>
    </row>
    <row r="20" spans="1:25" ht="12" customHeight="1">
      <c r="C20" s="101" t="s">
        <v>457</v>
      </c>
    </row>
    <row r="21" spans="1:25" ht="9" customHeight="1"/>
    <row r="22" spans="1:25" ht="15" customHeight="1">
      <c r="A22" s="1" t="s">
        <v>458</v>
      </c>
    </row>
    <row r="23" spans="1:25" ht="15" customHeight="1">
      <c r="B23" s="1" t="s">
        <v>459</v>
      </c>
    </row>
    <row r="24" spans="1:25" ht="15" customHeight="1">
      <c r="B24" s="102" t="s">
        <v>460</v>
      </c>
      <c r="C24" s="103"/>
      <c r="D24" s="103"/>
      <c r="E24" s="103"/>
      <c r="F24" s="103"/>
      <c r="G24" s="103"/>
      <c r="H24" s="103"/>
      <c r="I24" s="104"/>
      <c r="J24" s="1171">
        <f>M17</f>
        <v>0</v>
      </c>
      <c r="K24" s="1172"/>
      <c r="L24" s="1172"/>
      <c r="M24" s="1172"/>
      <c r="N24" s="71" t="s">
        <v>451</v>
      </c>
      <c r="O24" s="102" t="s">
        <v>461</v>
      </c>
      <c r="P24" s="67"/>
      <c r="Q24" s="67"/>
      <c r="R24" s="71"/>
      <c r="S24" s="122" t="s">
        <v>462</v>
      </c>
      <c r="T24" s="1173">
        <f>ROUND(J24/12,3)</f>
        <v>0</v>
      </c>
      <c r="U24" s="1173"/>
      <c r="V24" s="1173"/>
      <c r="W24" s="1173"/>
      <c r="X24" s="1173"/>
      <c r="Y24" s="71" t="s">
        <v>451</v>
      </c>
    </row>
    <row r="25" spans="1:25" ht="15" customHeight="1">
      <c r="B25" s="102" t="s">
        <v>463</v>
      </c>
      <c r="C25" s="103"/>
      <c r="D25" s="103"/>
      <c r="E25" s="103"/>
      <c r="F25" s="103"/>
      <c r="G25" s="103"/>
      <c r="H25" s="103"/>
      <c r="I25" s="104"/>
      <c r="J25" s="1171">
        <f>Q17</f>
        <v>0</v>
      </c>
      <c r="K25" s="1172"/>
      <c r="L25" s="1172"/>
      <c r="M25" s="1172"/>
      <c r="N25" s="71" t="s">
        <v>451</v>
      </c>
      <c r="O25" s="102" t="s">
        <v>461</v>
      </c>
      <c r="P25" s="67"/>
      <c r="Q25" s="67"/>
      <c r="R25" s="71"/>
      <c r="S25" s="122" t="s">
        <v>464</v>
      </c>
      <c r="T25" s="1173">
        <f>ROUND(J25/12,3)</f>
        <v>0</v>
      </c>
      <c r="U25" s="1173"/>
      <c r="V25" s="1173"/>
      <c r="W25" s="1173"/>
      <c r="X25" s="1173"/>
      <c r="Y25" s="71" t="s">
        <v>451</v>
      </c>
    </row>
    <row r="26" spans="1:25" ht="15" customHeight="1">
      <c r="B26" s="107"/>
      <c r="C26" s="107"/>
      <c r="D26" s="107"/>
      <c r="E26" s="107"/>
      <c r="F26" s="108"/>
      <c r="G26" s="108"/>
      <c r="H26" s="76"/>
      <c r="I26" s="107"/>
      <c r="J26" s="107"/>
      <c r="K26" s="107"/>
      <c r="L26" s="107"/>
      <c r="M26" s="102"/>
      <c r="N26" s="67"/>
      <c r="O26" s="67"/>
      <c r="P26" s="67" t="s">
        <v>447</v>
      </c>
      <c r="Q26" s="157"/>
      <c r="R26" s="65"/>
      <c r="S26" s="157"/>
      <c r="T26" s="177"/>
      <c r="U26" s="1184">
        <f>SUM(T24:X25)</f>
        <v>0</v>
      </c>
      <c r="V26" s="1452"/>
      <c r="W26" s="1452"/>
      <c r="X26" s="1452"/>
      <c r="Y26" s="71" t="s">
        <v>451</v>
      </c>
    </row>
    <row r="27" spans="1:25" ht="15" customHeight="1">
      <c r="B27" s="35"/>
      <c r="C27" s="35"/>
      <c r="D27" s="35"/>
      <c r="E27" s="35"/>
      <c r="F27" s="110"/>
      <c r="G27" s="110"/>
      <c r="I27" s="35"/>
      <c r="J27" s="35"/>
      <c r="K27" s="35"/>
      <c r="L27" s="35"/>
      <c r="M27" s="102" t="s">
        <v>465</v>
      </c>
      <c r="N27" s="67"/>
      <c r="O27" s="67"/>
      <c r="P27" s="67"/>
      <c r="Q27" s="157"/>
      <c r="R27" s="65"/>
      <c r="S27" s="157"/>
      <c r="T27" s="122" t="s">
        <v>466</v>
      </c>
      <c r="U27" s="1185">
        <f>ROUND(IF(T24=0,IF(J25=0,0,T25),IF(J25=0,T24,(T24+T25)/2)),0)</f>
        <v>0</v>
      </c>
      <c r="V27" s="1453"/>
      <c r="W27" s="1453"/>
      <c r="X27" s="1453"/>
      <c r="Y27" s="71" t="s">
        <v>449</v>
      </c>
    </row>
    <row r="28" spans="1:25" ht="9" customHeight="1"/>
    <row r="29" spans="1:25" ht="15" customHeight="1">
      <c r="B29" s="1" t="s">
        <v>467</v>
      </c>
      <c r="T29" s="35"/>
    </row>
    <row r="30" spans="1:25" ht="15" customHeight="1">
      <c r="B30" s="102" t="s">
        <v>460</v>
      </c>
      <c r="C30" s="103"/>
      <c r="D30" s="103"/>
      <c r="E30" s="103"/>
      <c r="F30" s="103"/>
      <c r="G30" s="103"/>
      <c r="H30" s="103"/>
      <c r="I30" s="104"/>
      <c r="J30" s="1454">
        <f>M15</f>
        <v>0</v>
      </c>
      <c r="K30" s="1453"/>
      <c r="L30" s="1453"/>
      <c r="M30" s="1453"/>
      <c r="N30" s="71" t="s">
        <v>451</v>
      </c>
      <c r="O30" s="102" t="s">
        <v>461</v>
      </c>
      <c r="P30" s="67"/>
      <c r="Q30" s="67"/>
      <c r="R30" s="71"/>
      <c r="S30" s="122" t="s">
        <v>468</v>
      </c>
      <c r="T30" s="1173">
        <f>ROUND(J30/12,3)</f>
        <v>0</v>
      </c>
      <c r="U30" s="1173"/>
      <c r="V30" s="1173"/>
      <c r="W30" s="1173"/>
      <c r="X30" s="1173"/>
      <c r="Y30" s="71" t="s">
        <v>451</v>
      </c>
    </row>
    <row r="31" spans="1:25" ht="15" customHeight="1">
      <c r="B31" s="102" t="s">
        <v>463</v>
      </c>
      <c r="C31" s="103"/>
      <c r="D31" s="103"/>
      <c r="E31" s="103"/>
      <c r="F31" s="103"/>
      <c r="G31" s="103"/>
      <c r="H31" s="103"/>
      <c r="I31" s="104"/>
      <c r="J31" s="1454">
        <f>Q15</f>
        <v>0</v>
      </c>
      <c r="K31" s="1453"/>
      <c r="L31" s="1453"/>
      <c r="M31" s="1453"/>
      <c r="N31" s="71" t="s">
        <v>451</v>
      </c>
      <c r="O31" s="102" t="s">
        <v>461</v>
      </c>
      <c r="P31" s="67"/>
      <c r="Q31" s="67"/>
      <c r="R31" s="71"/>
      <c r="S31" s="122" t="s">
        <v>469</v>
      </c>
      <c r="T31" s="1173">
        <f>ROUND(J31/12,3)</f>
        <v>0</v>
      </c>
      <c r="U31" s="1173"/>
      <c r="V31" s="1173"/>
      <c r="W31" s="1173"/>
      <c r="X31" s="1173"/>
      <c r="Y31" s="71" t="s">
        <v>451</v>
      </c>
    </row>
    <row r="32" spans="1:25" ht="12" customHeight="1">
      <c r="B32" s="1176" t="s">
        <v>470</v>
      </c>
      <c r="C32" s="1176"/>
      <c r="D32" s="1176"/>
      <c r="E32" s="1176"/>
      <c r="F32" s="1176"/>
      <c r="G32" s="1176"/>
      <c r="H32" s="1176"/>
      <c r="I32" s="1176"/>
      <c r="J32" s="1176"/>
      <c r="K32" s="1176"/>
      <c r="L32" s="1176"/>
      <c r="M32" s="1176"/>
      <c r="N32" s="1176"/>
      <c r="O32" s="1176"/>
      <c r="P32" s="1176"/>
      <c r="Q32" s="1176"/>
      <c r="R32" s="1176"/>
      <c r="S32" s="1176"/>
      <c r="T32" s="1176"/>
      <c r="U32" s="1176"/>
      <c r="V32" s="1176"/>
      <c r="W32" s="1176"/>
      <c r="X32" s="1176"/>
      <c r="Y32" s="1176"/>
    </row>
    <row r="33" spans="1:25" ht="12" customHeight="1">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row>
    <row r="34" spans="1:25" ht="12" customHeight="1">
      <c r="B34" s="1178" t="s">
        <v>471</v>
      </c>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row>
    <row r="35" spans="1:25" ht="12" customHeight="1">
      <c r="B35" s="1179"/>
      <c r="C35" s="1179"/>
      <c r="D35" s="1179"/>
      <c r="E35" s="1179"/>
      <c r="F35" s="1179"/>
      <c r="G35" s="1179"/>
      <c r="H35" s="1179"/>
      <c r="I35" s="1179"/>
      <c r="J35" s="1179"/>
      <c r="K35" s="1179"/>
      <c r="L35" s="1179"/>
      <c r="M35" s="1179"/>
      <c r="N35" s="1179"/>
      <c r="O35" s="1179"/>
      <c r="P35" s="1179"/>
      <c r="Q35" s="1179"/>
      <c r="R35" s="1179"/>
      <c r="S35" s="1179"/>
      <c r="T35" s="1179"/>
      <c r="U35" s="1179"/>
      <c r="V35" s="1179"/>
      <c r="W35" s="1179"/>
      <c r="X35" s="1179"/>
      <c r="Y35" s="1179"/>
    </row>
    <row r="36" spans="1:25" ht="9" customHeight="1">
      <c r="A36" s="101"/>
    </row>
    <row r="37" spans="1:25" ht="15" customHeight="1">
      <c r="A37" s="1" t="s">
        <v>472</v>
      </c>
    </row>
    <row r="38" spans="1:25" ht="15" customHeight="1">
      <c r="B38" s="102" t="s">
        <v>473</v>
      </c>
      <c r="C38" s="103"/>
      <c r="D38" s="103"/>
      <c r="E38" s="103"/>
      <c r="F38" s="103"/>
      <c r="G38" s="103"/>
      <c r="H38" s="103"/>
      <c r="I38" s="104"/>
      <c r="J38" s="1180"/>
      <c r="K38" s="1181"/>
      <c r="L38" s="1181"/>
      <c r="M38" s="1181"/>
      <c r="N38" s="71" t="s">
        <v>451</v>
      </c>
      <c r="O38" s="105" t="s">
        <v>474</v>
      </c>
      <c r="P38" s="67"/>
      <c r="Q38" s="67"/>
      <c r="R38" s="67"/>
      <c r="S38" s="158"/>
      <c r="T38" s="106"/>
      <c r="U38" s="1182"/>
      <c r="V38" s="1183"/>
      <c r="W38" s="1183"/>
      <c r="X38" s="1183"/>
      <c r="Y38" s="71" t="s">
        <v>451</v>
      </c>
    </row>
    <row r="39" spans="1:25" ht="15" customHeight="1">
      <c r="B39" s="102" t="s">
        <v>475</v>
      </c>
      <c r="C39" s="103"/>
      <c r="D39" s="103"/>
      <c r="E39" s="103"/>
      <c r="F39" s="103"/>
      <c r="G39" s="103"/>
      <c r="H39" s="103"/>
      <c r="I39" s="104"/>
      <c r="J39" s="1180"/>
      <c r="K39" s="1181"/>
      <c r="L39" s="1181"/>
      <c r="M39" s="1181"/>
      <c r="N39" s="71" t="s">
        <v>451</v>
      </c>
      <c r="O39" s="105" t="s">
        <v>476</v>
      </c>
      <c r="P39" s="67"/>
      <c r="Q39" s="67"/>
      <c r="R39" s="67"/>
      <c r="S39" s="158"/>
      <c r="T39" s="106"/>
      <c r="U39" s="1182"/>
      <c r="V39" s="1183"/>
      <c r="W39" s="1183"/>
      <c r="X39" s="1183"/>
      <c r="Y39" s="71" t="s">
        <v>451</v>
      </c>
    </row>
    <row r="40" spans="1:25" ht="15" customHeight="1">
      <c r="B40" s="107"/>
      <c r="C40" s="107"/>
      <c r="D40" s="107"/>
      <c r="E40" s="107"/>
      <c r="F40" s="108"/>
      <c r="G40" s="108"/>
      <c r="H40" s="76"/>
      <c r="I40" s="107"/>
      <c r="J40" s="107"/>
      <c r="K40" s="107"/>
      <c r="L40" s="107"/>
      <c r="M40" s="102"/>
      <c r="N40" s="67"/>
      <c r="O40" s="67"/>
      <c r="P40" s="67" t="s">
        <v>447</v>
      </c>
      <c r="Q40" s="157"/>
      <c r="R40" s="65"/>
      <c r="S40" s="157"/>
      <c r="T40" s="109"/>
      <c r="U40" s="1194">
        <f>SUM(U38:X39)</f>
        <v>0</v>
      </c>
      <c r="V40" s="1455"/>
      <c r="W40" s="1455"/>
      <c r="X40" s="1455"/>
      <c r="Y40" s="71" t="s">
        <v>451</v>
      </c>
    </row>
    <row r="41" spans="1:25" ht="15" customHeight="1">
      <c r="B41" s="35"/>
      <c r="C41" s="35"/>
      <c r="D41" s="35"/>
      <c r="E41" s="35"/>
      <c r="F41" s="110"/>
      <c r="G41" s="110"/>
      <c r="I41" s="35"/>
      <c r="J41" s="35"/>
      <c r="K41" s="35"/>
      <c r="L41" s="35"/>
      <c r="M41" s="111" t="s">
        <v>477</v>
      </c>
      <c r="N41" s="67"/>
      <c r="O41" s="67"/>
      <c r="P41" s="67"/>
      <c r="Q41" s="157"/>
      <c r="R41" s="65"/>
      <c r="S41" s="157"/>
      <c r="T41" s="158"/>
      <c r="U41" s="1195" t="e">
        <f>ROUNDDOWN(U40/(J38+J39),3)</f>
        <v>#DIV/0!</v>
      </c>
      <c r="V41" s="1456"/>
      <c r="W41" s="1456"/>
      <c r="X41" s="1456"/>
      <c r="Y41" s="71"/>
    </row>
    <row r="42" spans="1:25" ht="6" customHeight="1">
      <c r="B42" s="35"/>
      <c r="C42" s="35"/>
      <c r="D42" s="35"/>
      <c r="E42" s="35"/>
      <c r="F42" s="110"/>
      <c r="G42" s="110"/>
      <c r="I42" s="35"/>
      <c r="J42" s="35"/>
      <c r="K42" s="35"/>
      <c r="L42" s="35"/>
      <c r="M42" s="18"/>
      <c r="Q42" s="35"/>
      <c r="R42" s="155"/>
      <c r="S42" s="35"/>
      <c r="T42" s="35"/>
      <c r="U42" s="112"/>
      <c r="V42" s="113"/>
      <c r="W42" s="113"/>
      <c r="X42" s="113"/>
    </row>
    <row r="43" spans="1:25" ht="12" customHeight="1">
      <c r="B43" s="1196" t="s">
        <v>478</v>
      </c>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row>
    <row r="44" spans="1:25" ht="12" customHeigh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25" ht="15" customHeight="1">
      <c r="A45" s="1" t="s">
        <v>479</v>
      </c>
    </row>
    <row r="46" spans="1:25" ht="15" customHeight="1">
      <c r="B46" s="1158" t="s">
        <v>443</v>
      </c>
      <c r="C46" s="1159"/>
      <c r="D46" s="1159"/>
      <c r="E46" s="1159"/>
      <c r="F46" s="1159"/>
      <c r="G46" s="1159"/>
      <c r="H46" s="1159"/>
      <c r="I46" s="1159"/>
      <c r="J46" s="1159"/>
      <c r="K46" s="1159"/>
      <c r="L46" s="1160"/>
      <c r="M46" s="1164" t="s">
        <v>444</v>
      </c>
      <c r="N46" s="1165"/>
      <c r="O46" s="1165"/>
      <c r="P46" s="1165"/>
      <c r="Q46" s="1165"/>
      <c r="R46" s="1165"/>
      <c r="S46" s="1165"/>
      <c r="T46" s="1165"/>
      <c r="U46" s="1165"/>
      <c r="V46" s="1165"/>
      <c r="W46" s="1165"/>
      <c r="X46" s="1165"/>
      <c r="Y46" s="1166"/>
    </row>
    <row r="47" spans="1:25" ht="15" customHeight="1">
      <c r="B47" s="1161"/>
      <c r="C47" s="1162"/>
      <c r="D47" s="1162"/>
      <c r="E47" s="1162"/>
      <c r="F47" s="1162"/>
      <c r="G47" s="1162"/>
      <c r="H47" s="1162"/>
      <c r="I47" s="1162"/>
      <c r="J47" s="1162"/>
      <c r="K47" s="1162"/>
      <c r="L47" s="1163"/>
      <c r="M47" s="1164" t="s">
        <v>445</v>
      </c>
      <c r="N47" s="1165"/>
      <c r="O47" s="1165"/>
      <c r="P47" s="1166"/>
      <c r="Q47" s="1164" t="s">
        <v>446</v>
      </c>
      <c r="R47" s="1165"/>
      <c r="S47" s="1165"/>
      <c r="T47" s="1166"/>
      <c r="U47" s="1164" t="s">
        <v>447</v>
      </c>
      <c r="V47" s="1165"/>
      <c r="W47" s="1165"/>
      <c r="X47" s="1165"/>
      <c r="Y47" s="1166"/>
    </row>
    <row r="48" spans="1:25" ht="15" customHeight="1">
      <c r="B48" s="75" t="s">
        <v>448</v>
      </c>
      <c r="C48" s="76"/>
      <c r="D48" s="76"/>
      <c r="E48" s="76"/>
      <c r="F48" s="76"/>
      <c r="G48" s="76"/>
      <c r="H48" s="76"/>
      <c r="I48" s="76"/>
      <c r="J48" s="76"/>
      <c r="K48" s="76"/>
      <c r="L48" s="76"/>
      <c r="M48" s="1186">
        <f>M15</f>
        <v>0</v>
      </c>
      <c r="N48" s="1187"/>
      <c r="O48" s="1187"/>
      <c r="P48" s="114" t="s">
        <v>449</v>
      </c>
      <c r="Q48" s="1186">
        <f>Q15</f>
        <v>0</v>
      </c>
      <c r="R48" s="1187"/>
      <c r="S48" s="1187"/>
      <c r="T48" s="115" t="s">
        <v>449</v>
      </c>
      <c r="U48" s="116" t="s">
        <v>450</v>
      </c>
      <c r="V48" s="1187">
        <f>V15</f>
        <v>0</v>
      </c>
      <c r="W48" s="1187"/>
      <c r="X48" s="1187"/>
      <c r="Y48" s="115" t="s">
        <v>451</v>
      </c>
    </row>
    <row r="49" spans="1:25" ht="15" customHeight="1">
      <c r="B49" s="1188" t="s">
        <v>480</v>
      </c>
      <c r="C49" s="1189"/>
      <c r="D49" s="1189"/>
      <c r="E49" s="1189"/>
      <c r="F49" s="1189"/>
      <c r="G49" s="1189"/>
      <c r="H49" s="1189"/>
      <c r="I49" s="1189"/>
      <c r="J49" s="1189"/>
      <c r="K49" s="1189"/>
      <c r="L49" s="1190"/>
      <c r="M49" s="1191"/>
      <c r="N49" s="1192"/>
      <c r="O49" s="1192"/>
      <c r="P49" s="117" t="s">
        <v>449</v>
      </c>
      <c r="Q49" s="1191"/>
      <c r="R49" s="1192"/>
      <c r="S49" s="1192"/>
      <c r="T49" s="118" t="s">
        <v>449</v>
      </c>
      <c r="U49" s="119" t="s">
        <v>481</v>
      </c>
      <c r="V49" s="1193">
        <f>M49+Q49</f>
        <v>0</v>
      </c>
      <c r="W49" s="1193"/>
      <c r="X49" s="1193"/>
      <c r="Y49" s="118" t="s">
        <v>449</v>
      </c>
    </row>
    <row r="50" spans="1:25" ht="12" customHeight="1">
      <c r="B50" s="101" t="s">
        <v>455</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450" t="s">
        <v>456</v>
      </c>
      <c r="C51" s="1451"/>
      <c r="D51" s="1451"/>
      <c r="E51" s="1451"/>
      <c r="F51" s="1451"/>
      <c r="G51" s="1451"/>
      <c r="H51" s="1451"/>
      <c r="I51" s="1451"/>
      <c r="J51" s="1451"/>
      <c r="K51" s="1451"/>
      <c r="L51" s="1451"/>
      <c r="M51" s="1451"/>
      <c r="N51" s="1451"/>
      <c r="O51" s="1451"/>
      <c r="P51" s="1451"/>
      <c r="Q51" s="1451"/>
      <c r="R51" s="1451"/>
      <c r="S51" s="1451"/>
      <c r="T51" s="1451"/>
      <c r="U51" s="1451"/>
      <c r="V51" s="1451"/>
      <c r="W51" s="1451"/>
      <c r="X51" s="1451"/>
      <c r="Y51" s="1451"/>
    </row>
    <row r="52" spans="1:25" ht="12" customHeight="1">
      <c r="C52" s="101" t="s">
        <v>457</v>
      </c>
    </row>
    <row r="53" spans="1:25" ht="12" customHeight="1">
      <c r="C53" s="101"/>
    </row>
    <row r="54" spans="1:25" ht="15" customHeight="1">
      <c r="A54" s="1" t="s">
        <v>482</v>
      </c>
    </row>
    <row r="55" spans="1:25" ht="15" customHeight="1">
      <c r="P55" s="121"/>
      <c r="Q55" s="1197" t="s">
        <v>483</v>
      </c>
      <c r="R55" s="1198"/>
      <c r="S55" s="1199"/>
      <c r="T55" s="122" t="s">
        <v>484</v>
      </c>
      <c r="U55" s="1457"/>
      <c r="V55" s="1457"/>
      <c r="W55" s="1457"/>
      <c r="X55" s="1457"/>
      <c r="Y55" s="71" t="s">
        <v>485</v>
      </c>
    </row>
    <row r="56" spans="1:25" ht="15" customHeight="1">
      <c r="Q56" s="35"/>
      <c r="R56" s="35"/>
      <c r="S56" s="35"/>
      <c r="T56" s="35"/>
    </row>
    <row r="57" spans="1:25" ht="15" customHeight="1">
      <c r="A57" s="1" t="s">
        <v>486</v>
      </c>
      <c r="V57" s="1200" t="s">
        <v>487</v>
      </c>
      <c r="W57" s="1200"/>
      <c r="X57" s="1200" t="s">
        <v>488</v>
      </c>
      <c r="Y57" s="1200"/>
    </row>
    <row r="58" spans="1:25" ht="15" customHeight="1">
      <c r="V58" s="1200"/>
      <c r="W58" s="1200"/>
      <c r="X58" s="1200"/>
      <c r="Y58" s="1200"/>
    </row>
    <row r="59" spans="1:25"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25"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25"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25"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25" ht="15" customHeight="1">
      <c r="Q63" s="35"/>
      <c r="R63" s="35"/>
      <c r="S63" s="35"/>
      <c r="T63" s="35"/>
    </row>
    <row r="64" spans="1:25" ht="12" customHeight="1">
      <c r="B64" s="178"/>
      <c r="N64" s="44"/>
      <c r="O64" s="44"/>
      <c r="P64" s="44"/>
      <c r="Q64" s="179"/>
      <c r="R64" s="35"/>
      <c r="S64" s="35"/>
      <c r="T64" s="34"/>
    </row>
    <row r="65" spans="1:40" ht="24.95" customHeight="1">
      <c r="A65" s="1207" t="s">
        <v>493</v>
      </c>
      <c r="B65" s="1207"/>
      <c r="C65" s="1207"/>
      <c r="D65" s="1207"/>
      <c r="E65" s="1207"/>
      <c r="F65" s="1207"/>
      <c r="G65" s="1207"/>
      <c r="H65" s="1207"/>
      <c r="I65" s="1207"/>
      <c r="J65" s="1207"/>
      <c r="K65" s="1207"/>
      <c r="L65" s="1207"/>
      <c r="M65" s="1207"/>
      <c r="N65" s="1012" t="s">
        <v>494</v>
      </c>
      <c r="O65" s="970"/>
      <c r="P65" s="1210" t="s">
        <v>495</v>
      </c>
      <c r="Q65" s="1211"/>
      <c r="R65" s="1211"/>
      <c r="S65" s="1212"/>
      <c r="T65" s="174" t="s">
        <v>496</v>
      </c>
      <c r="U65" s="1458"/>
      <c r="V65" s="1459"/>
      <c r="W65" s="1459"/>
      <c r="X65" s="1460"/>
      <c r="Y65" s="71" t="s">
        <v>497</v>
      </c>
    </row>
    <row r="66" spans="1:40" ht="24.95" customHeight="1">
      <c r="A66" s="1207"/>
      <c r="B66" s="1207"/>
      <c r="C66" s="1207"/>
      <c r="D66" s="1207"/>
      <c r="E66" s="1207"/>
      <c r="F66" s="1207"/>
      <c r="G66" s="1207"/>
      <c r="H66" s="1207"/>
      <c r="I66" s="1207"/>
      <c r="J66" s="1207"/>
      <c r="K66" s="1207"/>
      <c r="L66" s="1207"/>
      <c r="M66" s="1207"/>
      <c r="N66" s="1214"/>
      <c r="O66" s="1215"/>
      <c r="P66" s="1210" t="s">
        <v>498</v>
      </c>
      <c r="Q66" s="1211"/>
      <c r="R66" s="1211"/>
      <c r="S66" s="1212"/>
      <c r="T66" s="174" t="s">
        <v>499</v>
      </c>
      <c r="U66" s="1458"/>
      <c r="V66" s="1459"/>
      <c r="W66" s="1459"/>
      <c r="X66" s="1460"/>
      <c r="Y66" s="71" t="s">
        <v>485</v>
      </c>
      <c r="AM66" s="180"/>
      <c r="AN66" s="180"/>
    </row>
    <row r="67" spans="1:40" ht="24.95" customHeight="1">
      <c r="A67" s="1207" t="s">
        <v>500</v>
      </c>
      <c r="B67" s="1207"/>
      <c r="C67" s="1207"/>
      <c r="D67" s="1207"/>
      <c r="E67" s="1207"/>
      <c r="F67" s="1207"/>
      <c r="G67" s="1207"/>
      <c r="H67" s="1207"/>
      <c r="I67" s="1207"/>
      <c r="J67" s="1207"/>
      <c r="K67" s="1207"/>
      <c r="L67" s="1207"/>
      <c r="M67" s="1207"/>
      <c r="N67" s="1208" t="s">
        <v>501</v>
      </c>
      <c r="O67" s="1209"/>
      <c r="P67" s="1210" t="s">
        <v>495</v>
      </c>
      <c r="Q67" s="1211"/>
      <c r="R67" s="1211"/>
      <c r="S67" s="1212"/>
      <c r="T67" s="174" t="s">
        <v>502</v>
      </c>
      <c r="U67" s="1458"/>
      <c r="V67" s="1459"/>
      <c r="W67" s="1459"/>
      <c r="X67" s="1460"/>
      <c r="Y67" s="71" t="s">
        <v>497</v>
      </c>
      <c r="AM67" s="180">
        <v>1</v>
      </c>
      <c r="AN67" s="180">
        <v>2</v>
      </c>
    </row>
    <row r="68" spans="1:40" ht="24.95" customHeight="1">
      <c r="A68" s="1207"/>
      <c r="B68" s="1207"/>
      <c r="C68" s="1207"/>
      <c r="D68" s="1207"/>
      <c r="E68" s="1207"/>
      <c r="F68" s="1207"/>
      <c r="G68" s="1207"/>
      <c r="H68" s="1207"/>
      <c r="I68" s="1207"/>
      <c r="J68" s="1207"/>
      <c r="K68" s="1207"/>
      <c r="L68" s="1207"/>
      <c r="M68" s="1207"/>
      <c r="N68" s="1013"/>
      <c r="O68" s="971"/>
      <c r="P68" s="1210" t="s">
        <v>498</v>
      </c>
      <c r="Q68" s="1211"/>
      <c r="R68" s="1211"/>
      <c r="S68" s="1212"/>
      <c r="T68" s="174" t="s">
        <v>503</v>
      </c>
      <c r="U68" s="1458"/>
      <c r="V68" s="1459"/>
      <c r="W68" s="1459"/>
      <c r="X68" s="1460"/>
      <c r="Y68" s="71" t="s">
        <v>485</v>
      </c>
      <c r="AM68" s="180">
        <v>2</v>
      </c>
      <c r="AN68" s="180">
        <v>3</v>
      </c>
    </row>
    <row r="69" spans="1:40" ht="13.5" customHeight="1">
      <c r="A69" s="74"/>
      <c r="B69" s="74"/>
      <c r="C69" s="74"/>
      <c r="D69" s="74"/>
      <c r="E69" s="74"/>
      <c r="F69" s="74"/>
      <c r="G69" s="74"/>
      <c r="H69" s="74"/>
      <c r="I69" s="74"/>
      <c r="J69" s="74"/>
      <c r="K69" s="74"/>
      <c r="L69" s="74"/>
      <c r="M69" s="74"/>
      <c r="N69" s="179"/>
      <c r="O69" s="179"/>
      <c r="P69" s="179"/>
      <c r="Q69" s="179"/>
      <c r="R69" s="179"/>
      <c r="S69" s="179"/>
      <c r="T69" s="34"/>
      <c r="AM69" s="180">
        <v>3</v>
      </c>
    </row>
    <row r="70" spans="1:40" ht="24.95" customHeight="1">
      <c r="A70" s="1207" t="s">
        <v>504</v>
      </c>
      <c r="B70" s="1207"/>
      <c r="C70" s="1207"/>
      <c r="D70" s="1207"/>
      <c r="E70" s="1207"/>
      <c r="F70" s="1207"/>
      <c r="G70" s="1207"/>
      <c r="H70" s="1207"/>
      <c r="I70" s="1207"/>
      <c r="J70" s="1207"/>
      <c r="K70" s="1207"/>
      <c r="L70" s="1207"/>
      <c r="M70" s="1207"/>
      <c r="N70" s="1222" t="s">
        <v>494</v>
      </c>
      <c r="O70" s="1223"/>
      <c r="P70" s="1226" t="s">
        <v>495</v>
      </c>
      <c r="Q70" s="1227"/>
      <c r="R70" s="1227"/>
      <c r="S70" s="1228"/>
      <c r="T70" s="181" t="s">
        <v>505</v>
      </c>
      <c r="U70" s="1461"/>
      <c r="V70" s="1462"/>
      <c r="W70" s="1462"/>
      <c r="X70" s="1463"/>
      <c r="Y70" s="182" t="s">
        <v>497</v>
      </c>
      <c r="AM70" s="180">
        <v>4</v>
      </c>
    </row>
    <row r="71" spans="1:40" ht="24.95" customHeight="1">
      <c r="A71" s="1207"/>
      <c r="B71" s="1207"/>
      <c r="C71" s="1207"/>
      <c r="D71" s="1207"/>
      <c r="E71" s="1207"/>
      <c r="F71" s="1207"/>
      <c r="G71" s="1207"/>
      <c r="H71" s="1207"/>
      <c r="I71" s="1207"/>
      <c r="J71" s="1207"/>
      <c r="K71" s="1207"/>
      <c r="L71" s="1207"/>
      <c r="M71" s="1207"/>
      <c r="N71" s="1224"/>
      <c r="O71" s="1225"/>
      <c r="P71" s="1210" t="s">
        <v>498</v>
      </c>
      <c r="Q71" s="1211"/>
      <c r="R71" s="1211"/>
      <c r="S71" s="1212"/>
      <c r="T71" s="174" t="s">
        <v>506</v>
      </c>
      <c r="U71" s="1458"/>
      <c r="V71" s="1459"/>
      <c r="W71" s="1459"/>
      <c r="X71" s="1460"/>
      <c r="Y71" s="183" t="s">
        <v>485</v>
      </c>
      <c r="AM71" s="180">
        <v>5</v>
      </c>
    </row>
    <row r="72" spans="1:40" ht="24.95" customHeight="1">
      <c r="A72" s="1207" t="s">
        <v>507</v>
      </c>
      <c r="B72" s="1207"/>
      <c r="C72" s="1207"/>
      <c r="D72" s="1207"/>
      <c r="E72" s="1207"/>
      <c r="F72" s="1207"/>
      <c r="G72" s="1207"/>
      <c r="H72" s="1207"/>
      <c r="I72" s="1207"/>
      <c r="J72" s="1207"/>
      <c r="K72" s="1207"/>
      <c r="L72" s="1207"/>
      <c r="M72" s="1207"/>
      <c r="N72" s="1216" t="s">
        <v>501</v>
      </c>
      <c r="O72" s="1209"/>
      <c r="P72" s="1210" t="s">
        <v>495</v>
      </c>
      <c r="Q72" s="1211"/>
      <c r="R72" s="1211"/>
      <c r="S72" s="1212"/>
      <c r="T72" s="174" t="s">
        <v>508</v>
      </c>
      <c r="U72" s="1458"/>
      <c r="V72" s="1459"/>
      <c r="W72" s="1459"/>
      <c r="X72" s="1460"/>
      <c r="Y72" s="183" t="s">
        <v>497</v>
      </c>
    </row>
    <row r="73" spans="1:40" ht="24.95" customHeight="1">
      <c r="A73" s="1207"/>
      <c r="B73" s="1207"/>
      <c r="C73" s="1207"/>
      <c r="D73" s="1207"/>
      <c r="E73" s="1207"/>
      <c r="F73" s="1207"/>
      <c r="G73" s="1207"/>
      <c r="H73" s="1207"/>
      <c r="I73" s="1207"/>
      <c r="J73" s="1207"/>
      <c r="K73" s="1207"/>
      <c r="L73" s="1207"/>
      <c r="M73" s="1207"/>
      <c r="N73" s="1217"/>
      <c r="O73" s="1218"/>
      <c r="P73" s="1219" t="s">
        <v>498</v>
      </c>
      <c r="Q73" s="1220"/>
      <c r="R73" s="1220"/>
      <c r="S73" s="1221"/>
      <c r="T73" s="184" t="s">
        <v>509</v>
      </c>
      <c r="U73" s="1464"/>
      <c r="V73" s="1465"/>
      <c r="W73" s="1465"/>
      <c r="X73" s="1466"/>
      <c r="Y73" s="185" t="s">
        <v>485</v>
      </c>
    </row>
    <row r="74" spans="1:40" ht="15" customHeight="1">
      <c r="A74" s="1" t="s">
        <v>510</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511</v>
      </c>
      <c r="H77" s="1450" t="s">
        <v>512</v>
      </c>
      <c r="I77" s="1450"/>
      <c r="J77" s="1450"/>
      <c r="K77" s="1450"/>
      <c r="L77" s="1450"/>
      <c r="M77" s="1450"/>
      <c r="N77" s="1450"/>
      <c r="O77" s="1450"/>
      <c r="P77" s="1450"/>
      <c r="Q77" s="1450"/>
      <c r="R77" s="1450"/>
      <c r="S77" s="1450"/>
      <c r="T77" s="1450"/>
      <c r="U77" s="1450"/>
      <c r="V77" s="1450"/>
      <c r="W77" s="1450"/>
      <c r="X77" s="1450"/>
      <c r="Y77" s="1467"/>
    </row>
    <row r="78" spans="1:40" ht="15" customHeight="1">
      <c r="B78" s="2"/>
      <c r="C78" s="1" t="s">
        <v>513</v>
      </c>
      <c r="I78" s="1229" t="s">
        <v>514</v>
      </c>
      <c r="J78" s="1230"/>
      <c r="K78" s="186"/>
      <c r="L78" s="1" t="s">
        <v>515</v>
      </c>
      <c r="N78" s="186"/>
      <c r="O78" s="1" t="s">
        <v>516</v>
      </c>
      <c r="T78" s="8" t="s">
        <v>517</v>
      </c>
      <c r="U78" s="1231" t="str">
        <f>IFERROR(U79+U114,"")</f>
        <v/>
      </c>
      <c r="V78" s="1231"/>
      <c r="W78" s="1231"/>
      <c r="X78" s="1231"/>
      <c r="Y78" s="9" t="s">
        <v>518</v>
      </c>
      <c r="Z78" s="187"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519</v>
      </c>
      <c r="I79" s="35"/>
      <c r="J79" s="35"/>
      <c r="T79" s="8" t="s">
        <v>263</v>
      </c>
      <c r="U79" s="1231" t="str">
        <f>IFERROR(IF(OR(AB80="20人未満",$C$123=1),(E81*Q81)+(E83*Q83)+(E85*Q85)+(E87*Q87)+(E89*Q89)+(E92*Q92)+(E95*0.5*Q95),(E98*Q98)+(E100*Q100)+(E102*Q102)+(E104*Q104)+(E106*Q106)+(E109*Q109)+(E112*0.5*Q112)),"")</f>
        <v/>
      </c>
      <c r="V79" s="1231"/>
      <c r="W79" s="1231"/>
      <c r="X79" s="1231"/>
      <c r="Y79" s="9" t="s">
        <v>264</v>
      </c>
    </row>
    <row r="80" spans="1:40" ht="30" customHeight="1">
      <c r="B80" s="1232" t="s">
        <v>520</v>
      </c>
      <c r="C80" s="951"/>
      <c r="D80" s="951"/>
      <c r="E80" s="951"/>
      <c r="F80" s="951"/>
      <c r="G80" s="951"/>
      <c r="H80" s="951"/>
      <c r="I80" s="951"/>
      <c r="J80" s="951"/>
      <c r="K80" s="951"/>
      <c r="L80" s="951"/>
      <c r="M80" s="951"/>
      <c r="N80" s="951"/>
      <c r="O80" s="951"/>
      <c r="P80" s="951"/>
      <c r="Q80" s="951"/>
      <c r="R80" s="951"/>
      <c r="S80" s="1233"/>
      <c r="T80" s="8"/>
      <c r="U80" s="188"/>
      <c r="V80" s="188"/>
      <c r="W80" s="188"/>
      <c r="X80" s="188"/>
      <c r="Y80" s="9"/>
      <c r="AB80" s="187" t="str">
        <f>IF(N163="","未入力",IF(N163&gt;=20,"20人以上","20人未満"))</f>
        <v>未入力</v>
      </c>
    </row>
    <row r="81" spans="2:31" ht="32.25" customHeight="1">
      <c r="B81" s="1234" t="s">
        <v>521</v>
      </c>
      <c r="C81" s="945"/>
      <c r="D81" s="34" t="s">
        <v>522</v>
      </c>
      <c r="E81" s="1235"/>
      <c r="F81" s="1236"/>
      <c r="G81" s="1236"/>
      <c r="H81" s="1" t="s">
        <v>523</v>
      </c>
      <c r="K81" s="35" t="s">
        <v>268</v>
      </c>
      <c r="M81" s="1468" t="s">
        <v>524</v>
      </c>
      <c r="N81" s="1468"/>
      <c r="O81" s="1468"/>
      <c r="P81" s="1468"/>
      <c r="Q81" s="1237" t="str">
        <f>IF(OR($AB$80="20人未満",$C$123=1),IF($K$78=1,$V$15,0)+IF($K$78=2,$V$15,0),"")</f>
        <v/>
      </c>
      <c r="R81" s="1237"/>
      <c r="S81" s="1" t="s">
        <v>451</v>
      </c>
      <c r="T81" s="8"/>
      <c r="U81" s="188"/>
      <c r="V81" s="188"/>
      <c r="W81" s="188"/>
      <c r="X81" s="188"/>
      <c r="Y81" s="9"/>
    </row>
    <row r="82" spans="2:31" ht="9" customHeight="1">
      <c r="B82" s="40"/>
      <c r="C82" s="29"/>
      <c r="D82" s="34"/>
      <c r="E82" s="45"/>
      <c r="F82" s="45"/>
      <c r="G82" s="45"/>
      <c r="K82" s="35"/>
      <c r="M82" s="36"/>
      <c r="N82" s="36"/>
      <c r="O82" s="36"/>
      <c r="P82" s="36"/>
      <c r="Q82" s="163"/>
      <c r="R82" s="163"/>
      <c r="T82" s="8"/>
      <c r="U82" s="188"/>
      <c r="V82" s="188"/>
      <c r="W82" s="188"/>
      <c r="X82" s="188"/>
      <c r="Y82" s="9"/>
    </row>
    <row r="83" spans="2:31" ht="27.75" customHeight="1">
      <c r="B83" s="1238" t="s">
        <v>525</v>
      </c>
      <c r="C83" s="945"/>
      <c r="D83" s="34" t="s">
        <v>522</v>
      </c>
      <c r="E83" s="1235"/>
      <c r="F83" s="1236"/>
      <c r="G83" s="1236"/>
      <c r="H83" s="1" t="s">
        <v>523</v>
      </c>
      <c r="K83" s="35" t="s">
        <v>268</v>
      </c>
      <c r="M83" s="1468" t="s">
        <v>524</v>
      </c>
      <c r="N83" s="1468"/>
      <c r="O83" s="1468"/>
      <c r="P83" s="1468"/>
      <c r="Q83" s="1237" t="str">
        <f>IF(OR($AB$80="20人未満",$C$123=1),IF($K$78=3,$V$15,0),"")</f>
        <v/>
      </c>
      <c r="R83" s="1237"/>
      <c r="S83" s="1" t="s">
        <v>451</v>
      </c>
      <c r="T83" s="8"/>
      <c r="U83" s="188"/>
      <c r="V83" s="188"/>
      <c r="W83" s="188"/>
      <c r="X83" s="188"/>
      <c r="Y83" s="9"/>
    </row>
    <row r="84" spans="2:31" ht="18" customHeight="1">
      <c r="B84" s="41"/>
      <c r="C84" s="42"/>
      <c r="D84" s="34"/>
      <c r="E84" s="159"/>
      <c r="F84" s="45"/>
      <c r="G84" s="45"/>
      <c r="K84" s="35"/>
      <c r="Q84" s="163"/>
      <c r="R84" s="163"/>
      <c r="T84" s="8"/>
      <c r="U84" s="188"/>
      <c r="V84" s="188"/>
      <c r="W84" s="188"/>
      <c r="X84" s="188"/>
      <c r="Y84" s="9"/>
    </row>
    <row r="85" spans="2:31" ht="18" customHeight="1">
      <c r="B85" s="1238" t="s">
        <v>526</v>
      </c>
      <c r="C85" s="945"/>
      <c r="D85" s="34" t="s">
        <v>522</v>
      </c>
      <c r="E85" s="1236"/>
      <c r="F85" s="1236"/>
      <c r="G85" s="1236"/>
      <c r="H85" s="1" t="s">
        <v>523</v>
      </c>
      <c r="K85" s="35" t="s">
        <v>268</v>
      </c>
      <c r="M85" s="1468" t="s">
        <v>524</v>
      </c>
      <c r="N85" s="1468"/>
      <c r="O85" s="1468"/>
      <c r="P85" s="1468"/>
      <c r="Q85" s="1237" t="str">
        <f>IF(OR($AB$80="20人未満",$C$123=1),IF($K$78=4,$V$15,0),"")</f>
        <v/>
      </c>
      <c r="R85" s="1237"/>
      <c r="S85" s="1" t="s">
        <v>451</v>
      </c>
      <c r="T85" s="8"/>
      <c r="U85" s="188"/>
      <c r="V85" s="188"/>
      <c r="W85" s="188"/>
      <c r="X85" s="188"/>
      <c r="Y85" s="9"/>
    </row>
    <row r="86" spans="2:31" ht="18" customHeight="1">
      <c r="B86" s="41"/>
      <c r="C86" s="42"/>
      <c r="D86" s="34"/>
      <c r="E86" s="1236"/>
      <c r="F86" s="1236"/>
      <c r="G86" s="1236"/>
      <c r="K86" s="35"/>
      <c r="Q86" s="163"/>
      <c r="R86" s="163"/>
      <c r="T86" s="8"/>
      <c r="U86" s="188"/>
      <c r="V86" s="188"/>
      <c r="W86" s="188"/>
      <c r="X86" s="188"/>
      <c r="Y86" s="9"/>
    </row>
    <row r="87" spans="2:31" ht="18" customHeight="1">
      <c r="B87" s="1238" t="s">
        <v>527</v>
      </c>
      <c r="C87" s="945"/>
      <c r="D87" s="34" t="s">
        <v>522</v>
      </c>
      <c r="E87" s="1236"/>
      <c r="F87" s="1236"/>
      <c r="G87" s="1236"/>
      <c r="H87" s="1" t="s">
        <v>523</v>
      </c>
      <c r="K87" s="35" t="s">
        <v>268</v>
      </c>
      <c r="M87" s="1468" t="s">
        <v>524</v>
      </c>
      <c r="N87" s="1468"/>
      <c r="O87" s="1468"/>
      <c r="P87" s="1468"/>
      <c r="Q87" s="1237" t="str">
        <f>IF(OR($AB$80="20人未満",$C123=1),IF($K$78=5,$V$15,0),"")</f>
        <v/>
      </c>
      <c r="R87" s="1237"/>
      <c r="S87" s="1" t="s">
        <v>451</v>
      </c>
      <c r="T87" s="8"/>
      <c r="U87" s="188"/>
      <c r="V87" s="188"/>
      <c r="W87" s="188"/>
      <c r="X87" s="188"/>
      <c r="Y87" s="9"/>
    </row>
    <row r="88" spans="2:31" ht="18" customHeight="1">
      <c r="B88" s="41"/>
      <c r="C88" s="42"/>
      <c r="D88" s="34"/>
      <c r="E88" s="1236"/>
      <c r="F88" s="1236"/>
      <c r="G88" s="1236"/>
      <c r="K88" s="35"/>
      <c r="Q88" s="163"/>
      <c r="R88" s="163"/>
      <c r="T88" s="8"/>
      <c r="U88" s="188"/>
      <c r="V88" s="188"/>
      <c r="W88" s="188"/>
      <c r="X88" s="188"/>
      <c r="Y88" s="9"/>
    </row>
    <row r="89" spans="2:31" ht="33.75" customHeight="1">
      <c r="B89" s="1239" t="s">
        <v>528</v>
      </c>
      <c r="C89" s="1240"/>
      <c r="D89" s="43" t="s">
        <v>522</v>
      </c>
      <c r="E89" s="1241"/>
      <c r="F89" s="1241"/>
      <c r="G89" s="1241"/>
      <c r="H89" s="11" t="s">
        <v>523</v>
      </c>
      <c r="I89" s="11"/>
      <c r="J89" s="11"/>
      <c r="K89" s="44" t="s">
        <v>268</v>
      </c>
      <c r="L89" s="11"/>
      <c r="M89" s="1242" t="s">
        <v>524</v>
      </c>
      <c r="N89" s="1242"/>
      <c r="O89" s="1242"/>
      <c r="P89" s="1242"/>
      <c r="Q89" s="1243" t="str">
        <f>IF(OR($AB$80="20人未満",$C123=1),IF($N$78=2,$V$15,0)+IF($N$78=3,$V$15,0),"")</f>
        <v/>
      </c>
      <c r="R89" s="1243"/>
      <c r="S89" s="11" t="s">
        <v>451</v>
      </c>
      <c r="T89" s="8"/>
      <c r="U89" s="188"/>
      <c r="V89" s="188"/>
      <c r="W89" s="188"/>
      <c r="X89" s="188"/>
      <c r="Y89" s="9"/>
    </row>
    <row r="90" spans="2:31" ht="9" customHeight="1">
      <c r="B90" s="160"/>
      <c r="C90" s="161"/>
      <c r="D90" s="43"/>
      <c r="E90" s="162"/>
      <c r="F90" s="162"/>
      <c r="G90" s="162"/>
      <c r="H90" s="11"/>
      <c r="I90" s="11"/>
      <c r="J90" s="11"/>
      <c r="K90" s="44"/>
      <c r="L90" s="11"/>
      <c r="M90" s="11"/>
      <c r="N90" s="11"/>
      <c r="O90" s="11"/>
      <c r="P90" s="11"/>
      <c r="Q90" s="45"/>
      <c r="R90" s="45"/>
      <c r="S90" s="11"/>
      <c r="T90" s="8"/>
      <c r="U90" s="188"/>
      <c r="V90" s="188"/>
      <c r="W90" s="188"/>
      <c r="X90" s="188"/>
      <c r="Y90" s="9"/>
    </row>
    <row r="91" spans="2:31" ht="22.5" customHeight="1">
      <c r="B91" s="1244" t="s">
        <v>529</v>
      </c>
      <c r="C91" s="1245"/>
      <c r="D91" s="1245"/>
      <c r="E91" s="1245"/>
      <c r="F91" s="1245"/>
      <c r="G91" s="1245"/>
      <c r="H91" s="1245"/>
      <c r="I91" s="1245"/>
      <c r="J91" s="1245"/>
      <c r="K91" s="1245"/>
      <c r="L91" s="1245"/>
      <c r="M91" s="1245"/>
      <c r="N91" s="1245"/>
      <c r="O91" s="1245"/>
      <c r="P91" s="1245"/>
      <c r="Q91" s="1245"/>
      <c r="R91" s="1245"/>
      <c r="S91" s="1246"/>
      <c r="T91" s="8"/>
      <c r="U91" s="164"/>
      <c r="V91" s="164"/>
      <c r="W91" s="164"/>
      <c r="X91" s="164"/>
      <c r="Y91" s="9"/>
    </row>
    <row r="92" spans="2:31" ht="33.75" customHeight="1">
      <c r="B92" s="1239" t="s">
        <v>530</v>
      </c>
      <c r="C92" s="1240"/>
      <c r="D92" s="43" t="s">
        <v>522</v>
      </c>
      <c r="E92" s="1247"/>
      <c r="F92" s="1247"/>
      <c r="G92" s="1247"/>
      <c r="H92" s="11" t="s">
        <v>523</v>
      </c>
      <c r="I92" s="11"/>
      <c r="J92" s="11"/>
      <c r="K92" s="44" t="s">
        <v>268</v>
      </c>
      <c r="L92" s="11"/>
      <c r="M92" s="1022" t="s">
        <v>531</v>
      </c>
      <c r="N92" s="1022"/>
      <c r="O92" s="1022"/>
      <c r="P92" s="1022"/>
      <c r="Q92" s="1248" t="str">
        <f>IF(OR($AB$80="20人未満",$C$123=1),IF(AC92="",0,AC92),"")</f>
        <v/>
      </c>
      <c r="R92" s="1248"/>
      <c r="S92" s="11" t="s">
        <v>451</v>
      </c>
      <c r="T92" s="8"/>
      <c r="U92" s="164"/>
      <c r="V92" s="164"/>
      <c r="W92" s="164"/>
      <c r="X92" s="164"/>
      <c r="Y92" s="9"/>
      <c r="AB92" s="270" t="e">
        <f>IF($U$41&gt;=0.5,"50％以上","50％未満")</f>
        <v>#DIV/0!</v>
      </c>
      <c r="AC92" s="29" t="e">
        <f>IF(AB92="50％以上",IF(OR(K78=1,K78=2),V49,""),"")</f>
        <v>#DIV/0!</v>
      </c>
      <c r="AD92" s="29" t="e">
        <f>IF(AB92="50％未満",IF(OR(K78=2,K78=1),U40,""),"")</f>
        <v>#DIV/0!</v>
      </c>
      <c r="AE92" s="29"/>
    </row>
    <row r="93" spans="2:31" ht="9" customHeight="1">
      <c r="B93" s="160"/>
      <c r="C93" s="161"/>
      <c r="D93" s="43"/>
      <c r="E93" s="123"/>
      <c r="F93" s="123"/>
      <c r="G93" s="123"/>
      <c r="H93" s="11"/>
      <c r="I93" s="11"/>
      <c r="J93" s="11"/>
      <c r="K93" s="44"/>
      <c r="L93" s="11"/>
      <c r="M93" s="11"/>
      <c r="N93" s="11"/>
      <c r="O93" s="11"/>
      <c r="P93" s="11"/>
      <c r="Q93" s="123"/>
      <c r="R93" s="123"/>
      <c r="S93" s="11"/>
      <c r="T93" s="8"/>
      <c r="U93" s="164"/>
      <c r="V93" s="164"/>
      <c r="W93" s="164"/>
      <c r="X93" s="164"/>
      <c r="Y93" s="9"/>
    </row>
    <row r="94" spans="2:31" ht="22.5" customHeight="1">
      <c r="B94" s="1244" t="s">
        <v>532</v>
      </c>
      <c r="C94" s="1245"/>
      <c r="D94" s="1245"/>
      <c r="E94" s="1245"/>
      <c r="F94" s="1245"/>
      <c r="G94" s="1245"/>
      <c r="H94" s="1245"/>
      <c r="I94" s="1245"/>
      <c r="J94" s="1245"/>
      <c r="K94" s="1245"/>
      <c r="L94" s="1245"/>
      <c r="M94" s="1245"/>
      <c r="N94" s="1245"/>
      <c r="O94" s="1245"/>
      <c r="P94" s="1245"/>
      <c r="Q94" s="1245"/>
      <c r="R94" s="1245"/>
      <c r="S94" s="1246"/>
      <c r="T94" s="8"/>
      <c r="U94" s="164"/>
      <c r="V94" s="164"/>
      <c r="W94" s="164"/>
      <c r="X94" s="164"/>
      <c r="Y94" s="9"/>
    </row>
    <row r="95" spans="2:31" ht="33.75" customHeight="1">
      <c r="B95" s="1239" t="s">
        <v>530</v>
      </c>
      <c r="C95" s="1240"/>
      <c r="D95" s="43" t="s">
        <v>522</v>
      </c>
      <c r="E95" s="1247"/>
      <c r="F95" s="1247"/>
      <c r="G95" s="1247"/>
      <c r="H95" s="124" t="s">
        <v>533</v>
      </c>
      <c r="I95" s="11"/>
      <c r="J95" s="11"/>
      <c r="K95" s="44" t="s">
        <v>268</v>
      </c>
      <c r="L95" s="11"/>
      <c r="M95" s="1022" t="s">
        <v>531</v>
      </c>
      <c r="N95" s="1022"/>
      <c r="O95" s="1022"/>
      <c r="P95" s="1022"/>
      <c r="Q95" s="1248" t="str">
        <f>IF(OR($AB$80="20人未満",$C$123=1),IF(AD92="",0,AD92),"")</f>
        <v/>
      </c>
      <c r="R95" s="1248"/>
      <c r="S95" s="11" t="s">
        <v>451</v>
      </c>
      <c r="T95" s="8"/>
      <c r="U95" s="164"/>
      <c r="V95" s="164"/>
      <c r="W95" s="164"/>
      <c r="X95" s="164"/>
      <c r="Y95" s="9"/>
    </row>
    <row r="96" spans="2:31" ht="9" customHeight="1">
      <c r="B96" s="160"/>
      <c r="C96" s="161"/>
      <c r="D96" s="43"/>
      <c r="E96" s="123"/>
      <c r="F96" s="123"/>
      <c r="G96" s="123"/>
      <c r="H96" s="124"/>
      <c r="I96" s="11"/>
      <c r="J96" s="11"/>
      <c r="K96" s="44"/>
      <c r="L96" s="11"/>
      <c r="M96" s="132"/>
      <c r="N96" s="132"/>
      <c r="O96" s="132"/>
      <c r="P96" s="132"/>
      <c r="Q96" s="123"/>
      <c r="R96" s="123"/>
      <c r="S96" s="11"/>
      <c r="T96" s="8"/>
      <c r="U96" s="164"/>
      <c r="V96" s="164"/>
      <c r="W96" s="164"/>
      <c r="X96" s="164"/>
      <c r="Y96" s="9"/>
    </row>
    <row r="97" spans="2:25" ht="30" customHeight="1">
      <c r="B97" s="1232" t="s">
        <v>534</v>
      </c>
      <c r="C97" s="951"/>
      <c r="D97" s="951"/>
      <c r="E97" s="951"/>
      <c r="F97" s="951"/>
      <c r="G97" s="951"/>
      <c r="H97" s="951"/>
      <c r="I97" s="951"/>
      <c r="J97" s="951"/>
      <c r="K97" s="951"/>
      <c r="L97" s="951"/>
      <c r="M97" s="951"/>
      <c r="N97" s="951"/>
      <c r="O97" s="951"/>
      <c r="P97" s="951"/>
      <c r="Q97" s="951"/>
      <c r="R97" s="951"/>
      <c r="S97" s="1233"/>
      <c r="T97" s="8"/>
      <c r="U97" s="188"/>
      <c r="V97" s="188"/>
      <c r="W97" s="188"/>
      <c r="X97" s="188"/>
      <c r="Y97" s="9"/>
    </row>
    <row r="98" spans="2:25" ht="32.25" customHeight="1">
      <c r="B98" s="1234" t="s">
        <v>521</v>
      </c>
      <c r="C98" s="945"/>
      <c r="D98" s="34" t="s">
        <v>522</v>
      </c>
      <c r="E98" s="1235"/>
      <c r="F98" s="1236"/>
      <c r="G98" s="1236"/>
      <c r="H98" s="1" t="s">
        <v>523</v>
      </c>
      <c r="K98" s="35" t="s">
        <v>268</v>
      </c>
      <c r="M98" s="1468" t="s">
        <v>524</v>
      </c>
      <c r="N98" s="1468"/>
      <c r="O98" s="1468"/>
      <c r="P98" s="1468"/>
      <c r="Q98" s="1249" t="str">
        <f>IF(AND($AB$80="20人以上",$C$123=""),IF($K$78=1,$V$15,0)+IF($K$78=2,$V$15,0),"")</f>
        <v/>
      </c>
      <c r="R98" s="1249"/>
      <c r="S98" s="1" t="s">
        <v>451</v>
      </c>
      <c r="T98" s="8"/>
      <c r="U98" s="188"/>
      <c r="V98" s="188"/>
      <c r="W98" s="188"/>
      <c r="X98" s="188"/>
      <c r="Y98" s="9"/>
    </row>
    <row r="99" spans="2:25" ht="9" customHeight="1">
      <c r="B99" s="40"/>
      <c r="C99" s="29"/>
      <c r="D99" s="34"/>
      <c r="E99" s="45"/>
      <c r="F99" s="45"/>
      <c r="G99" s="45"/>
      <c r="K99" s="35"/>
      <c r="M99" s="36"/>
      <c r="N99" s="36"/>
      <c r="O99" s="36"/>
      <c r="P99" s="36"/>
      <c r="Q99" s="163"/>
      <c r="R99" s="163"/>
      <c r="T99" s="8"/>
      <c r="U99" s="188"/>
      <c r="V99" s="188"/>
      <c r="W99" s="188"/>
      <c r="X99" s="188"/>
      <c r="Y99" s="9"/>
    </row>
    <row r="100" spans="2:25" ht="27.75" customHeight="1">
      <c r="B100" s="1238" t="s">
        <v>525</v>
      </c>
      <c r="C100" s="945"/>
      <c r="D100" s="34" t="s">
        <v>522</v>
      </c>
      <c r="E100" s="1235"/>
      <c r="F100" s="1236"/>
      <c r="G100" s="1236"/>
      <c r="H100" s="1" t="s">
        <v>523</v>
      </c>
      <c r="K100" s="35" t="s">
        <v>268</v>
      </c>
      <c r="M100" s="1468" t="s">
        <v>524</v>
      </c>
      <c r="N100" s="1468"/>
      <c r="O100" s="1468"/>
      <c r="P100" s="1468"/>
      <c r="Q100" s="1249" t="str">
        <f>IF(AND($AB$80="20人以上",$C$123=""),IF($K$78=3,$V$15,0),"")</f>
        <v/>
      </c>
      <c r="R100" s="1249"/>
      <c r="S100" s="1" t="s">
        <v>451</v>
      </c>
      <c r="T100" s="8"/>
      <c r="U100" s="188"/>
      <c r="V100" s="188"/>
      <c r="W100" s="188"/>
      <c r="X100" s="188"/>
      <c r="Y100" s="9"/>
    </row>
    <row r="101" spans="2:25" ht="18" customHeight="1">
      <c r="B101" s="41"/>
      <c r="C101" s="42"/>
      <c r="D101" s="34"/>
      <c r="E101" s="159"/>
      <c r="F101" s="45"/>
      <c r="G101" s="45"/>
      <c r="K101" s="35"/>
      <c r="Q101" s="163"/>
      <c r="R101" s="163"/>
      <c r="T101" s="8"/>
      <c r="U101" s="188"/>
      <c r="V101" s="188"/>
      <c r="W101" s="188"/>
      <c r="X101" s="188"/>
      <c r="Y101" s="9"/>
    </row>
    <row r="102" spans="2:25" ht="18" customHeight="1">
      <c r="B102" s="1238" t="s">
        <v>526</v>
      </c>
      <c r="C102" s="945"/>
      <c r="D102" s="34" t="s">
        <v>522</v>
      </c>
      <c r="E102" s="1236"/>
      <c r="F102" s="1236"/>
      <c r="G102" s="1236"/>
      <c r="H102" s="1" t="s">
        <v>523</v>
      </c>
      <c r="K102" s="35" t="s">
        <v>268</v>
      </c>
      <c r="M102" s="1468" t="s">
        <v>524</v>
      </c>
      <c r="N102" s="1468"/>
      <c r="O102" s="1468"/>
      <c r="P102" s="1468"/>
      <c r="Q102" s="1249" t="str">
        <f>IF(AND($AB$80="20人以上",$C$123=""),IF($K$78=4,$V$15,0),"")</f>
        <v/>
      </c>
      <c r="R102" s="1249"/>
      <c r="S102" s="1" t="s">
        <v>451</v>
      </c>
      <c r="T102" s="8"/>
      <c r="U102" s="188"/>
      <c r="V102" s="188"/>
      <c r="W102" s="188"/>
      <c r="X102" s="188"/>
      <c r="Y102" s="9"/>
    </row>
    <row r="103" spans="2:25" ht="18" customHeight="1">
      <c r="B103" s="41"/>
      <c r="C103" s="42"/>
      <c r="D103" s="34"/>
      <c r="E103" s="1236"/>
      <c r="F103" s="1236"/>
      <c r="G103" s="1236"/>
      <c r="K103" s="35"/>
      <c r="Q103" s="163"/>
      <c r="R103" s="163"/>
      <c r="T103" s="8"/>
      <c r="U103" s="188"/>
      <c r="V103" s="188"/>
      <c r="W103" s="188"/>
      <c r="X103" s="188"/>
      <c r="Y103" s="9"/>
    </row>
    <row r="104" spans="2:25" ht="18" customHeight="1">
      <c r="B104" s="1238" t="s">
        <v>527</v>
      </c>
      <c r="C104" s="945"/>
      <c r="D104" s="34" t="s">
        <v>522</v>
      </c>
      <c r="E104" s="1236"/>
      <c r="F104" s="1236"/>
      <c r="G104" s="1236"/>
      <c r="H104" s="1" t="s">
        <v>523</v>
      </c>
      <c r="K104" s="35" t="s">
        <v>268</v>
      </c>
      <c r="M104" s="1468" t="s">
        <v>524</v>
      </c>
      <c r="N104" s="1468"/>
      <c r="O104" s="1468"/>
      <c r="P104" s="1468"/>
      <c r="Q104" s="1249" t="str">
        <f>IF(AND($AB$80="20人以上",$C$123=""),IF($K$78=5,$V$15,0),"")</f>
        <v/>
      </c>
      <c r="R104" s="1249"/>
      <c r="S104" s="1" t="s">
        <v>451</v>
      </c>
      <c r="T104" s="8"/>
      <c r="U104" s="188"/>
      <c r="V104" s="188"/>
      <c r="W104" s="188"/>
      <c r="X104" s="188"/>
      <c r="Y104" s="9"/>
    </row>
    <row r="105" spans="2:25" ht="18" customHeight="1">
      <c r="B105" s="41"/>
      <c r="C105" s="42"/>
      <c r="D105" s="34"/>
      <c r="E105" s="1236"/>
      <c r="F105" s="1236"/>
      <c r="G105" s="1236"/>
      <c r="K105" s="35"/>
      <c r="Q105" s="163"/>
      <c r="R105" s="163"/>
      <c r="T105" s="8"/>
      <c r="U105" s="188"/>
      <c r="V105" s="188"/>
      <c r="W105" s="188"/>
      <c r="X105" s="188"/>
      <c r="Y105" s="9"/>
    </row>
    <row r="106" spans="2:25" ht="33.75" customHeight="1">
      <c r="B106" s="1239" t="s">
        <v>528</v>
      </c>
      <c r="C106" s="1240"/>
      <c r="D106" s="43" t="s">
        <v>522</v>
      </c>
      <c r="E106" s="1241"/>
      <c r="F106" s="1241"/>
      <c r="G106" s="1241"/>
      <c r="H106" s="11" t="s">
        <v>523</v>
      </c>
      <c r="I106" s="11"/>
      <c r="J106" s="11"/>
      <c r="K106" s="44" t="s">
        <v>268</v>
      </c>
      <c r="L106" s="11"/>
      <c r="M106" s="1242" t="s">
        <v>524</v>
      </c>
      <c r="N106" s="1242"/>
      <c r="O106" s="1242"/>
      <c r="P106" s="1242"/>
      <c r="Q106" s="1250" t="str">
        <f>IF(AND($AB$80="20人以上",$C$123=""),IF($N$78=2,$V$15,0)+IF($N$78=3,$V$15,0),"")</f>
        <v/>
      </c>
      <c r="R106" s="1250"/>
      <c r="S106" s="11" t="s">
        <v>451</v>
      </c>
      <c r="T106" s="8"/>
      <c r="U106" s="191"/>
      <c r="V106" s="191"/>
      <c r="W106" s="191"/>
      <c r="X106" s="191"/>
      <c r="Y106" s="9"/>
    </row>
    <row r="107" spans="2:25" ht="9" customHeight="1">
      <c r="B107" s="160"/>
      <c r="C107" s="161"/>
      <c r="D107" s="43"/>
      <c r="E107" s="162"/>
      <c r="F107" s="162"/>
      <c r="G107" s="162"/>
      <c r="H107" s="11"/>
      <c r="I107" s="11"/>
      <c r="J107" s="11"/>
      <c r="K107" s="44"/>
      <c r="L107" s="11"/>
      <c r="M107" s="11"/>
      <c r="N107" s="11"/>
      <c r="O107" s="11"/>
      <c r="P107" s="11"/>
      <c r="Q107" s="45"/>
      <c r="R107" s="45"/>
      <c r="S107" s="11"/>
      <c r="T107" s="8"/>
      <c r="U107" s="188"/>
      <c r="V107" s="188"/>
      <c r="W107" s="188"/>
      <c r="X107" s="188"/>
      <c r="Y107" s="9"/>
    </row>
    <row r="108" spans="2:25" ht="22.5" customHeight="1">
      <c r="B108" s="1244" t="s">
        <v>529</v>
      </c>
      <c r="C108" s="1245"/>
      <c r="D108" s="1245"/>
      <c r="E108" s="1245"/>
      <c r="F108" s="1245"/>
      <c r="G108" s="1245"/>
      <c r="H108" s="1245"/>
      <c r="I108" s="1245"/>
      <c r="J108" s="1245"/>
      <c r="K108" s="1245"/>
      <c r="L108" s="1245"/>
      <c r="M108" s="1245"/>
      <c r="N108" s="1245"/>
      <c r="O108" s="1245"/>
      <c r="P108" s="1245"/>
      <c r="Q108" s="1245"/>
      <c r="R108" s="1245"/>
      <c r="S108" s="1246"/>
      <c r="T108" s="8"/>
      <c r="U108" s="164"/>
      <c r="V108" s="164"/>
      <c r="W108" s="164"/>
      <c r="X108" s="164"/>
      <c r="Y108" s="9"/>
    </row>
    <row r="109" spans="2:25" ht="33.75" customHeight="1">
      <c r="B109" s="1239" t="s">
        <v>530</v>
      </c>
      <c r="C109" s="1240"/>
      <c r="D109" s="43" t="s">
        <v>522</v>
      </c>
      <c r="E109" s="1247"/>
      <c r="F109" s="1247"/>
      <c r="G109" s="1247"/>
      <c r="H109" s="11" t="s">
        <v>523</v>
      </c>
      <c r="I109" s="11"/>
      <c r="J109" s="11"/>
      <c r="K109" s="44" t="s">
        <v>268</v>
      </c>
      <c r="L109" s="11"/>
      <c r="M109" s="1022" t="s">
        <v>531</v>
      </c>
      <c r="N109" s="1022"/>
      <c r="O109" s="1022"/>
      <c r="P109" s="1022"/>
      <c r="Q109" s="1237" t="str">
        <f>IF(AND($AB$80="20人以上",$C$123=""),IF(AC92="",0,AC92),"")</f>
        <v/>
      </c>
      <c r="R109" s="1237"/>
      <c r="S109" s="11" t="s">
        <v>451</v>
      </c>
      <c r="T109" s="8"/>
      <c r="U109" s="164"/>
      <c r="V109" s="164"/>
      <c r="W109" s="164"/>
      <c r="X109" s="164"/>
      <c r="Y109" s="9"/>
    </row>
    <row r="110" spans="2:25" ht="9" customHeight="1">
      <c r="B110" s="160"/>
      <c r="C110" s="161"/>
      <c r="D110" s="43"/>
      <c r="E110" s="123"/>
      <c r="F110" s="123"/>
      <c r="G110" s="123"/>
      <c r="H110" s="11"/>
      <c r="I110" s="11"/>
      <c r="J110" s="11"/>
      <c r="K110" s="44"/>
      <c r="L110" s="11"/>
      <c r="M110" s="11"/>
      <c r="N110" s="11"/>
      <c r="O110" s="11"/>
      <c r="P110" s="11"/>
      <c r="Q110" s="123"/>
      <c r="R110" s="123"/>
      <c r="S110" s="11"/>
      <c r="T110" s="8"/>
      <c r="U110" s="164"/>
      <c r="V110" s="164"/>
      <c r="W110" s="164"/>
      <c r="X110" s="164"/>
      <c r="Y110" s="9"/>
    </row>
    <row r="111" spans="2:25" ht="22.5" customHeight="1">
      <c r="B111" s="1244" t="s">
        <v>532</v>
      </c>
      <c r="C111" s="1245"/>
      <c r="D111" s="1245"/>
      <c r="E111" s="1245"/>
      <c r="F111" s="1245"/>
      <c r="G111" s="1245"/>
      <c r="H111" s="1245"/>
      <c r="I111" s="1245"/>
      <c r="J111" s="1245"/>
      <c r="K111" s="1245"/>
      <c r="L111" s="1245"/>
      <c r="M111" s="1245"/>
      <c r="N111" s="1245"/>
      <c r="O111" s="1245"/>
      <c r="P111" s="1245"/>
      <c r="Q111" s="1245"/>
      <c r="R111" s="1245"/>
      <c r="S111" s="1246"/>
      <c r="T111" s="8"/>
      <c r="U111" s="164"/>
      <c r="V111" s="164"/>
      <c r="W111" s="164"/>
      <c r="X111" s="164"/>
      <c r="Y111" s="9"/>
    </row>
    <row r="112" spans="2:25" ht="33.75" customHeight="1">
      <c r="B112" s="1239" t="s">
        <v>530</v>
      </c>
      <c r="C112" s="1240"/>
      <c r="D112" s="43" t="s">
        <v>522</v>
      </c>
      <c r="E112" s="1247"/>
      <c r="F112" s="1247"/>
      <c r="G112" s="1247"/>
      <c r="H112" s="124" t="s">
        <v>533</v>
      </c>
      <c r="I112" s="11"/>
      <c r="J112" s="11"/>
      <c r="K112" s="44" t="s">
        <v>268</v>
      </c>
      <c r="L112" s="11"/>
      <c r="M112" s="1022" t="s">
        <v>531</v>
      </c>
      <c r="N112" s="1022"/>
      <c r="O112" s="1022"/>
      <c r="P112" s="1022"/>
      <c r="Q112" s="1237" t="str">
        <f>IF(AND($AB$80="20人以上",$C$123=""),IF(AD92="",0,AD92),"")</f>
        <v/>
      </c>
      <c r="R112" s="1237"/>
      <c r="S112" s="11" t="s">
        <v>451</v>
      </c>
      <c r="T112" s="8"/>
      <c r="U112" s="164"/>
      <c r="V112" s="164"/>
      <c r="W112" s="164"/>
      <c r="X112" s="164"/>
      <c r="Y112" s="9"/>
    </row>
    <row r="113" spans="2:32" ht="9" customHeight="1">
      <c r="B113" s="160"/>
      <c r="C113" s="161"/>
      <c r="D113" s="43"/>
      <c r="E113" s="123"/>
      <c r="F113" s="123"/>
      <c r="G113" s="123"/>
      <c r="H113" s="124"/>
      <c r="I113" s="11"/>
      <c r="J113" s="11"/>
      <c r="K113" s="44"/>
      <c r="L113" s="11"/>
      <c r="M113" s="132"/>
      <c r="N113" s="132"/>
      <c r="O113" s="132"/>
      <c r="P113" s="132"/>
      <c r="Q113" s="123"/>
      <c r="R113" s="123"/>
      <c r="S113" s="11"/>
      <c r="T113" s="8"/>
      <c r="U113" s="164"/>
      <c r="V113" s="164"/>
      <c r="W113" s="164"/>
      <c r="X113" s="164"/>
      <c r="Y113" s="9"/>
    </row>
    <row r="114" spans="2:32" s="11" customFormat="1" ht="19.5" customHeight="1">
      <c r="B114" s="46" t="s">
        <v>535</v>
      </c>
      <c r="C114" s="30"/>
      <c r="D114" s="43" t="s">
        <v>263</v>
      </c>
      <c r="E114" s="1241"/>
      <c r="F114" s="1241"/>
      <c r="G114" s="1241"/>
      <c r="H114" s="11" t="s">
        <v>523</v>
      </c>
      <c r="K114" s="44" t="s">
        <v>268</v>
      </c>
      <c r="M114" s="1242" t="s">
        <v>524</v>
      </c>
      <c r="N114" s="1242"/>
      <c r="O114" s="1242"/>
      <c r="P114" s="1242"/>
      <c r="Q114" s="1237">
        <f>V15</f>
        <v>0</v>
      </c>
      <c r="R114" s="1237"/>
      <c r="S114" s="11" t="s">
        <v>449</v>
      </c>
      <c r="T114" s="192" t="s">
        <v>263</v>
      </c>
      <c r="U114" s="1254">
        <f>E114*Q114</f>
        <v>0</v>
      </c>
      <c r="V114" s="1254"/>
      <c r="W114" s="1254"/>
      <c r="X114" s="1254"/>
      <c r="Y114" s="193" t="s">
        <v>264</v>
      </c>
    </row>
    <row r="115" spans="2:32" ht="6" customHeight="1">
      <c r="B115" s="194"/>
      <c r="C115" s="195"/>
      <c r="D115" s="34"/>
      <c r="E115" s="45"/>
      <c r="F115" s="45"/>
      <c r="G115" s="45"/>
      <c r="K115" s="35"/>
      <c r="Q115" s="45"/>
      <c r="R115" s="45"/>
      <c r="T115" s="8"/>
      <c r="U115" s="191"/>
      <c r="V115" s="191"/>
      <c r="W115" s="191"/>
      <c r="X115" s="191"/>
      <c r="Y115" s="9"/>
    </row>
    <row r="116" spans="2:32" ht="15" customHeight="1" thickBot="1">
      <c r="B116" s="2"/>
      <c r="C116" s="1" t="s">
        <v>536</v>
      </c>
      <c r="H116" s="101" t="s">
        <v>537</v>
      </c>
      <c r="T116" s="192"/>
      <c r="U116" s="1255"/>
      <c r="V116" s="1255"/>
      <c r="W116" s="1255"/>
      <c r="X116" s="1255"/>
      <c r="Y116" s="193"/>
    </row>
    <row r="117" spans="2:32" ht="15" customHeight="1" thickBot="1">
      <c r="B117" s="2"/>
      <c r="C117" s="196"/>
      <c r="D117" s="1" t="s">
        <v>538</v>
      </c>
      <c r="K117" s="35" t="s">
        <v>539</v>
      </c>
      <c r="L117" s="101" t="s">
        <v>540</v>
      </c>
      <c r="Q117" s="1252">
        <f>U27</f>
        <v>0</v>
      </c>
      <c r="R117" s="1253"/>
      <c r="S117" s="1" t="s">
        <v>449</v>
      </c>
      <c r="T117" s="8"/>
      <c r="U117" s="1256"/>
      <c r="V117" s="1256"/>
      <c r="W117" s="1256"/>
      <c r="X117" s="1256"/>
      <c r="Y117" s="9"/>
      <c r="AB117" s="197"/>
      <c r="AC117" s="197"/>
      <c r="AF117" s="197"/>
    </row>
    <row r="118" spans="2:32" ht="15" customHeight="1" thickBot="1">
      <c r="B118" s="2"/>
      <c r="D118" s="34" t="s">
        <v>522</v>
      </c>
      <c r="E118" s="1236"/>
      <c r="F118" s="1236"/>
      <c r="G118" s="1236"/>
      <c r="H118" s="1" t="s">
        <v>541</v>
      </c>
      <c r="K118" s="1260"/>
      <c r="L118" s="1260"/>
      <c r="M118" s="1260"/>
      <c r="N118" s="1260"/>
      <c r="O118" s="1260"/>
      <c r="P118" s="1260"/>
      <c r="Q118" s="1260"/>
      <c r="R118" s="1260"/>
      <c r="S118" s="1261"/>
      <c r="T118" s="2"/>
      <c r="U118" s="187"/>
      <c r="V118" s="187"/>
      <c r="W118" s="187"/>
      <c r="X118" s="187"/>
      <c r="Y118" s="9"/>
      <c r="AE118" s="197"/>
      <c r="AF118" s="197"/>
    </row>
    <row r="119" spans="2:32" ht="15" customHeight="1" thickBot="1">
      <c r="B119" s="2"/>
      <c r="C119" s="198"/>
      <c r="D119" s="1" t="s">
        <v>542</v>
      </c>
      <c r="K119" s="35" t="s">
        <v>268</v>
      </c>
      <c r="L119" s="101" t="s">
        <v>540</v>
      </c>
      <c r="M119" s="199"/>
      <c r="N119" s="199"/>
      <c r="O119" s="199"/>
      <c r="P119" s="199"/>
      <c r="Q119" s="1237">
        <f>U27</f>
        <v>0</v>
      </c>
      <c r="R119" s="1237"/>
      <c r="S119" s="1" t="s">
        <v>451</v>
      </c>
      <c r="T119" s="8" t="s">
        <v>543</v>
      </c>
      <c r="U119" s="1262">
        <f>IF(C119="○",AA120,IF(C117="○",AA119,0))</f>
        <v>0</v>
      </c>
      <c r="V119" s="1262"/>
      <c r="W119" s="1262"/>
      <c r="X119" s="1262"/>
      <c r="Y119" s="9" t="s">
        <v>544</v>
      </c>
      <c r="AA119" s="1251">
        <f>IF(Q119=0,0,ROUNDDOWN((40000*M120/Q120*Q119),0))</f>
        <v>0</v>
      </c>
      <c r="AB119" s="1251"/>
      <c r="AC119" s="1251"/>
      <c r="AD119" s="1251"/>
      <c r="AE119" s="1251"/>
    </row>
    <row r="120" spans="2:32" ht="15" customHeight="1">
      <c r="B120" s="2"/>
      <c r="D120" s="34" t="s">
        <v>522</v>
      </c>
      <c r="E120" s="1236"/>
      <c r="F120" s="1236"/>
      <c r="G120" s="1236"/>
      <c r="H120" s="1" t="s">
        <v>541</v>
      </c>
      <c r="K120" s="34" t="s">
        <v>522</v>
      </c>
      <c r="L120" s="35" t="s">
        <v>545</v>
      </c>
      <c r="M120" s="1252">
        <f>+V15</f>
        <v>0</v>
      </c>
      <c r="N120" s="1253"/>
      <c r="O120" s="35" t="s">
        <v>546</v>
      </c>
      <c r="P120" s="35" t="s">
        <v>547</v>
      </c>
      <c r="Q120" s="1252">
        <f>+V17</f>
        <v>0</v>
      </c>
      <c r="R120" s="1253"/>
      <c r="S120" s="1" t="s">
        <v>548</v>
      </c>
      <c r="T120" s="8"/>
      <c r="U120" s="191"/>
      <c r="V120" s="191"/>
      <c r="W120" s="191"/>
      <c r="X120" s="191"/>
      <c r="Y120" s="9"/>
      <c r="AA120" s="1251" t="e">
        <f>IF(C117="○","",ROUNDDOWN((95000*M120/Q120*Q119),0))</f>
        <v>#DIV/0!</v>
      </c>
      <c r="AB120" s="1251"/>
      <c r="AC120" s="1251"/>
      <c r="AD120" s="1251"/>
      <c r="AE120" s="1251"/>
    </row>
    <row r="121" spans="2:32" ht="8.25" customHeight="1">
      <c r="B121" s="2"/>
      <c r="M121" s="34"/>
      <c r="P121" s="35"/>
      <c r="T121" s="2"/>
      <c r="U121" s="187"/>
      <c r="V121" s="187"/>
      <c r="W121" s="187"/>
      <c r="X121" s="187"/>
      <c r="Y121" s="9"/>
    </row>
    <row r="122" spans="2:32" ht="13.5" customHeight="1" thickBot="1">
      <c r="B122" s="2"/>
      <c r="C122" s="101"/>
      <c r="D122" s="101" t="s">
        <v>549</v>
      </c>
      <c r="M122" s="34"/>
      <c r="P122" s="35"/>
      <c r="T122" s="2"/>
      <c r="U122" s="187"/>
      <c r="V122" s="187"/>
      <c r="W122" s="187"/>
      <c r="X122" s="187"/>
      <c r="Y122" s="9"/>
    </row>
    <row r="123" spans="2:32" ht="15" customHeight="1" thickBot="1">
      <c r="B123" s="2"/>
      <c r="C123" s="47"/>
      <c r="D123" s="101" t="s">
        <v>550</v>
      </c>
      <c r="M123" s="34"/>
      <c r="P123" s="35"/>
      <c r="T123" s="2"/>
      <c r="U123" s="187"/>
      <c r="V123" s="187"/>
      <c r="W123" s="187"/>
      <c r="X123" s="187"/>
      <c r="Y123" s="9"/>
    </row>
    <row r="124" spans="2:32" ht="15" customHeight="1">
      <c r="B124" s="2"/>
      <c r="C124" s="1" t="s">
        <v>551</v>
      </c>
      <c r="L124" s="200"/>
      <c r="M124" s="200"/>
      <c r="N124" s="200"/>
      <c r="O124" s="200"/>
      <c r="P124" s="200"/>
      <c r="T124" s="2"/>
      <c r="U124" s="187"/>
      <c r="V124" s="187"/>
      <c r="W124" s="187"/>
      <c r="X124" s="187"/>
      <c r="Y124" s="9"/>
    </row>
    <row r="125" spans="2:32" ht="15" customHeight="1" thickBot="1">
      <c r="B125" s="2"/>
      <c r="D125" s="200"/>
      <c r="E125" s="1257"/>
      <c r="F125" s="1257"/>
      <c r="G125" s="1257"/>
      <c r="H125" s="1257"/>
      <c r="K125" s="937" t="s">
        <v>552</v>
      </c>
      <c r="L125" s="937"/>
      <c r="M125" s="937"/>
      <c r="N125" s="937"/>
      <c r="O125" s="937"/>
      <c r="P125" s="937"/>
      <c r="Q125" s="1237">
        <f>U27</f>
        <v>0</v>
      </c>
      <c r="R125" s="1237"/>
      <c r="S125" s="1" t="s">
        <v>451</v>
      </c>
      <c r="T125" s="8" t="s">
        <v>543</v>
      </c>
      <c r="U125" s="1231">
        <f>IF($C123=1,0,IF(C126="○",0,IF($U27&gt;19,538000,IF($U27&gt;1,269000,IF($U27=0,0,179000)))))</f>
        <v>0</v>
      </c>
      <c r="V125" s="1231"/>
      <c r="W125" s="1231"/>
      <c r="X125" s="1231"/>
      <c r="Y125" s="9" t="s">
        <v>544</v>
      </c>
    </row>
    <row r="126" spans="2:32" ht="15" customHeight="1" thickBot="1">
      <c r="B126" s="2"/>
      <c r="C126" s="201"/>
      <c r="D126" s="1258" t="s">
        <v>553</v>
      </c>
      <c r="E126" s="1258"/>
      <c r="F126" s="1258"/>
      <c r="G126" s="1258"/>
      <c r="H126" s="1258"/>
      <c r="I126" s="1258"/>
      <c r="J126" s="1258"/>
      <c r="K126" s="1258"/>
      <c r="L126" s="1258"/>
      <c r="M126" s="1258"/>
      <c r="N126" s="1258"/>
      <c r="O126" s="1258"/>
      <c r="P126" s="1258"/>
      <c r="Q126" s="1258"/>
      <c r="R126" s="1258"/>
      <c r="S126" s="1259"/>
      <c r="T126" s="8" t="s">
        <v>543</v>
      </c>
      <c r="U126" s="1231">
        <f>IF(C123=1,0,IF(C126="○",1076000,0))</f>
        <v>0</v>
      </c>
      <c r="V126" s="1231"/>
      <c r="W126" s="1231"/>
      <c r="X126" s="1231"/>
      <c r="Y126" s="9" t="s">
        <v>544</v>
      </c>
    </row>
    <row r="127" spans="2:32" ht="7.5" customHeight="1">
      <c r="B127" s="2"/>
      <c r="D127" s="1258"/>
      <c r="E127" s="1258"/>
      <c r="F127" s="1258"/>
      <c r="G127" s="1258"/>
      <c r="H127" s="1258"/>
      <c r="I127" s="1258"/>
      <c r="J127" s="1258"/>
      <c r="K127" s="1258"/>
      <c r="L127" s="1258"/>
      <c r="M127" s="1258"/>
      <c r="N127" s="1258"/>
      <c r="O127" s="1258"/>
      <c r="P127" s="1258"/>
      <c r="Q127" s="1258"/>
      <c r="R127" s="1258"/>
      <c r="S127" s="1259"/>
      <c r="T127" s="8"/>
      <c r="U127" s="191"/>
      <c r="V127" s="191"/>
      <c r="W127" s="191"/>
      <c r="X127" s="191"/>
      <c r="Y127" s="9"/>
    </row>
    <row r="128" spans="2:32" ht="15" customHeight="1">
      <c r="B128" s="2"/>
      <c r="D128" s="200"/>
      <c r="E128" s="200"/>
      <c r="T128" s="2"/>
      <c r="U128" s="187"/>
      <c r="V128" s="187"/>
      <c r="W128" s="187"/>
      <c r="X128" s="187"/>
      <c r="Y128" s="9"/>
    </row>
    <row r="129" spans="2:39" ht="15" customHeight="1">
      <c r="B129" s="2"/>
      <c r="C129" s="1" t="s">
        <v>554</v>
      </c>
      <c r="T129" s="8" t="s">
        <v>543</v>
      </c>
      <c r="U129" s="1231">
        <f>U130+U132</f>
        <v>0</v>
      </c>
      <c r="V129" s="1231"/>
      <c r="W129" s="1231"/>
      <c r="X129" s="1231"/>
      <c r="Y129" s="9" t="s">
        <v>544</v>
      </c>
    </row>
    <row r="130" spans="2:39" ht="15" customHeight="1">
      <c r="B130" s="2"/>
      <c r="D130" s="1" t="s">
        <v>555</v>
      </c>
      <c r="T130" s="8" t="s">
        <v>263</v>
      </c>
      <c r="U130" s="1231">
        <f>IF($I$7="",0,IF(C123=1,0,240000))</f>
        <v>0</v>
      </c>
      <c r="V130" s="1231"/>
      <c r="W130" s="1231"/>
      <c r="X130" s="1231"/>
      <c r="Y130" s="9" t="s">
        <v>264</v>
      </c>
    </row>
    <row r="131" spans="2:39" ht="15" customHeight="1">
      <c r="B131" s="2"/>
      <c r="D131" s="1" t="s">
        <v>556</v>
      </c>
      <c r="T131" s="8"/>
      <c r="U131" s="191"/>
      <c r="V131" s="191"/>
      <c r="W131" s="191"/>
      <c r="X131" s="191"/>
      <c r="Y131" s="9"/>
    </row>
    <row r="132" spans="2:39" ht="15" customHeight="1">
      <c r="B132" s="2"/>
      <c r="E132" s="202"/>
      <c r="F132" s="202"/>
      <c r="G132" s="1236"/>
      <c r="H132" s="1236"/>
      <c r="I132" s="1236"/>
      <c r="J132" s="1" t="s">
        <v>209</v>
      </c>
      <c r="K132" s="1" t="s">
        <v>539</v>
      </c>
      <c r="L132" s="1264" t="s">
        <v>557</v>
      </c>
      <c r="M132" s="1264"/>
      <c r="N132" s="1264"/>
      <c r="O132" s="1265"/>
      <c r="P132" s="1265"/>
      <c r="Q132" s="1" t="s">
        <v>558</v>
      </c>
      <c r="T132" s="8" t="s">
        <v>263</v>
      </c>
      <c r="U132" s="1231">
        <f>IF(C123=1,0,G132*O132)</f>
        <v>0</v>
      </c>
      <c r="V132" s="1231"/>
      <c r="W132" s="1231"/>
      <c r="X132" s="1231"/>
      <c r="Y132" s="9" t="s">
        <v>264</v>
      </c>
      <c r="AM132" s="180">
        <v>0</v>
      </c>
    </row>
    <row r="133" spans="2:39" ht="15" customHeight="1">
      <c r="B133" s="2"/>
      <c r="N133" s="18" t="s">
        <v>559</v>
      </c>
      <c r="T133" s="8"/>
      <c r="U133" s="191"/>
      <c r="V133" s="191"/>
      <c r="W133" s="191"/>
      <c r="X133" s="191"/>
      <c r="Y133" s="9"/>
      <c r="AM133" s="180">
        <v>1</v>
      </c>
    </row>
    <row r="134" spans="2:39" ht="15" customHeight="1">
      <c r="B134" s="2"/>
      <c r="C134" s="1" t="s">
        <v>560</v>
      </c>
      <c r="T134" s="2"/>
      <c r="U134" s="187"/>
      <c r="V134" s="187"/>
      <c r="W134" s="187"/>
      <c r="X134" s="187"/>
      <c r="Y134" s="9"/>
      <c r="AM134" s="180">
        <v>2</v>
      </c>
    </row>
    <row r="135" spans="2:39" ht="15.75" customHeight="1">
      <c r="B135" s="2"/>
      <c r="D135" s="34" t="s">
        <v>522</v>
      </c>
      <c r="E135" s="1236"/>
      <c r="F135" s="1236"/>
      <c r="G135" s="1236"/>
      <c r="H135" s="1" t="s">
        <v>561</v>
      </c>
      <c r="K135" s="35" t="s">
        <v>268</v>
      </c>
      <c r="M135" s="1263" t="s">
        <v>562</v>
      </c>
      <c r="N135" s="1263"/>
      <c r="O135" s="1263"/>
      <c r="P135" s="1" t="s">
        <v>563</v>
      </c>
      <c r="Q135" s="1237">
        <f>U55</f>
        <v>0</v>
      </c>
      <c r="R135" s="1237"/>
      <c r="S135" s="1" t="s">
        <v>485</v>
      </c>
      <c r="T135" s="8" t="s">
        <v>543</v>
      </c>
      <c r="U135" s="1231">
        <f>+IF(C123=1,0,E135*Q135)</f>
        <v>0</v>
      </c>
      <c r="V135" s="1231"/>
      <c r="W135" s="1231"/>
      <c r="X135" s="1231"/>
      <c r="Y135" s="9" t="s">
        <v>544</v>
      </c>
    </row>
    <row r="136" spans="2:39" ht="15.75" customHeight="1">
      <c r="B136" s="2"/>
      <c r="D136" s="34"/>
      <c r="E136" s="45"/>
      <c r="F136" s="45"/>
      <c r="G136" s="45"/>
      <c r="K136" s="35"/>
      <c r="M136" s="36"/>
      <c r="N136" s="36"/>
      <c r="O136" s="36"/>
      <c r="Q136" s="45"/>
      <c r="R136" s="45"/>
      <c r="T136" s="8"/>
      <c r="U136" s="191"/>
      <c r="V136" s="191"/>
      <c r="W136" s="191"/>
      <c r="X136" s="191"/>
      <c r="Y136" s="9"/>
    </row>
    <row r="137" spans="2:39">
      <c r="B137" s="2"/>
      <c r="C137" s="1207" t="s">
        <v>564</v>
      </c>
      <c r="D137" s="1207"/>
      <c r="E137" s="1207"/>
      <c r="F137" s="1207"/>
      <c r="G137" s="1207"/>
      <c r="H137" s="1207"/>
      <c r="I137" s="1207"/>
      <c r="J137" s="1207"/>
      <c r="K137" s="1207"/>
      <c r="L137" s="1207"/>
      <c r="M137" s="1207"/>
      <c r="N137" s="1207"/>
      <c r="O137" s="1207"/>
      <c r="P137" s="203"/>
      <c r="Q137" s="44"/>
      <c r="R137" s="44"/>
      <c r="S137" s="193"/>
      <c r="T137" s="8"/>
      <c r="U137" s="1231"/>
      <c r="V137" s="1231"/>
      <c r="W137" s="1231"/>
      <c r="X137" s="1231"/>
      <c r="Y137" s="9"/>
    </row>
    <row r="138" spans="2:39" ht="16.5" customHeight="1">
      <c r="B138" s="2"/>
      <c r="C138" s="74"/>
      <c r="D138" s="1" t="s">
        <v>565</v>
      </c>
      <c r="F138" s="74"/>
      <c r="G138" s="74"/>
      <c r="H138" s="74"/>
      <c r="I138" s="74"/>
      <c r="J138" s="74"/>
      <c r="K138" s="74"/>
      <c r="L138" s="74"/>
      <c r="M138" s="74"/>
      <c r="N138" s="74"/>
      <c r="O138" s="74"/>
      <c r="P138" s="203"/>
      <c r="Q138" s="44"/>
      <c r="R138" s="44"/>
      <c r="S138" s="193"/>
      <c r="T138" s="8" t="s">
        <v>543</v>
      </c>
      <c r="U138" s="1231">
        <f>U139+U140</f>
        <v>0</v>
      </c>
      <c r="V138" s="1231"/>
      <c r="W138" s="1231"/>
      <c r="X138" s="1231"/>
      <c r="Y138" s="9" t="s">
        <v>544</v>
      </c>
    </row>
    <row r="139" spans="2:39" ht="25.5" customHeight="1">
      <c r="B139" s="2"/>
      <c r="E139" s="1263"/>
      <c r="F139" s="1263"/>
      <c r="G139" s="34" t="s">
        <v>522</v>
      </c>
      <c r="H139" s="1266"/>
      <c r="I139" s="1266"/>
      <c r="J139" s="1" t="s">
        <v>566</v>
      </c>
      <c r="M139" s="44" t="s">
        <v>567</v>
      </c>
      <c r="N139" s="1177" t="s">
        <v>568</v>
      </c>
      <c r="O139" s="1267"/>
      <c r="P139" s="1267"/>
      <c r="Q139" s="1255">
        <f>U65</f>
        <v>0</v>
      </c>
      <c r="R139" s="1255"/>
      <c r="S139" s="193" t="s">
        <v>497</v>
      </c>
      <c r="T139" s="192" t="s">
        <v>263</v>
      </c>
      <c r="U139" s="1254">
        <f>H139*Q139</f>
        <v>0</v>
      </c>
      <c r="V139" s="1254"/>
      <c r="W139" s="1254"/>
      <c r="X139" s="1254"/>
      <c r="Y139" s="193" t="s">
        <v>264</v>
      </c>
    </row>
    <row r="140" spans="2:39" ht="25.5" customHeight="1">
      <c r="B140" s="2"/>
      <c r="E140" s="1263"/>
      <c r="F140" s="1263"/>
      <c r="G140" s="34" t="s">
        <v>522</v>
      </c>
      <c r="H140" s="1266"/>
      <c r="I140" s="1266"/>
      <c r="J140" s="1" t="s">
        <v>561</v>
      </c>
      <c r="M140" s="44" t="s">
        <v>567</v>
      </c>
      <c r="N140" s="1177" t="s">
        <v>569</v>
      </c>
      <c r="O140" s="1267"/>
      <c r="P140" s="1267"/>
      <c r="Q140" s="1255">
        <f>U66</f>
        <v>0</v>
      </c>
      <c r="R140" s="1255"/>
      <c r="S140" s="193" t="s">
        <v>485</v>
      </c>
      <c r="T140" s="192" t="s">
        <v>263</v>
      </c>
      <c r="U140" s="1254">
        <f>H140*Q140</f>
        <v>0</v>
      </c>
      <c r="V140" s="1254"/>
      <c r="W140" s="1254"/>
      <c r="X140" s="1254"/>
      <c r="Y140" s="193" t="s">
        <v>264</v>
      </c>
    </row>
    <row r="141" spans="2:39" ht="12.75" customHeight="1">
      <c r="B141" s="2"/>
      <c r="E141" s="36"/>
      <c r="F141" s="36"/>
      <c r="G141" s="34"/>
      <c r="H141" s="204"/>
      <c r="I141" s="204"/>
      <c r="M141" s="44"/>
      <c r="N141" s="205"/>
      <c r="O141" s="203"/>
      <c r="P141" s="203"/>
      <c r="Q141" s="206"/>
      <c r="R141" s="206"/>
      <c r="S141" s="193"/>
      <c r="T141" s="192"/>
      <c r="U141" s="207"/>
      <c r="V141" s="207"/>
      <c r="W141" s="207"/>
      <c r="X141" s="207"/>
      <c r="Y141" s="193"/>
    </row>
    <row r="142" spans="2:39" ht="15" customHeight="1">
      <c r="B142" s="2"/>
      <c r="D142" s="1" t="s">
        <v>570</v>
      </c>
      <c r="F142" s="74"/>
      <c r="G142" s="74"/>
      <c r="H142" s="74"/>
      <c r="I142" s="74"/>
      <c r="J142" s="74"/>
      <c r="K142" s="74"/>
      <c r="L142" s="74"/>
      <c r="M142" s="74"/>
      <c r="N142" s="74"/>
      <c r="O142" s="74"/>
      <c r="P142" s="203"/>
      <c r="Q142" s="206"/>
      <c r="R142" s="206"/>
      <c r="S142" s="193"/>
      <c r="T142" s="8" t="s">
        <v>543</v>
      </c>
      <c r="U142" s="1231">
        <f>U143+U144</f>
        <v>0</v>
      </c>
      <c r="V142" s="1231"/>
      <c r="W142" s="1231"/>
      <c r="X142" s="1231"/>
      <c r="Y142" s="9" t="s">
        <v>544</v>
      </c>
    </row>
    <row r="143" spans="2:39" ht="27.75" customHeight="1">
      <c r="B143" s="2"/>
      <c r="E143" s="1263"/>
      <c r="F143" s="1263"/>
      <c r="G143" s="34" t="s">
        <v>522</v>
      </c>
      <c r="H143" s="1266"/>
      <c r="I143" s="1266"/>
      <c r="J143" s="1" t="s">
        <v>566</v>
      </c>
      <c r="M143" s="44" t="s">
        <v>567</v>
      </c>
      <c r="N143" s="1177" t="s">
        <v>571</v>
      </c>
      <c r="O143" s="1267"/>
      <c r="P143" s="1267"/>
      <c r="Q143" s="1255">
        <f>U67</f>
        <v>0</v>
      </c>
      <c r="R143" s="1255"/>
      <c r="S143" s="193" t="s">
        <v>497</v>
      </c>
      <c r="T143" s="192" t="s">
        <v>263</v>
      </c>
      <c r="U143" s="1254">
        <f>H143*Q143</f>
        <v>0</v>
      </c>
      <c r="V143" s="1254"/>
      <c r="W143" s="1254"/>
      <c r="X143" s="1254"/>
      <c r="Y143" s="193" t="s">
        <v>264</v>
      </c>
    </row>
    <row r="144" spans="2:39" ht="27.75" customHeight="1">
      <c r="B144" s="2"/>
      <c r="E144" s="1263"/>
      <c r="F144" s="1263"/>
      <c r="G144" s="34" t="s">
        <v>522</v>
      </c>
      <c r="H144" s="1266"/>
      <c r="I144" s="1266"/>
      <c r="J144" s="1" t="s">
        <v>561</v>
      </c>
      <c r="M144" s="44" t="s">
        <v>567</v>
      </c>
      <c r="N144" s="1177" t="s">
        <v>572</v>
      </c>
      <c r="O144" s="1267"/>
      <c r="P144" s="1267"/>
      <c r="Q144" s="1255">
        <f>U68</f>
        <v>0</v>
      </c>
      <c r="R144" s="1255"/>
      <c r="S144" s="193" t="s">
        <v>485</v>
      </c>
      <c r="T144" s="192" t="s">
        <v>263</v>
      </c>
      <c r="U144" s="1254">
        <f>H144*Q144</f>
        <v>0</v>
      </c>
      <c r="V144" s="1254"/>
      <c r="W144" s="1254"/>
      <c r="X144" s="1254"/>
      <c r="Y144" s="193" t="s">
        <v>264</v>
      </c>
    </row>
    <row r="145" spans="2:28" ht="13.5" customHeight="1">
      <c r="B145" s="2"/>
      <c r="E145" s="36"/>
      <c r="F145" s="36"/>
      <c r="G145" s="34"/>
      <c r="H145" s="204"/>
      <c r="I145" s="204"/>
      <c r="M145" s="44"/>
      <c r="N145" s="205"/>
      <c r="O145" s="203"/>
      <c r="P145" s="203"/>
      <c r="Q145" s="206"/>
      <c r="R145" s="206"/>
      <c r="S145" s="193"/>
      <c r="T145" s="192"/>
      <c r="U145" s="207"/>
      <c r="V145" s="207"/>
      <c r="W145" s="207"/>
      <c r="X145" s="207"/>
      <c r="Y145" s="193"/>
    </row>
    <row r="146" spans="2:28">
      <c r="B146" s="2"/>
      <c r="C146" s="1207" t="s">
        <v>573</v>
      </c>
      <c r="D146" s="1207"/>
      <c r="E146" s="1207"/>
      <c r="F146" s="1207"/>
      <c r="G146" s="1207"/>
      <c r="H146" s="1207"/>
      <c r="I146" s="1207"/>
      <c r="J146" s="1207"/>
      <c r="K146" s="1207"/>
      <c r="L146" s="1207"/>
      <c r="M146" s="1207"/>
      <c r="N146" s="1207"/>
      <c r="O146" s="1207"/>
      <c r="P146" s="203"/>
      <c r="Q146" s="206"/>
      <c r="R146" s="206"/>
      <c r="S146" s="193"/>
      <c r="T146" s="8"/>
      <c r="U146" s="1231"/>
      <c r="V146" s="1231"/>
      <c r="W146" s="1231"/>
      <c r="X146" s="1231"/>
      <c r="Y146" s="9"/>
    </row>
    <row r="147" spans="2:28" ht="14.25" customHeight="1">
      <c r="B147" s="2"/>
      <c r="C147" s="74"/>
      <c r="D147" s="1" t="s">
        <v>565</v>
      </c>
      <c r="F147" s="74"/>
      <c r="G147" s="74"/>
      <c r="H147" s="74"/>
      <c r="I147" s="74"/>
      <c r="J147" s="74"/>
      <c r="K147" s="74"/>
      <c r="L147" s="74"/>
      <c r="M147" s="74"/>
      <c r="N147" s="74"/>
      <c r="O147" s="74"/>
      <c r="P147" s="203"/>
      <c r="Q147" s="206"/>
      <c r="R147" s="206"/>
      <c r="S147" s="193"/>
      <c r="T147" s="8" t="s">
        <v>543</v>
      </c>
      <c r="U147" s="1231">
        <f>U148+U149</f>
        <v>0</v>
      </c>
      <c r="V147" s="1231"/>
      <c r="W147" s="1231"/>
      <c r="X147" s="1231"/>
      <c r="Y147" s="9" t="s">
        <v>544</v>
      </c>
    </row>
    <row r="148" spans="2:28" ht="25.5" customHeight="1">
      <c r="B148" s="2"/>
      <c r="E148" s="1263"/>
      <c r="F148" s="1263"/>
      <c r="G148" s="34" t="s">
        <v>522</v>
      </c>
      <c r="H148" s="1266"/>
      <c r="I148" s="1266"/>
      <c r="J148" s="1" t="s">
        <v>566</v>
      </c>
      <c r="M148" s="44" t="s">
        <v>567</v>
      </c>
      <c r="N148" s="1177" t="s">
        <v>574</v>
      </c>
      <c r="O148" s="1267"/>
      <c r="P148" s="1267"/>
      <c r="Q148" s="1255">
        <f>U70</f>
        <v>0</v>
      </c>
      <c r="R148" s="1255"/>
      <c r="S148" s="193" t="s">
        <v>497</v>
      </c>
      <c r="T148" s="192" t="s">
        <v>263</v>
      </c>
      <c r="U148" s="1254">
        <f>H148*Q148</f>
        <v>0</v>
      </c>
      <c r="V148" s="1254"/>
      <c r="W148" s="1254"/>
      <c r="X148" s="1254"/>
      <c r="Y148" s="193" t="s">
        <v>264</v>
      </c>
    </row>
    <row r="149" spans="2:28" ht="25.5" customHeight="1">
      <c r="B149" s="2"/>
      <c r="E149" s="1263"/>
      <c r="F149" s="1263"/>
      <c r="G149" s="34" t="s">
        <v>522</v>
      </c>
      <c r="H149" s="1266"/>
      <c r="I149" s="1266"/>
      <c r="J149" s="1" t="s">
        <v>561</v>
      </c>
      <c r="M149" s="44" t="s">
        <v>567</v>
      </c>
      <c r="N149" s="1177" t="s">
        <v>575</v>
      </c>
      <c r="O149" s="1267"/>
      <c r="P149" s="1267"/>
      <c r="Q149" s="1255">
        <f>U71</f>
        <v>0</v>
      </c>
      <c r="R149" s="1255"/>
      <c r="S149" s="193" t="s">
        <v>485</v>
      </c>
      <c r="T149" s="192" t="s">
        <v>263</v>
      </c>
      <c r="U149" s="1254">
        <f>H149*Q149</f>
        <v>0</v>
      </c>
      <c r="V149" s="1254"/>
      <c r="W149" s="1254"/>
      <c r="X149" s="1254"/>
      <c r="Y149" s="193" t="s">
        <v>264</v>
      </c>
    </row>
    <row r="150" spans="2:28" ht="14.25" customHeight="1">
      <c r="B150" s="2"/>
      <c r="E150" s="36"/>
      <c r="F150" s="36"/>
      <c r="G150" s="34"/>
      <c r="H150" s="204"/>
      <c r="I150" s="204"/>
      <c r="M150" s="44"/>
      <c r="N150" s="205"/>
      <c r="O150" s="203"/>
      <c r="P150" s="203"/>
      <c r="Q150" s="206"/>
      <c r="R150" s="206"/>
      <c r="S150" s="193"/>
      <c r="T150" s="192"/>
      <c r="U150" s="207"/>
      <c r="V150" s="207"/>
      <c r="W150" s="207"/>
      <c r="X150" s="207"/>
      <c r="Y150" s="193"/>
    </row>
    <row r="151" spans="2:28" ht="15" customHeight="1">
      <c r="B151" s="2"/>
      <c r="D151" s="1" t="s">
        <v>570</v>
      </c>
      <c r="F151" s="74"/>
      <c r="G151" s="74"/>
      <c r="H151" s="74"/>
      <c r="I151" s="74"/>
      <c r="J151" s="74"/>
      <c r="K151" s="74"/>
      <c r="L151" s="74"/>
      <c r="M151" s="74"/>
      <c r="N151" s="74"/>
      <c r="O151" s="74"/>
      <c r="P151" s="203"/>
      <c r="Q151" s="206"/>
      <c r="R151" s="206"/>
      <c r="S151" s="193"/>
      <c r="T151" s="8" t="s">
        <v>543</v>
      </c>
      <c r="U151" s="1231">
        <f>U152+U153</f>
        <v>0</v>
      </c>
      <c r="V151" s="1231"/>
      <c r="W151" s="1231"/>
      <c r="X151" s="1231"/>
      <c r="Y151" s="9" t="s">
        <v>544</v>
      </c>
    </row>
    <row r="152" spans="2:28" ht="27.75" customHeight="1">
      <c r="B152" s="2"/>
      <c r="E152" s="1263"/>
      <c r="F152" s="1263"/>
      <c r="G152" s="34" t="s">
        <v>522</v>
      </c>
      <c r="H152" s="1266"/>
      <c r="I152" s="1266"/>
      <c r="J152" s="1" t="s">
        <v>566</v>
      </c>
      <c r="M152" s="44" t="s">
        <v>567</v>
      </c>
      <c r="N152" s="1177" t="s">
        <v>576</v>
      </c>
      <c r="O152" s="1267"/>
      <c r="P152" s="1267"/>
      <c r="Q152" s="1255">
        <f>U72</f>
        <v>0</v>
      </c>
      <c r="R152" s="1255"/>
      <c r="S152" s="193" t="s">
        <v>497</v>
      </c>
      <c r="T152" s="192" t="s">
        <v>263</v>
      </c>
      <c r="U152" s="1254">
        <f>H152*Q152</f>
        <v>0</v>
      </c>
      <c r="V152" s="1254"/>
      <c r="W152" s="1254"/>
      <c r="X152" s="1254"/>
      <c r="Y152" s="193" t="s">
        <v>264</v>
      </c>
    </row>
    <row r="153" spans="2:28" ht="27.75" customHeight="1">
      <c r="B153" s="2"/>
      <c r="E153" s="1263"/>
      <c r="F153" s="1263"/>
      <c r="G153" s="34" t="s">
        <v>522</v>
      </c>
      <c r="H153" s="1266"/>
      <c r="I153" s="1266"/>
      <c r="J153" s="1" t="s">
        <v>561</v>
      </c>
      <c r="M153" s="44" t="s">
        <v>567</v>
      </c>
      <c r="N153" s="1177" t="s">
        <v>577</v>
      </c>
      <c r="O153" s="1267"/>
      <c r="P153" s="1267"/>
      <c r="Q153" s="1255">
        <f>U73</f>
        <v>0</v>
      </c>
      <c r="R153" s="1255"/>
      <c r="S153" s="193" t="s">
        <v>485</v>
      </c>
      <c r="T153" s="192" t="s">
        <v>263</v>
      </c>
      <c r="U153" s="1254">
        <f>H153*Q153</f>
        <v>0</v>
      </c>
      <c r="V153" s="1254"/>
      <c r="W153" s="1254"/>
      <c r="X153" s="1254"/>
      <c r="Y153" s="193" t="s">
        <v>264</v>
      </c>
    </row>
    <row r="154" spans="2:28" ht="8.25" customHeight="1">
      <c r="B154" s="2"/>
      <c r="C154" s="1207"/>
      <c r="D154" s="1207"/>
      <c r="E154" s="1207"/>
      <c r="F154" s="1207"/>
      <c r="G154" s="1207"/>
      <c r="H154" s="1207"/>
      <c r="I154" s="1207"/>
      <c r="J154" s="1207"/>
      <c r="K154" s="1207"/>
      <c r="L154" s="1207"/>
      <c r="M154" s="1207"/>
      <c r="N154" s="1207"/>
      <c r="O154" s="1207"/>
      <c r="P154" s="45"/>
      <c r="Q154" s="45"/>
      <c r="R154" s="45"/>
      <c r="S154" s="9"/>
      <c r="T154" s="8"/>
      <c r="U154" s="191"/>
      <c r="V154" s="191"/>
      <c r="W154" s="191"/>
      <c r="X154" s="191"/>
      <c r="Y154" s="9"/>
    </row>
    <row r="155" spans="2:28" ht="9" customHeight="1">
      <c r="B155" s="2"/>
      <c r="D155" s="35"/>
      <c r="E155" s="36"/>
      <c r="F155" s="36"/>
      <c r="G155" s="34"/>
      <c r="H155" s="204"/>
      <c r="I155" s="204"/>
      <c r="M155" s="132"/>
      <c r="N155" s="208"/>
      <c r="O155" s="84"/>
      <c r="P155" s="84"/>
      <c r="Q155" s="44"/>
      <c r="R155" s="44"/>
      <c r="T155" s="192"/>
      <c r="U155" s="207"/>
      <c r="V155" s="207"/>
      <c r="W155" s="207"/>
      <c r="X155" s="207"/>
      <c r="Y155" s="193"/>
    </row>
    <row r="156" spans="2:28" ht="15" customHeight="1">
      <c r="B156" s="2"/>
      <c r="K156" s="1" t="s">
        <v>578</v>
      </c>
      <c r="P156" s="155"/>
      <c r="Q156" s="35"/>
      <c r="R156" s="35"/>
      <c r="S156" s="121"/>
      <c r="T156" s="8" t="s">
        <v>543</v>
      </c>
      <c r="U156" s="1268" t="e">
        <f>U78+U117+U119+U125+U126+U129+U135+U138+U142+U147+U151</f>
        <v>#VALUE!</v>
      </c>
      <c r="V156" s="1268"/>
      <c r="W156" s="1268"/>
      <c r="X156" s="1268"/>
      <c r="Y156" s="9" t="s">
        <v>544</v>
      </c>
      <c r="AB156" s="110"/>
    </row>
    <row r="157" spans="2:28" ht="6" customHeight="1" thickBot="1">
      <c r="B157" s="209"/>
      <c r="C157" s="210"/>
      <c r="D157" s="210"/>
      <c r="E157" s="210"/>
      <c r="F157" s="210"/>
      <c r="G157" s="210"/>
      <c r="H157" s="210"/>
      <c r="I157" s="210"/>
      <c r="J157" s="210"/>
      <c r="K157" s="210"/>
      <c r="L157" s="210"/>
      <c r="M157" s="210"/>
      <c r="N157" s="210"/>
      <c r="O157" s="210"/>
      <c r="P157" s="210"/>
      <c r="Q157" s="210"/>
      <c r="R157" s="210"/>
      <c r="S157" s="211"/>
      <c r="T157" s="209"/>
      <c r="U157" s="210"/>
      <c r="V157" s="210"/>
      <c r="W157" s="210"/>
      <c r="X157" s="210"/>
      <c r="Y157" s="211"/>
    </row>
    <row r="158" spans="2:28" ht="30" customHeight="1" thickTop="1">
      <c r="B158" s="1269" t="s">
        <v>579</v>
      </c>
      <c r="C158" s="1270"/>
      <c r="D158" s="1270"/>
      <c r="E158" s="1270"/>
      <c r="F158" s="1270"/>
      <c r="G158" s="1270"/>
      <c r="H158" s="1270"/>
      <c r="I158" s="1273"/>
      <c r="J158" s="1273"/>
      <c r="K158" s="1273"/>
      <c r="L158" s="1273"/>
      <c r="M158" s="1273"/>
      <c r="N158" s="1469"/>
      <c r="O158" s="1469"/>
      <c r="P158" s="1469"/>
      <c r="Q158" s="1469"/>
      <c r="R158" s="1469"/>
      <c r="S158" s="48"/>
      <c r="T158" s="1274" t="s">
        <v>580</v>
      </c>
      <c r="U158" s="1275"/>
      <c r="V158" s="1275"/>
      <c r="W158" s="1275"/>
      <c r="X158" s="1275"/>
      <c r="Y158" s="1276"/>
    </row>
    <row r="159" spans="2:28" ht="30" customHeight="1" thickBot="1">
      <c r="B159" s="1271"/>
      <c r="C159" s="1272"/>
      <c r="D159" s="1272"/>
      <c r="E159" s="1272"/>
      <c r="F159" s="1272"/>
      <c r="G159" s="1272"/>
      <c r="H159" s="1280" t="s">
        <v>581</v>
      </c>
      <c r="I159" s="1281"/>
      <c r="J159" s="1281"/>
      <c r="K159" s="1281"/>
      <c r="L159" s="1281"/>
      <c r="M159" s="1281"/>
      <c r="N159" s="1470"/>
      <c r="O159" s="1470"/>
      <c r="P159" s="1470"/>
      <c r="Q159" s="1470"/>
      <c r="R159" s="1470"/>
      <c r="S159" s="9" t="s">
        <v>209</v>
      </c>
      <c r="T159" s="1277"/>
      <c r="U159" s="1278"/>
      <c r="V159" s="1278"/>
      <c r="W159" s="1278"/>
      <c r="X159" s="1278"/>
      <c r="Y159" s="1279"/>
      <c r="AB159" s="212" t="e">
        <f>U156</f>
        <v>#VALUE!</v>
      </c>
    </row>
    <row r="160" spans="2:28" ht="17.25" customHeight="1">
      <c r="B160" s="49"/>
      <c r="C160" s="50"/>
      <c r="D160" s="50"/>
      <c r="E160" s="50"/>
      <c r="F160" s="50"/>
      <c r="G160" s="50"/>
      <c r="H160" s="50"/>
      <c r="I160" s="50"/>
      <c r="J160" s="125" t="s">
        <v>582</v>
      </c>
      <c r="S160" s="9"/>
      <c r="T160" s="8" t="s">
        <v>543</v>
      </c>
      <c r="U160" s="1268">
        <f>ROUNDDOWN(IF(N159&gt;7200000,U156*0.8,0),0)</f>
        <v>0</v>
      </c>
      <c r="V160" s="1268"/>
      <c r="W160" s="1268"/>
      <c r="X160" s="1268"/>
      <c r="Y160" s="9" t="s">
        <v>544</v>
      </c>
      <c r="AB160" s="212">
        <f>U160</f>
        <v>0</v>
      </c>
    </row>
    <row r="161" spans="2:28" ht="28.5" customHeight="1">
      <c r="B161" s="16"/>
      <c r="C161" s="51"/>
      <c r="D161" s="51"/>
      <c r="E161" s="51"/>
      <c r="F161" s="51"/>
      <c r="G161" s="51"/>
      <c r="H161" s="1284" t="s">
        <v>583</v>
      </c>
      <c r="I161" s="1284"/>
      <c r="J161" s="1284"/>
      <c r="K161" s="1284"/>
      <c r="L161" s="1284"/>
      <c r="M161" s="1284"/>
      <c r="N161" s="1284"/>
      <c r="O161" s="1284"/>
      <c r="P161" s="1284"/>
      <c r="Q161" s="1284"/>
      <c r="R161" s="1284"/>
      <c r="S161" s="1285"/>
      <c r="T161" s="1277" t="s">
        <v>584</v>
      </c>
      <c r="U161" s="1278"/>
      <c r="V161" s="1278"/>
      <c r="W161" s="1278"/>
      <c r="X161" s="1278"/>
      <c r="Y161" s="1279"/>
      <c r="AB161" s="110">
        <f>U163</f>
        <v>0</v>
      </c>
    </row>
    <row r="162" spans="2:28" ht="30" customHeight="1">
      <c r="B162" s="1286" t="s">
        <v>585</v>
      </c>
      <c r="C162" s="1287"/>
      <c r="D162" s="1287"/>
      <c r="E162" s="1287"/>
      <c r="F162" s="1287"/>
      <c r="G162" s="1287"/>
      <c r="H162" s="1290"/>
      <c r="I162" s="1290"/>
      <c r="J162" s="1290"/>
      <c r="K162" s="52"/>
      <c r="L162" s="52"/>
      <c r="M162" s="52"/>
      <c r="N162" s="53"/>
      <c r="O162" s="53"/>
      <c r="P162" s="53"/>
      <c r="Q162" s="53"/>
      <c r="R162" s="53"/>
      <c r="S162" s="54"/>
      <c r="T162" s="1277"/>
      <c r="U162" s="1278"/>
      <c r="V162" s="1278"/>
      <c r="W162" s="1278"/>
      <c r="X162" s="1278"/>
      <c r="Y162" s="1279"/>
    </row>
    <row r="163" spans="2:28" ht="30" customHeight="1" thickBot="1">
      <c r="B163" s="1288"/>
      <c r="C163" s="1289"/>
      <c r="D163" s="1289"/>
      <c r="E163" s="1289"/>
      <c r="F163" s="1289"/>
      <c r="G163" s="1289"/>
      <c r="H163" s="1291"/>
      <c r="I163" s="1292"/>
      <c r="J163" s="1292"/>
      <c r="K163" s="1292"/>
      <c r="L163" s="1292"/>
      <c r="M163" s="1292"/>
      <c r="N163" s="1471"/>
      <c r="O163" s="1471"/>
      <c r="P163" s="1471"/>
      <c r="Q163" s="1471"/>
      <c r="R163" s="1471"/>
      <c r="S163" s="9" t="s">
        <v>449</v>
      </c>
      <c r="T163" s="8" t="s">
        <v>543</v>
      </c>
      <c r="U163" s="1268">
        <f>ROUNDDOWN(IF(AND(N159&gt;6300000,N159&lt;=7200000),U156*0.9,0),0)</f>
        <v>0</v>
      </c>
      <c r="V163" s="1268"/>
      <c r="W163" s="1268"/>
      <c r="X163" s="1268"/>
      <c r="Y163" s="9" t="s">
        <v>544</v>
      </c>
    </row>
    <row r="164" spans="2:28" ht="43.5" customHeight="1">
      <c r="B164" s="1282" t="s">
        <v>586</v>
      </c>
      <c r="C164" s="1177"/>
      <c r="D164" s="1177"/>
      <c r="E164" s="1177"/>
      <c r="F164" s="1177"/>
      <c r="G164" s="1177"/>
      <c r="H164" s="1177"/>
      <c r="I164" s="1177"/>
      <c r="J164" s="1177"/>
      <c r="K164" s="1177"/>
      <c r="L164" s="1177"/>
      <c r="M164" s="1177"/>
      <c r="N164" s="1177"/>
      <c r="O164" s="1177"/>
      <c r="P164" s="1177"/>
      <c r="Q164" s="1177"/>
      <c r="R164" s="1177"/>
      <c r="S164" s="1283"/>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3" t="s">
        <v>288</v>
      </c>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row>
    <row r="167" spans="2:28" ht="11.1" customHeight="1">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row>
    <row r="168" spans="2:28" ht="11.25" customHeight="1">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107" priority="7">
      <formula>LEN(TRIM(C117))=0</formula>
    </cfRule>
  </conditionalFormatting>
  <conditionalFormatting sqref="C119">
    <cfRule type="containsBlanks" dxfId="106" priority="6">
      <formula>LEN(TRIM(C119))=0</formula>
    </cfRule>
  </conditionalFormatting>
  <conditionalFormatting sqref="C123">
    <cfRule type="containsBlanks" dxfId="105" priority="5">
      <formula>LEN(TRIM(C123))=0</formula>
    </cfRule>
  </conditionalFormatting>
  <conditionalFormatting sqref="C126">
    <cfRule type="containsBlanks" dxfId="104" priority="4">
      <formula>LEN(TRIM(C126))=0</formula>
    </cfRule>
  </conditionalFormatting>
  <conditionalFormatting sqref="I7">
    <cfRule type="containsBlanks" dxfId="103" priority="10" stopIfTrue="1">
      <formula>LEN(TRIM(I7))=0</formula>
    </cfRule>
  </conditionalFormatting>
  <conditionalFormatting sqref="J38:M39 U38:X39">
    <cfRule type="containsBlanks" dxfId="102" priority="13">
      <formula>LEN(TRIM(J38))=0</formula>
    </cfRule>
  </conditionalFormatting>
  <conditionalFormatting sqref="K78 N78">
    <cfRule type="containsBlanks" dxfId="101" priority="8" stopIfTrue="1">
      <formula>LEN(TRIM(K78))=0</formula>
    </cfRule>
  </conditionalFormatting>
  <conditionalFormatting sqref="M49:O49 Q49:S49">
    <cfRule type="containsBlanks" dxfId="100" priority="1">
      <formula>LEN(TRIM(M49))=0</formula>
    </cfRule>
  </conditionalFormatting>
  <conditionalFormatting sqref="N163:R163">
    <cfRule type="containsBlanks" dxfId="99" priority="2">
      <formula>LEN(TRIM(N163))=0</formula>
    </cfRule>
  </conditionalFormatting>
  <conditionalFormatting sqref="N6:Y6">
    <cfRule type="containsBlanks" dxfId="98" priority="11" stopIfTrue="1">
      <formula>LEN(TRIM(N6))=0</formula>
    </cfRule>
  </conditionalFormatting>
  <conditionalFormatting sqref="O132:P132">
    <cfRule type="containsBlanks" dxfId="97" priority="3">
      <formula>LEN(TRIM(O132))=0</formula>
    </cfRule>
  </conditionalFormatting>
  <conditionalFormatting sqref="V59:Y62">
    <cfRule type="containsBlanks" dxfId="96"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0D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0D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0D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D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0D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2" manualBreakCount="2">
    <brk id="73" max="24" man="1"/>
    <brk id="133"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0290-081B-4754-8D71-21EE91433E56}">
  <sheetPr>
    <tabColor rgb="FF00B0F0"/>
  </sheetPr>
  <dimension ref="A1:AN164"/>
  <sheetViews>
    <sheetView view="pageBreakPreview" zoomScaleNormal="100" zoomScaleSheetLayoutView="100" workbookViewId="0">
      <selection sqref="A1:D1"/>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3" width="3.625" style="1"/>
    <col min="34" max="34" width="5.5" style="1" bestFit="1" customWidth="1"/>
    <col min="35" max="35" width="6.5" style="1" bestFit="1" customWidth="1"/>
    <col min="36"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587</v>
      </c>
      <c r="B1" s="305"/>
      <c r="AA1" s="1" t="s">
        <v>435</v>
      </c>
    </row>
    <row r="2" spans="1:29" ht="9" customHeight="1"/>
    <row r="3" spans="1:29" ht="18.75" customHeight="1">
      <c r="A3" s="952" t="s">
        <v>588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'第2号様式別紙2-1（臨床研修（医師）事業計画書）附表A1'!U24+'第2号様式別紙2-1（臨床研修（医師）事業計画書）附表A1'!U25</f>
        <v>0</v>
      </c>
      <c r="N15" s="1335"/>
      <c r="O15" s="1335"/>
      <c r="P15" s="438" t="s">
        <v>449</v>
      </c>
      <c r="Q15" s="1334">
        <f>'第2号様式別紙2-1（臨床研修（医師）事業計画書）附表A2'!U32+'第2号様式別紙2-1（臨床研修（医師）事業計画書）附表A2'!U33+'第2号様式別紙2-1（臨床研修（医師）事業計画書）附表A2'!AJ33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'第2号様式別紙2-1（臨床研修（医師）事業計画書）附表A1'!V24+'第2号様式別紙2-1（臨床研修（医師）事業計画書）附表A1'!V25</f>
        <v>0</v>
      </c>
      <c r="N16" s="1335"/>
      <c r="O16" s="1335"/>
      <c r="P16" s="438" t="s">
        <v>449</v>
      </c>
      <c r="Q16" s="1334">
        <f>'第2号様式別紙2-1（臨床研修（医師）事業計画書）附表A2'!V32+'第2号様式別紙2-1（臨床研修（医師）事業計画書）附表A2'!V33+'第2号様式別紙2-1（臨床研修（医師）事業計画書）附表A2'!AK33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2.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c r="AH33" s="1" t="b">
        <f>IF('第2号様式別紙2-1（臨床研修（医師）事業計画書）附表A1'!AI17="入力不可",FALSE,TRUE)</f>
        <v>1</v>
      </c>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row>
    <row r="39" spans="1:34" ht="15" customHeight="1">
      <c r="B39" s="102" t="s">
        <v>473</v>
      </c>
      <c r="C39" s="103"/>
      <c r="D39" s="103"/>
      <c r="E39" s="103"/>
      <c r="F39" s="103"/>
      <c r="G39" s="103"/>
      <c r="H39" s="103"/>
      <c r="I39" s="104"/>
      <c r="J39" s="1328"/>
      <c r="K39" s="1329"/>
      <c r="L39" s="1329"/>
      <c r="M39" s="1329"/>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3.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'第2号様式別紙2-1（臨床研修（医師）事業計画書）附表A1'!AI21+'第2号様式別紙2-1（臨床研修（医師）事業計画書）附表A2'!AH37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'第2号様式別紙2-1（臨床研修（医師）事業計画書）附表A1'!AI23+'第2号様式別紙2-1（臨床研修（医師）事業計画書）附表A2'!AH39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'第2号様式別紙2-1（臨床研修（医師）事業計画書）附表A2'!AH44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'第2号様式別紙2-1（臨床研修（医師）事業計画書）附表A2'!AH46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'第2号様式別紙2-1（臨床研修（医師）事業計画書）附表A1'!AJ21+'第2号様式別紙2-1（臨床研修（医師）事業計画書）附表A2'!AI37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'第2号様式別紙2-1（臨床研修（医師）事業計画書）附表A1'!AJ23+'第2号様式別紙2-1（臨床研修（医師）事業計画書）附表A2'!AI39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'第2号様式別紙2-1（臨床研修（医師）事業計画書）附表A2'!AI44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'第2号様式別紙2-1（臨床研修（医師）事業計画書）附表A2'!AI46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0">
        <f>V15</f>
        <v>0</v>
      </c>
      <c r="R101" s="1300"/>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 t="s">
        <v>538</v>
      </c>
      <c r="K112" s="35" t="s">
        <v>539</v>
      </c>
      <c r="L112" s="101" t="s">
        <v>540</v>
      </c>
      <c r="Q112" s="1252">
        <f>U28</f>
        <v>0</v>
      </c>
      <c r="R112" s="1253"/>
      <c r="S112" s="1" t="s">
        <v>449</v>
      </c>
      <c r="T112" s="8"/>
      <c r="U112" s="1256"/>
      <c r="V112" s="1256"/>
      <c r="W112" s="1256"/>
      <c r="X112" s="1256"/>
      <c r="Y112" s="9"/>
      <c r="AB112" s="197"/>
      <c r="AC112" s="197"/>
      <c r="AF112" s="197"/>
    </row>
    <row r="113" spans="2: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2:39" ht="15" customHeight="1" thickBot="1">
      <c r="B114" s="2"/>
      <c r="C114" s="198"/>
      <c r="D114" s="1" t="s">
        <v>542</v>
      </c>
      <c r="K114" s="35" t="s">
        <v>268</v>
      </c>
      <c r="L114" s="101" t="s">
        <v>540</v>
      </c>
      <c r="M114" s="199"/>
      <c r="N114" s="199"/>
      <c r="O114" s="199"/>
      <c r="P114" s="199"/>
      <c r="Q114" s="1303">
        <f>U28</f>
        <v>0</v>
      </c>
      <c r="R114" s="1303"/>
      <c r="S114" s="1" t="s">
        <v>451</v>
      </c>
      <c r="T114" s="8" t="s">
        <v>543</v>
      </c>
      <c r="U114" s="1262">
        <f>IF(C114="○",AA115,IF(C112="○",AA114,0))</f>
        <v>0</v>
      </c>
      <c r="V114" s="1262"/>
      <c r="W114" s="1262"/>
      <c r="X114" s="1262"/>
      <c r="Y114" s="9" t="s">
        <v>544</v>
      </c>
      <c r="AA114" s="1251">
        <f>IF(Q114=0,0,ROUNDDOWN((40000*M115/Q115*Q114),0))</f>
        <v>0</v>
      </c>
      <c r="AB114" s="1251"/>
      <c r="AC114" s="1251"/>
      <c r="AD114" s="1251"/>
      <c r="AE114" s="1251"/>
    </row>
    <row r="115" spans="2: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IF(C112="○","",ROUNDDOWN((97000*M115/Q115*Q114),0))</f>
        <v>#DIV/0!</v>
      </c>
      <c r="AB115" s="1251"/>
      <c r="AC115" s="1251"/>
      <c r="AD115" s="1251"/>
      <c r="AE115" s="1251"/>
    </row>
    <row r="116" spans="2:39" ht="8.25" customHeight="1">
      <c r="B116" s="2"/>
      <c r="M116" s="34"/>
      <c r="P116" s="35"/>
      <c r="T116" s="2"/>
      <c r="U116" s="187"/>
      <c r="V116" s="187"/>
      <c r="W116" s="187"/>
      <c r="X116" s="187"/>
      <c r="Y116" s="9"/>
    </row>
    <row r="117" spans="2:39" ht="13.5" customHeight="1" thickBot="1">
      <c r="B117" s="2"/>
      <c r="C117" s="101"/>
      <c r="D117" s="786" t="s">
        <v>608</v>
      </c>
      <c r="M117" s="34"/>
      <c r="P117" s="35"/>
      <c r="T117" s="2"/>
      <c r="U117" s="187"/>
      <c r="V117" s="187"/>
      <c r="W117" s="187"/>
      <c r="X117" s="187"/>
      <c r="Y117" s="9"/>
    </row>
    <row r="118" spans="2:39" ht="15" customHeight="1" thickBot="1">
      <c r="B118" s="2"/>
      <c r="C118" s="47"/>
      <c r="D118" s="101" t="s">
        <v>550</v>
      </c>
      <c r="M118" s="34"/>
      <c r="P118" s="35"/>
      <c r="T118" s="2"/>
      <c r="U118" s="187"/>
      <c r="V118" s="187"/>
      <c r="W118" s="187"/>
      <c r="X118" s="187"/>
      <c r="Y118" s="9"/>
    </row>
    <row r="119" spans="2:39" ht="15" customHeight="1">
      <c r="B119" s="2"/>
      <c r="C119" s="609" t="s">
        <v>609</v>
      </c>
      <c r="L119" s="200"/>
      <c r="M119" s="200"/>
      <c r="N119" s="200"/>
      <c r="O119" s="200"/>
      <c r="P119" s="200"/>
      <c r="T119" s="2"/>
      <c r="U119" s="187"/>
      <c r="V119" s="187"/>
      <c r="W119" s="187"/>
      <c r="X119" s="187"/>
      <c r="Y119" s="9"/>
    </row>
    <row r="120" spans="2:39" ht="15" customHeight="1" thickBot="1">
      <c r="B120" s="2"/>
      <c r="D120" s="200"/>
      <c r="E120" s="1257"/>
      <c r="F120" s="1257"/>
      <c r="G120" s="1257"/>
      <c r="H120" s="1257"/>
      <c r="K120" s="937" t="s">
        <v>552</v>
      </c>
      <c r="L120" s="937"/>
      <c r="M120" s="937"/>
      <c r="N120" s="937"/>
      <c r="O120" s="937"/>
      <c r="P120" s="937"/>
      <c r="Q120" s="1303">
        <f>U28</f>
        <v>0</v>
      </c>
      <c r="R120" s="1303"/>
      <c r="S120" s="1" t="s">
        <v>451</v>
      </c>
      <c r="T120" s="8" t="s">
        <v>543</v>
      </c>
      <c r="U120" s="1298">
        <f>IF($C118=1,0,IF(C121="○",0,IF($U28&gt;19,538000,IF($U28&gt;1,269000,IF($U28=0,0,179000)))))</f>
        <v>0</v>
      </c>
      <c r="V120" s="1298"/>
      <c r="W120" s="1298"/>
      <c r="X120" s="1298"/>
      <c r="Y120" s="9" t="s">
        <v>544</v>
      </c>
    </row>
    <row r="121" spans="2:39" ht="15" customHeight="1" thickBot="1">
      <c r="B121" s="2"/>
      <c r="C121" s="201"/>
      <c r="D121" s="1258" t="s">
        <v>553</v>
      </c>
      <c r="E121" s="1258"/>
      <c r="F121" s="1258"/>
      <c r="G121" s="1258"/>
      <c r="H121" s="1258"/>
      <c r="I121" s="1258"/>
      <c r="J121" s="1258"/>
      <c r="K121" s="1258"/>
      <c r="L121" s="1258"/>
      <c r="M121" s="1258"/>
      <c r="N121" s="1258"/>
      <c r="O121" s="1258"/>
      <c r="P121" s="1258"/>
      <c r="Q121" s="1258"/>
      <c r="R121" s="1258"/>
      <c r="S121" s="1259"/>
      <c r="T121" s="8" t="s">
        <v>543</v>
      </c>
      <c r="U121" s="1298">
        <f>IF(C118=1,0,IF(C121="○",1076000,0))</f>
        <v>0</v>
      </c>
      <c r="V121" s="1298"/>
      <c r="W121" s="1298"/>
      <c r="X121" s="1298"/>
      <c r="Y121" s="9" t="s">
        <v>544</v>
      </c>
    </row>
    <row r="122" spans="2:39" ht="7.5" customHeight="1">
      <c r="B122" s="2"/>
      <c r="D122" s="1258"/>
      <c r="E122" s="1258"/>
      <c r="F122" s="1258"/>
      <c r="G122" s="1258"/>
      <c r="H122" s="1258"/>
      <c r="I122" s="1258"/>
      <c r="J122" s="1258"/>
      <c r="K122" s="1258"/>
      <c r="L122" s="1258"/>
      <c r="M122" s="1258"/>
      <c r="N122" s="1258"/>
      <c r="O122" s="1258"/>
      <c r="P122" s="1258"/>
      <c r="Q122" s="1258"/>
      <c r="R122" s="1258"/>
      <c r="S122" s="1259"/>
      <c r="T122" s="8"/>
      <c r="U122" s="592"/>
      <c r="V122" s="592"/>
      <c r="W122" s="592"/>
      <c r="X122" s="592"/>
      <c r="Y122" s="9"/>
    </row>
    <row r="123" spans="2:39" ht="15" customHeight="1">
      <c r="B123" s="2"/>
      <c r="D123" s="200"/>
      <c r="E123" s="200"/>
      <c r="T123" s="2"/>
      <c r="U123" s="187"/>
      <c r="V123" s="187"/>
      <c r="W123" s="187"/>
      <c r="X123" s="187"/>
      <c r="Y123" s="9"/>
    </row>
    <row r="124" spans="2:39" ht="15" customHeight="1">
      <c r="B124" s="2"/>
      <c r="C124" s="609" t="s">
        <v>610</v>
      </c>
      <c r="T124" s="8" t="s">
        <v>543</v>
      </c>
      <c r="U124" s="1298">
        <f>U125+U127</f>
        <v>0</v>
      </c>
      <c r="V124" s="1298"/>
      <c r="W124" s="1298"/>
      <c r="X124" s="1298"/>
      <c r="Y124" s="9" t="s">
        <v>544</v>
      </c>
    </row>
    <row r="125" spans="2:39" ht="15" customHeight="1">
      <c r="B125" s="2"/>
      <c r="D125" s="1" t="s">
        <v>555</v>
      </c>
      <c r="T125" s="8" t="s">
        <v>263</v>
      </c>
      <c r="U125" s="1298">
        <f>IF($I$7="",0,IF(C118=1,0,240000))</f>
        <v>0</v>
      </c>
      <c r="V125" s="1298"/>
      <c r="W125" s="1298"/>
      <c r="X125" s="1298"/>
      <c r="Y125" s="9" t="s">
        <v>264</v>
      </c>
      <c r="AJ125" s="1">
        <v>0</v>
      </c>
    </row>
    <row r="126" spans="2:39" ht="15" customHeight="1">
      <c r="B126" s="2"/>
      <c r="D126" s="1" t="s">
        <v>556</v>
      </c>
      <c r="T126" s="8"/>
      <c r="U126" s="592"/>
      <c r="V126" s="592"/>
      <c r="W126" s="592"/>
      <c r="X126" s="592"/>
      <c r="Y126" s="9"/>
    </row>
    <row r="127" spans="2:39" ht="15" customHeight="1">
      <c r="B127" s="2"/>
      <c r="E127" s="444"/>
      <c r="F127" s="444"/>
      <c r="G127" s="1299">
        <v>81000</v>
      </c>
      <c r="H127" s="1299"/>
      <c r="I127" s="1299"/>
      <c r="J127" s="1" t="s">
        <v>209</v>
      </c>
      <c r="K127" s="1" t="s">
        <v>539</v>
      </c>
      <c r="L127" s="1264" t="s">
        <v>557</v>
      </c>
      <c r="M127" s="1264"/>
      <c r="N127" s="1264"/>
      <c r="O127" s="1301">
        <v>0</v>
      </c>
      <c r="P127" s="1301"/>
      <c r="Q127" s="1" t="s">
        <v>558</v>
      </c>
      <c r="T127" s="8" t="s">
        <v>263</v>
      </c>
      <c r="U127" s="1298">
        <f>IF(C118=1,0,G127*O127)</f>
        <v>0</v>
      </c>
      <c r="V127" s="1298"/>
      <c r="W127" s="1298"/>
      <c r="X127" s="1298"/>
      <c r="Y127" s="9" t="s">
        <v>264</v>
      </c>
      <c r="AM127" s="180">
        <v>0</v>
      </c>
    </row>
    <row r="128" spans="2:39" ht="15" customHeight="1">
      <c r="B128" s="2"/>
      <c r="N128" s="18" t="s">
        <v>559</v>
      </c>
      <c r="T128" s="8"/>
      <c r="U128" s="592"/>
      <c r="V128" s="592"/>
      <c r="W128" s="592"/>
      <c r="X128" s="592"/>
      <c r="Y128" s="9"/>
      <c r="AM128" s="180">
        <v>1</v>
      </c>
    </row>
    <row r="129" spans="2:39" ht="15" customHeight="1">
      <c r="B129" s="2"/>
      <c r="C129" s="609" t="s">
        <v>611</v>
      </c>
      <c r="T129" s="2"/>
      <c r="U129" s="187"/>
      <c r="V129" s="187"/>
      <c r="W129" s="187"/>
      <c r="X129" s="187"/>
      <c r="Y129" s="9"/>
      <c r="AM129" s="180">
        <v>2</v>
      </c>
    </row>
    <row r="130" spans="2:39" ht="15.75" customHeight="1">
      <c r="B130" s="2"/>
      <c r="D130" s="34" t="s">
        <v>522</v>
      </c>
      <c r="E130" s="1299">
        <v>10000</v>
      </c>
      <c r="F130" s="1299"/>
      <c r="G130" s="1299"/>
      <c r="H130" s="1" t="s">
        <v>561</v>
      </c>
      <c r="K130" s="35" t="s">
        <v>268</v>
      </c>
      <c r="M130" s="1263" t="s">
        <v>562</v>
      </c>
      <c r="N130" s="1263"/>
      <c r="O130" s="1263"/>
      <c r="P130" s="1" t="s">
        <v>563</v>
      </c>
      <c r="Q130" s="1300">
        <f>U55</f>
        <v>0</v>
      </c>
      <c r="R130" s="1300"/>
      <c r="S130" s="1" t="s">
        <v>485</v>
      </c>
      <c r="T130" s="8" t="s">
        <v>543</v>
      </c>
      <c r="U130" s="1298">
        <f>+IF(C118=1,0,E130*Q130)</f>
        <v>0</v>
      </c>
      <c r="V130" s="1298"/>
      <c r="W130" s="1298"/>
      <c r="X130" s="1298"/>
      <c r="Y130" s="9" t="s">
        <v>544</v>
      </c>
    </row>
    <row r="131" spans="2:39" ht="15.75" customHeight="1">
      <c r="B131" s="2"/>
      <c r="D131" s="34"/>
      <c r="E131" s="593"/>
      <c r="F131" s="593"/>
      <c r="G131" s="593"/>
      <c r="K131" s="35"/>
      <c r="M131" s="36"/>
      <c r="N131" s="36"/>
      <c r="O131" s="36"/>
      <c r="Q131" s="593"/>
      <c r="R131" s="593"/>
      <c r="T131" s="8"/>
      <c r="U131" s="592"/>
      <c r="V131" s="592"/>
      <c r="W131" s="592"/>
      <c r="X131" s="592"/>
      <c r="Y131" s="9"/>
    </row>
    <row r="132" spans="2:39">
      <c r="B132" s="2"/>
      <c r="C132" s="1100" t="s">
        <v>612</v>
      </c>
      <c r="D132" s="1100"/>
      <c r="E132" s="1100"/>
      <c r="F132" s="1100"/>
      <c r="G132" s="1100"/>
      <c r="H132" s="1100"/>
      <c r="I132" s="1100"/>
      <c r="J132" s="1100"/>
      <c r="K132" s="1100"/>
      <c r="L132" s="1100"/>
      <c r="M132" s="1100"/>
      <c r="N132" s="1100"/>
      <c r="O132" s="1100"/>
      <c r="P132" s="203"/>
      <c r="Q132" s="44"/>
      <c r="R132" s="44"/>
      <c r="S132" s="193"/>
      <c r="T132" s="8"/>
      <c r="U132" s="1298"/>
      <c r="V132" s="1298"/>
      <c r="W132" s="1298"/>
      <c r="X132" s="1298"/>
      <c r="Y132" s="9"/>
    </row>
    <row r="133" spans="2:39" ht="16.5" customHeight="1">
      <c r="B133" s="2"/>
      <c r="C133" s="74"/>
      <c r="D133" s="1" t="s">
        <v>565</v>
      </c>
      <c r="F133" s="74"/>
      <c r="G133" s="74"/>
      <c r="H133" s="74"/>
      <c r="I133" s="74"/>
      <c r="J133" s="74"/>
      <c r="K133" s="74"/>
      <c r="L133" s="74"/>
      <c r="M133" s="74"/>
      <c r="N133" s="74"/>
      <c r="O133" s="74"/>
      <c r="P133" s="203"/>
      <c r="Q133" s="44"/>
      <c r="R133" s="44"/>
      <c r="S133" s="193"/>
      <c r="T133" s="8" t="s">
        <v>543</v>
      </c>
      <c r="U133" s="1298">
        <f>U134+U135</f>
        <v>0</v>
      </c>
      <c r="V133" s="1298"/>
      <c r="W133" s="1298"/>
      <c r="X133" s="1298"/>
      <c r="Y133" s="9" t="s">
        <v>544</v>
      </c>
    </row>
    <row r="134" spans="2:39" ht="25.5" customHeight="1">
      <c r="B134" s="2"/>
      <c r="E134" s="1263"/>
      <c r="F134" s="1263"/>
      <c r="G134" s="34" t="s">
        <v>522</v>
      </c>
      <c r="H134" s="1296">
        <v>120000</v>
      </c>
      <c r="I134" s="1296"/>
      <c r="J134" s="1" t="s">
        <v>566</v>
      </c>
      <c r="M134" s="44" t="s">
        <v>567</v>
      </c>
      <c r="N134" s="1177" t="s">
        <v>568</v>
      </c>
      <c r="O134" s="1267"/>
      <c r="P134" s="1267"/>
      <c r="Q134" s="1255">
        <f>U63</f>
        <v>0</v>
      </c>
      <c r="R134" s="1255"/>
      <c r="S134" s="193" t="s">
        <v>497</v>
      </c>
      <c r="T134" s="192" t="s">
        <v>263</v>
      </c>
      <c r="U134" s="1297">
        <f>H134*Q134</f>
        <v>0</v>
      </c>
      <c r="V134" s="1297"/>
      <c r="W134" s="1297"/>
      <c r="X134" s="1297"/>
      <c r="Y134" s="193" t="s">
        <v>264</v>
      </c>
    </row>
    <row r="135" spans="2:39" ht="25.5" customHeight="1">
      <c r="B135" s="2"/>
      <c r="E135" s="1263"/>
      <c r="F135" s="1263"/>
      <c r="G135" s="34" t="s">
        <v>522</v>
      </c>
      <c r="H135" s="1296">
        <v>30000</v>
      </c>
      <c r="I135" s="1296"/>
      <c r="J135" s="1" t="s">
        <v>561</v>
      </c>
      <c r="M135" s="44" t="s">
        <v>567</v>
      </c>
      <c r="N135" s="1177" t="s">
        <v>569</v>
      </c>
      <c r="O135" s="1267"/>
      <c r="P135" s="1267"/>
      <c r="Q135" s="1255">
        <f>U64</f>
        <v>0</v>
      </c>
      <c r="R135" s="1255"/>
      <c r="S135" s="193" t="s">
        <v>485</v>
      </c>
      <c r="T135" s="192" t="s">
        <v>263</v>
      </c>
      <c r="U135" s="1297">
        <f>H135*Q135</f>
        <v>0</v>
      </c>
      <c r="V135" s="1297"/>
      <c r="W135" s="1297"/>
      <c r="X135" s="1297"/>
      <c r="Y135" s="193" t="s">
        <v>264</v>
      </c>
    </row>
    <row r="136" spans="2:39" ht="12.75" customHeight="1">
      <c r="B136" s="2"/>
      <c r="E136" s="36"/>
      <c r="F136" s="36"/>
      <c r="G136" s="34"/>
      <c r="H136" s="590"/>
      <c r="I136" s="590"/>
      <c r="M136" s="44"/>
      <c r="N136" s="205"/>
      <c r="O136" s="203"/>
      <c r="P136" s="203"/>
      <c r="Q136" s="206"/>
      <c r="R136" s="206"/>
      <c r="S136" s="193"/>
      <c r="T136" s="192"/>
      <c r="U136" s="591"/>
      <c r="V136" s="591"/>
      <c r="W136" s="591"/>
      <c r="X136" s="591"/>
      <c r="Y136" s="193"/>
    </row>
    <row r="137" spans="2:39" ht="15" customHeight="1">
      <c r="B137" s="2"/>
      <c r="D137" s="1" t="s">
        <v>570</v>
      </c>
      <c r="F137" s="74"/>
      <c r="G137" s="74"/>
      <c r="H137" s="74"/>
      <c r="I137" s="74"/>
      <c r="J137" s="74"/>
      <c r="K137" s="74"/>
      <c r="L137" s="74"/>
      <c r="M137" s="74"/>
      <c r="N137" s="74"/>
      <c r="O137" s="74"/>
      <c r="P137" s="203"/>
      <c r="Q137" s="206"/>
      <c r="R137" s="206"/>
      <c r="S137" s="193"/>
      <c r="T137" s="8" t="s">
        <v>543</v>
      </c>
      <c r="U137" s="1298">
        <f>U138+U139</f>
        <v>0</v>
      </c>
      <c r="V137" s="1298"/>
      <c r="W137" s="1298"/>
      <c r="X137" s="1298"/>
      <c r="Y137" s="9" t="s">
        <v>544</v>
      </c>
    </row>
    <row r="138" spans="2:39" ht="27.75" customHeight="1">
      <c r="B138" s="2"/>
      <c r="E138" s="1263"/>
      <c r="F138" s="1263"/>
      <c r="G138" s="34" t="s">
        <v>522</v>
      </c>
      <c r="H138" s="1296">
        <v>20000</v>
      </c>
      <c r="I138" s="1296"/>
      <c r="J138" s="1" t="s">
        <v>566</v>
      </c>
      <c r="M138" s="44" t="s">
        <v>567</v>
      </c>
      <c r="N138" s="1177" t="s">
        <v>571</v>
      </c>
      <c r="O138" s="1267"/>
      <c r="P138" s="1267"/>
      <c r="Q138" s="1255">
        <f>U65</f>
        <v>0</v>
      </c>
      <c r="R138" s="1255"/>
      <c r="S138" s="193" t="s">
        <v>497</v>
      </c>
      <c r="T138" s="192" t="s">
        <v>263</v>
      </c>
      <c r="U138" s="1297">
        <f>H138*Q138</f>
        <v>0</v>
      </c>
      <c r="V138" s="1297"/>
      <c r="W138" s="1297"/>
      <c r="X138" s="1297"/>
      <c r="Y138" s="193" t="s">
        <v>264</v>
      </c>
    </row>
    <row r="139" spans="2:39" ht="27.75" customHeight="1">
      <c r="B139" s="2"/>
      <c r="E139" s="1263"/>
      <c r="F139" s="1263"/>
      <c r="G139" s="34" t="s">
        <v>522</v>
      </c>
      <c r="H139" s="1296">
        <v>5000</v>
      </c>
      <c r="I139" s="1296"/>
      <c r="J139" s="1" t="s">
        <v>561</v>
      </c>
      <c r="M139" s="44" t="s">
        <v>567</v>
      </c>
      <c r="N139" s="1177" t="s">
        <v>572</v>
      </c>
      <c r="O139" s="1267"/>
      <c r="P139" s="1267"/>
      <c r="Q139" s="1255">
        <f>U66</f>
        <v>0</v>
      </c>
      <c r="R139" s="1255"/>
      <c r="S139" s="193" t="s">
        <v>485</v>
      </c>
      <c r="T139" s="192" t="s">
        <v>263</v>
      </c>
      <c r="U139" s="1297">
        <f>H139*Q139</f>
        <v>0</v>
      </c>
      <c r="V139" s="1297"/>
      <c r="W139" s="1297"/>
      <c r="X139" s="1297"/>
      <c r="Y139" s="193" t="s">
        <v>264</v>
      </c>
    </row>
    <row r="140" spans="2:39" ht="13.5" customHeight="1">
      <c r="B140" s="2"/>
      <c r="E140" s="36"/>
      <c r="F140" s="36"/>
      <c r="G140" s="34"/>
      <c r="H140" s="590"/>
      <c r="I140" s="590"/>
      <c r="M140" s="44"/>
      <c r="N140" s="205"/>
      <c r="O140" s="203"/>
      <c r="P140" s="203"/>
      <c r="Q140" s="206"/>
      <c r="R140" s="206"/>
      <c r="S140" s="193"/>
      <c r="T140" s="192"/>
      <c r="U140" s="591"/>
      <c r="V140" s="591"/>
      <c r="W140" s="591"/>
      <c r="X140" s="591"/>
      <c r="Y140" s="193"/>
    </row>
    <row r="141" spans="2:39">
      <c r="B141" s="2"/>
      <c r="C141" s="1100" t="s">
        <v>613</v>
      </c>
      <c r="D141" s="1100"/>
      <c r="E141" s="1100"/>
      <c r="F141" s="1100"/>
      <c r="G141" s="1100"/>
      <c r="H141" s="1100"/>
      <c r="I141" s="1100"/>
      <c r="J141" s="1100"/>
      <c r="K141" s="1100"/>
      <c r="L141" s="1100"/>
      <c r="M141" s="1100"/>
      <c r="N141" s="1100"/>
      <c r="O141" s="1100"/>
      <c r="P141" s="203"/>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F48">
    <cfRule type="containsBlanks" dxfId="95" priority="1">
      <formula>LEN(TRIM(B48))=0</formula>
    </cfRule>
  </conditionalFormatting>
  <conditionalFormatting sqref="C112">
    <cfRule type="containsBlanks" dxfId="94" priority="6">
      <formula>LEN(TRIM(C112))=0</formula>
    </cfRule>
  </conditionalFormatting>
  <conditionalFormatting sqref="C114">
    <cfRule type="containsBlanks" dxfId="93" priority="5">
      <formula>LEN(TRIM(C114))=0</formula>
    </cfRule>
  </conditionalFormatting>
  <conditionalFormatting sqref="C118">
    <cfRule type="containsBlanks" dxfId="92" priority="4">
      <formula>LEN(TRIM(C118))=0</formula>
    </cfRule>
  </conditionalFormatting>
  <conditionalFormatting sqref="C121">
    <cfRule type="containsBlanks" dxfId="91" priority="3">
      <formula>LEN(TRIM(C121))=0</formula>
    </cfRule>
  </conditionalFormatting>
  <conditionalFormatting sqref="I7">
    <cfRule type="containsBlanks" dxfId="90" priority="9" stopIfTrue="1">
      <formula>LEN(TRIM(I7))=0</formula>
    </cfRule>
  </conditionalFormatting>
  <conditionalFormatting sqref="J39:M40 U39:X40">
    <cfRule type="containsBlanks" dxfId="89" priority="12">
      <formula>LEN(TRIM(J39))=0</formula>
    </cfRule>
  </conditionalFormatting>
  <conditionalFormatting sqref="K76 N76">
    <cfRule type="containsBlanks" dxfId="88" priority="7" stopIfTrue="1">
      <formula>LEN(TRIM(K76))=0</formula>
    </cfRule>
  </conditionalFormatting>
  <conditionalFormatting sqref="N158:R158">
    <cfRule type="containsBlanks" dxfId="87" priority="13">
      <formula>LEN(TRIM(N158))=0</formula>
    </cfRule>
  </conditionalFormatting>
  <conditionalFormatting sqref="N6:Y6">
    <cfRule type="containsBlanks" dxfId="86" priority="10" stopIfTrue="1">
      <formula>LEN(TRIM(N6))=0</formula>
    </cfRule>
  </conditionalFormatting>
  <conditionalFormatting sqref="O127:P127">
    <cfRule type="containsBlanks" dxfId="85" priority="2">
      <formula>LEN(TRIM(O127))=0</formula>
    </cfRule>
  </conditionalFormatting>
  <conditionalFormatting sqref="P160:Q160">
    <cfRule type="containsBlanks" dxfId="84" priority="14">
      <formula>LEN(TRIM(P160))=0</formula>
    </cfRule>
  </conditionalFormatting>
  <conditionalFormatting sqref="V59:Y62">
    <cfRule type="containsBlanks" dxfId="83" priority="8" stopIfTrue="1">
      <formula>LEN(TRIM(V59))=0</formula>
    </cfRule>
  </conditionalFormatting>
  <dataValidations count="6">
    <dataValidation type="list" allowBlank="1" showInputMessage="1" showErrorMessage="1" sqref="P160:Q160" xr:uid="{544044C4-1F63-4988-9F2B-5E18D1B819DA}">
      <formula1>"○,×"</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E332BA74-3880-4D6D-805B-CC3A569D7ECC}">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8D3F6E4C-8BC3-451C-B395-D574EC9C6D30}">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CA7D23AA-0F1C-46C1-B466-D9F6D9FD4B86}">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3A27E056-34FF-4491-B2EB-8EACBAE765B4}">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5BA1E6E0-3E5F-4472-9AE2-330F09A06A59}">
      <formula1>$AM$127:$AM$129</formula1>
    </dataValidation>
  </dataValidations>
  <printOptions horizontalCentered="1"/>
  <pageMargins left="0.23622047244094491" right="0.23622047244094491" top="0.74803149606299213" bottom="0.74803149606299213" header="0.31496062992125984" footer="0.31496062992125984"/>
  <pageSetup paperSize="9" scale="97" fitToWidth="0" fitToHeight="0" orientation="portrait" blackAndWhite="1" errors="blank" r:id="rId1"/>
  <headerFooter alignWithMargins="0"/>
  <rowBreaks count="3" manualBreakCount="3">
    <brk id="37" max="24" man="1"/>
    <brk id="71" max="24" man="1"/>
    <brk id="118"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FEFF-9D91-4B2C-BAEE-0D230058D77D}">
  <sheetPr>
    <tabColor rgb="FF00B0F0"/>
  </sheetPr>
  <dimension ref="A1:AN164"/>
  <sheetViews>
    <sheetView view="pageBreakPreview" zoomScaleNormal="100" zoomScaleSheetLayoutView="100" workbookViewId="0">
      <selection sqref="A1:D1"/>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10" style="1" customWidth="1"/>
    <col min="29" max="33" width="3.625" style="1"/>
    <col min="34" max="34" width="6.5" style="1" bestFit="1" customWidth="1"/>
    <col min="35"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617</v>
      </c>
      <c r="B1" s="305"/>
      <c r="AA1" s="1" t="s">
        <v>435</v>
      </c>
    </row>
    <row r="2" spans="1:29" ht="9" customHeight="1"/>
    <row r="3" spans="1:29" ht="18.75" customHeight="1">
      <c r="A3" s="952" t="s">
        <v>618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'第2号様式別紙2-1（臨床研修（医師）事業計画書）附表A1'!U24+'第2号様式別紙2-1（臨床研修（医師）事業計画書）附表A1'!U25</f>
        <v>0</v>
      </c>
      <c r="N15" s="1335"/>
      <c r="O15" s="1335"/>
      <c r="P15" s="438" t="s">
        <v>449</v>
      </c>
      <c r="Q15" s="1334">
        <f>'第2号様式別紙2-1（臨床研修（医師）事業計画書）附表A2'!U32+'第2号様式別紙2-1（臨床研修（医師）事業計画書）附表A2'!U33+'第2号様式別紙2-1（臨床研修（医師）事業計画書）附表A2'!AJ33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'第2号様式別紙2-1（臨床研修（医師）事業計画書）附表A1'!V24+'第2号様式別紙2-1（臨床研修（医師）事業計画書）附表A1'!V25</f>
        <v>0</v>
      </c>
      <c r="N16" s="1335"/>
      <c r="O16" s="1335"/>
      <c r="P16" s="438" t="s">
        <v>449</v>
      </c>
      <c r="Q16" s="1334">
        <f>'第2号様式別紙2-1（臨床研修（医師）事業計画書）附表A2'!V32+'第2号様式別紙2-1（臨床研修（医師）事業計画書）附表A2'!V33+'第2号様式別紙2-1（臨床研修（医師）事業計画書）附表A2'!AK33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2.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c r="AH38" s="1" t="b">
        <f>IF('第2号様式別紙2-1（臨床研修（医師）事業計画書）附表A2'!AI17="入力不可",FALSE,TRUE)</f>
        <v>1</v>
      </c>
    </row>
    <row r="39" spans="1:34" ht="15" customHeight="1">
      <c r="B39" s="102" t="s">
        <v>473</v>
      </c>
      <c r="C39" s="103"/>
      <c r="D39" s="103"/>
      <c r="E39" s="103"/>
      <c r="F39" s="103"/>
      <c r="G39" s="103"/>
      <c r="H39" s="103"/>
      <c r="I39" s="104"/>
      <c r="J39" s="1180"/>
      <c r="K39" s="1181"/>
      <c r="L39" s="1181"/>
      <c r="M39" s="1181"/>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4"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3.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'第2号様式別紙2-1（臨床研修（医師）事業計画書）附表A1'!AI21+'第2号様式別紙2-1（臨床研修（医師）事業計画書）附表A2'!AH37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'第2号様式別紙2-1（臨床研修（医師）事業計画書）附表A1'!AI23+'第2号様式別紙2-1（臨床研修（医師）事業計画書）附表A2'!AH39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'第2号様式別紙2-1（臨床研修（医師）事業計画書）附表A2'!AH44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'第2号様式別紙2-1（臨床研修（医師）事業計画書）附表A2'!AH46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'第2号様式別紙2-1（臨床研修（医師）事業計画書）附表A1'!AJ21+'第2号様式別紙2-1（臨床研修（医師）事業計画書）附表A2'!AI37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'第2号様式別紙2-1（臨床研修（医師）事業計画書）附表A1'!AJ23+'第2号様式別紙2-1（臨床研修（医師）事業計画書）附表A2'!AI39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'第2号様式別紙2-1（臨床研修（医師）事業計画書）附表A2'!AI44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'第2号様式別紙2-1（臨床研修（医師）事業計画書）附表A2'!AI46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v>15000</v>
      </c>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v>15000</v>
      </c>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1" t="s">
        <v>619</v>
      </c>
      <c r="K112" s="35" t="s">
        <v>539</v>
      </c>
      <c r="L112" s="101" t="s">
        <v>540</v>
      </c>
      <c r="Q112" s="1252">
        <f>U28</f>
        <v>0</v>
      </c>
      <c r="R112" s="1253"/>
      <c r="S112" s="1" t="s">
        <v>449</v>
      </c>
      <c r="T112" s="8"/>
      <c r="U112" s="1256"/>
      <c r="V112" s="1256"/>
      <c r="W112" s="1256"/>
      <c r="X112" s="1256"/>
      <c r="Y112" s="9"/>
      <c r="AB112" s="197"/>
      <c r="AC112" s="197"/>
      <c r="AF112" s="197"/>
    </row>
    <row r="113" spans="1: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1:39" ht="15" customHeight="1" thickBot="1">
      <c r="B114" s="2"/>
      <c r="C114" s="198"/>
      <c r="D114" s="1" t="s">
        <v>542</v>
      </c>
      <c r="K114" s="35" t="s">
        <v>268</v>
      </c>
      <c r="L114" s="101" t="s">
        <v>540</v>
      </c>
      <c r="M114" s="199"/>
      <c r="N114" s="199"/>
      <c r="O114" s="199"/>
      <c r="P114" s="199"/>
      <c r="Q114" s="1303">
        <f>U28</f>
        <v>0</v>
      </c>
      <c r="R114" s="1303"/>
      <c r="S114" s="1" t="s">
        <v>451</v>
      </c>
      <c r="T114" s="8" t="s">
        <v>543</v>
      </c>
      <c r="U114" s="1350">
        <f>IF(C114="○",AA115,IF(C112="○",AA114,0))</f>
        <v>0</v>
      </c>
      <c r="V114" s="1350"/>
      <c r="W114" s="1350"/>
      <c r="X114" s="1350"/>
      <c r="Y114" s="9" t="s">
        <v>544</v>
      </c>
      <c r="AA114" s="1251">
        <f>IF(Q114=0,0,ROUNDDOWN((40000*M115/Q115*Q114),0))</f>
        <v>0</v>
      </c>
      <c r="AB114" s="1251"/>
      <c r="AC114" s="1251"/>
      <c r="AD114" s="1251"/>
      <c r="AE114" s="1251"/>
    </row>
    <row r="115" spans="1: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IF(C112="○","0",ROUNDDOWN((97000*M115/Q115*Q114),0))</f>
        <v>#DIV/0!</v>
      </c>
      <c r="AB115" s="1251"/>
      <c r="AC115" s="1251"/>
      <c r="AD115" s="1251"/>
      <c r="AE115" s="1251"/>
    </row>
    <row r="116" spans="1:39" ht="8.25" customHeight="1">
      <c r="B116" s="2"/>
      <c r="M116" s="34"/>
      <c r="P116" s="35"/>
      <c r="T116" s="2"/>
      <c r="U116" s="187"/>
      <c r="V116" s="187"/>
      <c r="W116" s="187"/>
      <c r="X116" s="187"/>
      <c r="Y116" s="9"/>
    </row>
    <row r="117" spans="1:39" ht="13.5" hidden="1" customHeight="1" thickBot="1">
      <c r="A117" s="807"/>
      <c r="B117" s="808"/>
      <c r="C117" s="809"/>
      <c r="D117" s="810" t="s">
        <v>608</v>
      </c>
      <c r="E117" s="807"/>
      <c r="F117" s="807"/>
      <c r="G117" s="807"/>
      <c r="H117" s="807"/>
      <c r="I117" s="807"/>
      <c r="J117" s="807"/>
      <c r="K117" s="807"/>
      <c r="L117" s="807"/>
      <c r="M117" s="811"/>
      <c r="N117" s="807"/>
      <c r="O117" s="807"/>
      <c r="P117" s="812"/>
      <c r="Q117" s="807"/>
      <c r="R117" s="807"/>
      <c r="S117" s="807"/>
      <c r="T117" s="808"/>
      <c r="U117" s="813"/>
      <c r="V117" s="813"/>
      <c r="W117" s="813"/>
      <c r="X117" s="813"/>
      <c r="Y117" s="814"/>
    </row>
    <row r="118" spans="1:39" ht="15" hidden="1" customHeight="1" thickBot="1">
      <c r="A118" s="807"/>
      <c r="B118" s="808"/>
      <c r="C118" s="815"/>
      <c r="D118" s="809" t="s">
        <v>550</v>
      </c>
      <c r="E118" s="807"/>
      <c r="F118" s="807"/>
      <c r="G118" s="807"/>
      <c r="H118" s="807"/>
      <c r="I118" s="807"/>
      <c r="J118" s="807"/>
      <c r="K118" s="807"/>
      <c r="L118" s="807"/>
      <c r="M118" s="811"/>
      <c r="N118" s="807"/>
      <c r="O118" s="807"/>
      <c r="P118" s="812"/>
      <c r="Q118" s="807"/>
      <c r="R118" s="807"/>
      <c r="S118" s="807"/>
      <c r="T118" s="808"/>
      <c r="U118" s="813"/>
      <c r="V118" s="813"/>
      <c r="W118" s="813"/>
      <c r="X118" s="813"/>
      <c r="Y118" s="814"/>
    </row>
    <row r="119" spans="1:39" ht="15" hidden="1" customHeight="1">
      <c r="A119" s="807"/>
      <c r="B119" s="808"/>
      <c r="C119" s="816" t="s">
        <v>609</v>
      </c>
      <c r="D119" s="807"/>
      <c r="E119" s="807"/>
      <c r="F119" s="807"/>
      <c r="G119" s="807"/>
      <c r="H119" s="807"/>
      <c r="I119" s="807"/>
      <c r="J119" s="807"/>
      <c r="K119" s="807"/>
      <c r="L119" s="817"/>
      <c r="M119" s="817"/>
      <c r="N119" s="817"/>
      <c r="O119" s="817"/>
      <c r="P119" s="817"/>
      <c r="Q119" s="807"/>
      <c r="R119" s="807"/>
      <c r="S119" s="807"/>
      <c r="T119" s="808"/>
      <c r="U119" s="813"/>
      <c r="V119" s="813"/>
      <c r="W119" s="813"/>
      <c r="X119" s="813"/>
      <c r="Y119" s="814"/>
    </row>
    <row r="120" spans="1:39" ht="15" hidden="1" customHeight="1" thickBot="1">
      <c r="A120" s="807"/>
      <c r="B120" s="808"/>
      <c r="C120" s="807"/>
      <c r="D120" s="817"/>
      <c r="E120" s="1347"/>
      <c r="F120" s="1347"/>
      <c r="G120" s="1347"/>
      <c r="H120" s="1347"/>
      <c r="I120" s="807"/>
      <c r="J120" s="807"/>
      <c r="K120" s="1348" t="s">
        <v>552</v>
      </c>
      <c r="L120" s="1348"/>
      <c r="M120" s="1348"/>
      <c r="N120" s="1348"/>
      <c r="O120" s="1348"/>
      <c r="P120" s="1348"/>
      <c r="Q120" s="1349">
        <v>0</v>
      </c>
      <c r="R120" s="1349"/>
      <c r="S120" s="807" t="s">
        <v>451</v>
      </c>
      <c r="T120" s="818" t="s">
        <v>543</v>
      </c>
      <c r="U120" s="1343">
        <f>IF($C118=1,0,IF(C121="○",0,IF($U28&gt;19,538000,IF($U28&gt;1,269000,IF($U28=0,0,179000)))))</f>
        <v>0</v>
      </c>
      <c r="V120" s="1343"/>
      <c r="W120" s="1343"/>
      <c r="X120" s="1343"/>
      <c r="Y120" s="814" t="s">
        <v>544</v>
      </c>
    </row>
    <row r="121" spans="1:39" ht="15" hidden="1" customHeight="1" thickBot="1">
      <c r="A121" s="807"/>
      <c r="B121" s="808"/>
      <c r="C121" s="819"/>
      <c r="D121" s="1341" t="s">
        <v>553</v>
      </c>
      <c r="E121" s="1341"/>
      <c r="F121" s="1341"/>
      <c r="G121" s="1341"/>
      <c r="H121" s="1341"/>
      <c r="I121" s="1341"/>
      <c r="J121" s="1341"/>
      <c r="K121" s="1341"/>
      <c r="L121" s="1341"/>
      <c r="M121" s="1341"/>
      <c r="N121" s="1341"/>
      <c r="O121" s="1341"/>
      <c r="P121" s="1341"/>
      <c r="Q121" s="1341"/>
      <c r="R121" s="1341"/>
      <c r="S121" s="1342"/>
      <c r="T121" s="818" t="s">
        <v>543</v>
      </c>
      <c r="U121" s="1343">
        <f>IF(C118=1,0,IF(C121="○",1076000,0))</f>
        <v>0</v>
      </c>
      <c r="V121" s="1343"/>
      <c r="W121" s="1343"/>
      <c r="X121" s="1343"/>
      <c r="Y121" s="814" t="s">
        <v>544</v>
      </c>
    </row>
    <row r="122" spans="1:39" ht="7.5" hidden="1" customHeight="1">
      <c r="A122" s="807"/>
      <c r="B122" s="808"/>
      <c r="C122" s="807"/>
      <c r="D122" s="1341"/>
      <c r="E122" s="1341"/>
      <c r="F122" s="1341"/>
      <c r="G122" s="1341"/>
      <c r="H122" s="1341"/>
      <c r="I122" s="1341"/>
      <c r="J122" s="1341"/>
      <c r="K122" s="1341"/>
      <c r="L122" s="1341"/>
      <c r="M122" s="1341"/>
      <c r="N122" s="1341"/>
      <c r="O122" s="1341"/>
      <c r="P122" s="1341"/>
      <c r="Q122" s="1341"/>
      <c r="R122" s="1341"/>
      <c r="S122" s="1342"/>
      <c r="T122" s="818"/>
      <c r="U122" s="820"/>
      <c r="V122" s="820"/>
      <c r="W122" s="820"/>
      <c r="X122" s="820"/>
      <c r="Y122" s="814"/>
    </row>
    <row r="123" spans="1:39" ht="15" hidden="1" customHeight="1">
      <c r="A123" s="807"/>
      <c r="B123" s="808"/>
      <c r="C123" s="807"/>
      <c r="D123" s="817"/>
      <c r="E123" s="817"/>
      <c r="F123" s="807"/>
      <c r="G123" s="807"/>
      <c r="H123" s="807"/>
      <c r="I123" s="807"/>
      <c r="J123" s="807"/>
      <c r="K123" s="807"/>
      <c r="L123" s="807"/>
      <c r="M123" s="807"/>
      <c r="N123" s="807"/>
      <c r="O123" s="807"/>
      <c r="P123" s="807"/>
      <c r="Q123" s="807"/>
      <c r="R123" s="807"/>
      <c r="S123" s="807"/>
      <c r="T123" s="808"/>
      <c r="U123" s="813"/>
      <c r="V123" s="813"/>
      <c r="W123" s="813"/>
      <c r="X123" s="813"/>
      <c r="Y123" s="814"/>
    </row>
    <row r="124" spans="1:39" ht="15" hidden="1" customHeight="1">
      <c r="A124" s="807"/>
      <c r="B124" s="808"/>
      <c r="C124" s="816" t="s">
        <v>610</v>
      </c>
      <c r="D124" s="807"/>
      <c r="E124" s="807"/>
      <c r="F124" s="807"/>
      <c r="G124" s="807"/>
      <c r="H124" s="807"/>
      <c r="I124" s="807"/>
      <c r="J124" s="807"/>
      <c r="K124" s="807"/>
      <c r="L124" s="807"/>
      <c r="M124" s="807"/>
      <c r="N124" s="807"/>
      <c r="O124" s="807"/>
      <c r="P124" s="807"/>
      <c r="Q124" s="807"/>
      <c r="R124" s="807"/>
      <c r="S124" s="807"/>
      <c r="T124" s="818" t="s">
        <v>543</v>
      </c>
      <c r="U124" s="1343">
        <f>U125+U127</f>
        <v>0</v>
      </c>
      <c r="V124" s="1343"/>
      <c r="W124" s="1343"/>
      <c r="X124" s="1343"/>
      <c r="Y124" s="814" t="s">
        <v>544</v>
      </c>
    </row>
    <row r="125" spans="1:39" ht="15" hidden="1" customHeight="1">
      <c r="A125" s="807"/>
      <c r="B125" s="808"/>
      <c r="C125" s="807"/>
      <c r="D125" s="807" t="s">
        <v>555</v>
      </c>
      <c r="E125" s="807"/>
      <c r="F125" s="807"/>
      <c r="G125" s="807"/>
      <c r="H125" s="807"/>
      <c r="I125" s="807"/>
      <c r="J125" s="807"/>
      <c r="K125" s="807"/>
      <c r="L125" s="807"/>
      <c r="M125" s="807"/>
      <c r="N125" s="807"/>
      <c r="O125" s="807"/>
      <c r="P125" s="807"/>
      <c r="Q125" s="807"/>
      <c r="R125" s="807"/>
      <c r="S125" s="807"/>
      <c r="T125" s="818" t="s">
        <v>263</v>
      </c>
      <c r="U125" s="1343">
        <f>IF($I$7="",0,IF(C118=1,0,240000))</f>
        <v>0</v>
      </c>
      <c r="V125" s="1343"/>
      <c r="W125" s="1343"/>
      <c r="X125" s="1343"/>
      <c r="Y125" s="814" t="s">
        <v>264</v>
      </c>
      <c r="AJ125" s="1">
        <v>0</v>
      </c>
    </row>
    <row r="126" spans="1:39" ht="15" hidden="1" customHeight="1">
      <c r="A126" s="807"/>
      <c r="B126" s="808"/>
      <c r="C126" s="807"/>
      <c r="D126" s="807" t="s">
        <v>556</v>
      </c>
      <c r="E126" s="807"/>
      <c r="F126" s="807"/>
      <c r="G126" s="807"/>
      <c r="H126" s="807"/>
      <c r="I126" s="807"/>
      <c r="J126" s="807"/>
      <c r="K126" s="807"/>
      <c r="L126" s="807"/>
      <c r="M126" s="807"/>
      <c r="N126" s="807"/>
      <c r="O126" s="807"/>
      <c r="P126" s="807"/>
      <c r="Q126" s="807"/>
      <c r="R126" s="807"/>
      <c r="S126" s="807"/>
      <c r="T126" s="818"/>
      <c r="U126" s="820"/>
      <c r="V126" s="820"/>
      <c r="W126" s="820"/>
      <c r="X126" s="820"/>
      <c r="Y126" s="814"/>
    </row>
    <row r="127" spans="1:39" ht="15" hidden="1" customHeight="1">
      <c r="A127" s="807"/>
      <c r="B127" s="808"/>
      <c r="C127" s="807"/>
      <c r="D127" s="807"/>
      <c r="E127" s="821"/>
      <c r="F127" s="821"/>
      <c r="G127" s="1344">
        <v>81000</v>
      </c>
      <c r="H127" s="1344"/>
      <c r="I127" s="1344"/>
      <c r="J127" s="807" t="s">
        <v>209</v>
      </c>
      <c r="K127" s="807" t="s">
        <v>539</v>
      </c>
      <c r="L127" s="1345" t="s">
        <v>557</v>
      </c>
      <c r="M127" s="1345"/>
      <c r="N127" s="1345"/>
      <c r="O127" s="1346">
        <v>0</v>
      </c>
      <c r="P127" s="1346"/>
      <c r="Q127" s="807" t="s">
        <v>558</v>
      </c>
      <c r="R127" s="807"/>
      <c r="S127" s="807"/>
      <c r="T127" s="818" t="s">
        <v>263</v>
      </c>
      <c r="U127" s="1343">
        <f>IF(C118=1,0,G127*O127)</f>
        <v>0</v>
      </c>
      <c r="V127" s="1343"/>
      <c r="W127" s="1343"/>
      <c r="X127" s="1343"/>
      <c r="Y127" s="814" t="s">
        <v>264</v>
      </c>
      <c r="AM127" s="180">
        <v>0</v>
      </c>
    </row>
    <row r="128" spans="1:39" ht="15" hidden="1" customHeight="1">
      <c r="A128" s="807"/>
      <c r="B128" s="808"/>
      <c r="C128" s="807"/>
      <c r="D128" s="807"/>
      <c r="E128" s="807"/>
      <c r="F128" s="807"/>
      <c r="G128" s="807"/>
      <c r="H128" s="807"/>
      <c r="I128" s="807"/>
      <c r="J128" s="807"/>
      <c r="K128" s="807"/>
      <c r="L128" s="807"/>
      <c r="M128" s="807"/>
      <c r="N128" s="822" t="s">
        <v>559</v>
      </c>
      <c r="O128" s="807"/>
      <c r="P128" s="807"/>
      <c r="Q128" s="807"/>
      <c r="R128" s="807"/>
      <c r="S128" s="807"/>
      <c r="T128" s="818"/>
      <c r="U128" s="820"/>
      <c r="V128" s="820"/>
      <c r="W128" s="820"/>
      <c r="X128" s="820"/>
      <c r="Y128" s="814"/>
      <c r="AM128" s="180">
        <v>1</v>
      </c>
    </row>
    <row r="129" spans="2:39" ht="15" customHeight="1">
      <c r="B129" s="2"/>
      <c r="C129" s="609" t="s">
        <v>620</v>
      </c>
      <c r="D129" s="609"/>
      <c r="E129" s="609"/>
      <c r="F129" s="609"/>
      <c r="G129" s="609"/>
      <c r="H129" s="609"/>
      <c r="I129" s="609"/>
      <c r="J129" s="609"/>
      <c r="K129" s="609"/>
      <c r="L129" s="609"/>
      <c r="M129" s="609"/>
      <c r="N129" s="609"/>
      <c r="O129" s="609"/>
      <c r="P129" s="609"/>
      <c r="T129" s="2"/>
      <c r="U129" s="187"/>
      <c r="V129" s="187"/>
      <c r="W129" s="187"/>
      <c r="X129" s="187"/>
      <c r="Y129" s="9"/>
      <c r="AM129" s="180">
        <v>2</v>
      </c>
    </row>
    <row r="130" spans="2:39" ht="15.75" customHeight="1">
      <c r="B130" s="2"/>
      <c r="C130" s="609"/>
      <c r="D130" s="793" t="s">
        <v>522</v>
      </c>
      <c r="E130" s="1340">
        <v>10000</v>
      </c>
      <c r="F130" s="1340"/>
      <c r="G130" s="1340"/>
      <c r="H130" s="609" t="s">
        <v>561</v>
      </c>
      <c r="I130" s="609"/>
      <c r="J130" s="609"/>
      <c r="K130" s="683" t="s">
        <v>268</v>
      </c>
      <c r="L130" s="609"/>
      <c r="M130" s="1336" t="s">
        <v>562</v>
      </c>
      <c r="N130" s="1336"/>
      <c r="O130" s="1336"/>
      <c r="P130" s="609" t="s">
        <v>563</v>
      </c>
      <c r="Q130" s="1303">
        <f>U55</f>
        <v>0</v>
      </c>
      <c r="R130" s="1303"/>
      <c r="S130" s="1" t="s">
        <v>485</v>
      </c>
      <c r="T130" s="8" t="s">
        <v>543</v>
      </c>
      <c r="U130" s="1298">
        <f>+IF(C118=1,0,E130*Q130)</f>
        <v>0</v>
      </c>
      <c r="V130" s="1298"/>
      <c r="W130" s="1298"/>
      <c r="X130" s="1298"/>
      <c r="Y130" s="9" t="s">
        <v>544</v>
      </c>
    </row>
    <row r="131" spans="2:39" ht="15.75" customHeight="1">
      <c r="B131" s="2"/>
      <c r="C131" s="609"/>
      <c r="D131" s="793"/>
      <c r="E131" s="794"/>
      <c r="F131" s="794"/>
      <c r="G131" s="794"/>
      <c r="H131" s="609"/>
      <c r="I131" s="609"/>
      <c r="J131" s="609"/>
      <c r="K131" s="683"/>
      <c r="L131" s="609"/>
      <c r="M131" s="823"/>
      <c r="N131" s="823"/>
      <c r="O131" s="823"/>
      <c r="P131" s="609"/>
      <c r="Q131" s="593"/>
      <c r="R131" s="593"/>
      <c r="T131" s="8"/>
      <c r="U131" s="592"/>
      <c r="V131" s="592"/>
      <c r="W131" s="592"/>
      <c r="X131" s="592"/>
      <c r="Y131" s="9"/>
    </row>
    <row r="132" spans="2:39">
      <c r="B132" s="2"/>
      <c r="C132" s="1100" t="s">
        <v>621</v>
      </c>
      <c r="D132" s="1100"/>
      <c r="E132" s="1100"/>
      <c r="F132" s="1100"/>
      <c r="G132" s="1100"/>
      <c r="H132" s="1100"/>
      <c r="I132" s="1100"/>
      <c r="J132" s="1100"/>
      <c r="K132" s="1100"/>
      <c r="L132" s="1100"/>
      <c r="M132" s="1100"/>
      <c r="N132" s="1100"/>
      <c r="O132" s="1100"/>
      <c r="P132" s="824"/>
      <c r="Q132" s="44"/>
      <c r="R132" s="44"/>
      <c r="S132" s="193"/>
      <c r="T132" s="8"/>
      <c r="U132" s="1298"/>
      <c r="V132" s="1298"/>
      <c r="W132" s="1298"/>
      <c r="X132" s="1298"/>
      <c r="Y132" s="9"/>
    </row>
    <row r="133" spans="2:39" ht="16.5" customHeight="1">
      <c r="B133" s="2"/>
      <c r="C133" s="825"/>
      <c r="D133" s="609" t="s">
        <v>565</v>
      </c>
      <c r="E133" s="609"/>
      <c r="F133" s="825"/>
      <c r="G133" s="825"/>
      <c r="H133" s="825"/>
      <c r="I133" s="825"/>
      <c r="J133" s="825"/>
      <c r="K133" s="825"/>
      <c r="L133" s="825"/>
      <c r="M133" s="825"/>
      <c r="N133" s="825"/>
      <c r="O133" s="825"/>
      <c r="P133" s="824"/>
      <c r="Q133" s="44"/>
      <c r="R133" s="44"/>
      <c r="S133" s="193"/>
      <c r="T133" s="8" t="s">
        <v>543</v>
      </c>
      <c r="U133" s="1298">
        <f>U134+U135</f>
        <v>0</v>
      </c>
      <c r="V133" s="1298"/>
      <c r="W133" s="1298"/>
      <c r="X133" s="1298"/>
      <c r="Y133" s="9" t="s">
        <v>544</v>
      </c>
    </row>
    <row r="134" spans="2:39" ht="25.5" customHeight="1">
      <c r="B134" s="2"/>
      <c r="C134" s="609"/>
      <c r="D134" s="609"/>
      <c r="E134" s="1336"/>
      <c r="F134" s="1336"/>
      <c r="G134" s="793" t="s">
        <v>522</v>
      </c>
      <c r="H134" s="1337">
        <v>120000</v>
      </c>
      <c r="I134" s="1337"/>
      <c r="J134" s="609" t="s">
        <v>566</v>
      </c>
      <c r="K134" s="609"/>
      <c r="L134" s="609"/>
      <c r="M134" s="800" t="s">
        <v>567</v>
      </c>
      <c r="N134" s="1338" t="s">
        <v>622</v>
      </c>
      <c r="O134" s="1339"/>
      <c r="P134" s="1339"/>
      <c r="Q134" s="1255">
        <f>U63</f>
        <v>0</v>
      </c>
      <c r="R134" s="1255"/>
      <c r="S134" s="193" t="s">
        <v>497</v>
      </c>
      <c r="T134" s="192" t="s">
        <v>263</v>
      </c>
      <c r="U134" s="1297">
        <f>H134*Q134</f>
        <v>0</v>
      </c>
      <c r="V134" s="1297"/>
      <c r="W134" s="1297"/>
      <c r="X134" s="1297"/>
      <c r="Y134" s="193" t="s">
        <v>264</v>
      </c>
    </row>
    <row r="135" spans="2:39" ht="25.5" customHeight="1">
      <c r="B135" s="2"/>
      <c r="C135" s="609"/>
      <c r="D135" s="609"/>
      <c r="E135" s="1336"/>
      <c r="F135" s="1336"/>
      <c r="G135" s="793" t="s">
        <v>522</v>
      </c>
      <c r="H135" s="1337">
        <v>30000</v>
      </c>
      <c r="I135" s="1337"/>
      <c r="J135" s="609" t="s">
        <v>561</v>
      </c>
      <c r="K135" s="609"/>
      <c r="L135" s="609"/>
      <c r="M135" s="800" t="s">
        <v>567</v>
      </c>
      <c r="N135" s="1338" t="s">
        <v>623</v>
      </c>
      <c r="O135" s="1339"/>
      <c r="P135" s="1339"/>
      <c r="Q135" s="1255">
        <f>U64</f>
        <v>0</v>
      </c>
      <c r="R135" s="1255"/>
      <c r="S135" s="193" t="s">
        <v>485</v>
      </c>
      <c r="T135" s="192" t="s">
        <v>263</v>
      </c>
      <c r="U135" s="1297">
        <f>H135*Q135</f>
        <v>0</v>
      </c>
      <c r="V135" s="1297"/>
      <c r="W135" s="1297"/>
      <c r="X135" s="1297"/>
      <c r="Y135" s="193" t="s">
        <v>264</v>
      </c>
    </row>
    <row r="136" spans="2:39" ht="12.75" customHeight="1">
      <c r="B136" s="2"/>
      <c r="C136" s="609"/>
      <c r="D136" s="609"/>
      <c r="E136" s="823"/>
      <c r="F136" s="823"/>
      <c r="G136" s="793"/>
      <c r="H136" s="826"/>
      <c r="I136" s="826"/>
      <c r="J136" s="609"/>
      <c r="K136" s="609"/>
      <c r="L136" s="609"/>
      <c r="M136" s="800"/>
      <c r="N136" s="827"/>
      <c r="O136" s="824"/>
      <c r="P136" s="824"/>
      <c r="Q136" s="206"/>
      <c r="R136" s="206"/>
      <c r="S136" s="193"/>
      <c r="T136" s="192"/>
      <c r="U136" s="591"/>
      <c r="V136" s="591"/>
      <c r="W136" s="591"/>
      <c r="X136" s="591"/>
      <c r="Y136" s="193"/>
    </row>
    <row r="137" spans="2:39" ht="15" customHeight="1">
      <c r="B137" s="2"/>
      <c r="C137" s="609"/>
      <c r="D137" s="609" t="s">
        <v>570</v>
      </c>
      <c r="E137" s="609"/>
      <c r="F137" s="825"/>
      <c r="G137" s="825"/>
      <c r="H137" s="825"/>
      <c r="I137" s="825"/>
      <c r="J137" s="825"/>
      <c r="K137" s="825"/>
      <c r="L137" s="825"/>
      <c r="M137" s="825"/>
      <c r="N137" s="825"/>
      <c r="O137" s="825"/>
      <c r="P137" s="824"/>
      <c r="Q137" s="206"/>
      <c r="R137" s="206"/>
      <c r="S137" s="193"/>
      <c r="T137" s="8" t="s">
        <v>543</v>
      </c>
      <c r="U137" s="1298">
        <f>U138+U139</f>
        <v>0</v>
      </c>
      <c r="V137" s="1298"/>
      <c r="W137" s="1298"/>
      <c r="X137" s="1298"/>
      <c r="Y137" s="9" t="s">
        <v>544</v>
      </c>
    </row>
    <row r="138" spans="2:39" ht="27.75" customHeight="1">
      <c r="B138" s="2"/>
      <c r="C138" s="609"/>
      <c r="D138" s="609"/>
      <c r="E138" s="1336"/>
      <c r="F138" s="1336"/>
      <c r="G138" s="793" t="s">
        <v>522</v>
      </c>
      <c r="H138" s="1337">
        <v>20000</v>
      </c>
      <c r="I138" s="1337"/>
      <c r="J138" s="609" t="s">
        <v>566</v>
      </c>
      <c r="K138" s="609"/>
      <c r="L138" s="609"/>
      <c r="M138" s="800" t="s">
        <v>567</v>
      </c>
      <c r="N138" s="1338" t="s">
        <v>624</v>
      </c>
      <c r="O138" s="1339"/>
      <c r="P138" s="1339"/>
      <c r="Q138" s="1255">
        <f>U65</f>
        <v>0</v>
      </c>
      <c r="R138" s="1255"/>
      <c r="S138" s="193" t="s">
        <v>497</v>
      </c>
      <c r="T138" s="192" t="s">
        <v>263</v>
      </c>
      <c r="U138" s="1297">
        <f>H138*Q138</f>
        <v>0</v>
      </c>
      <c r="V138" s="1297"/>
      <c r="W138" s="1297"/>
      <c r="X138" s="1297"/>
      <c r="Y138" s="193" t="s">
        <v>264</v>
      </c>
    </row>
    <row r="139" spans="2:39" ht="27.75" customHeight="1">
      <c r="B139" s="2"/>
      <c r="C139" s="609"/>
      <c r="D139" s="609"/>
      <c r="E139" s="1336"/>
      <c r="F139" s="1336"/>
      <c r="G139" s="793" t="s">
        <v>522</v>
      </c>
      <c r="H139" s="1337">
        <v>5000</v>
      </c>
      <c r="I139" s="1337"/>
      <c r="J139" s="609" t="s">
        <v>561</v>
      </c>
      <c r="K139" s="609"/>
      <c r="L139" s="609"/>
      <c r="M139" s="800" t="s">
        <v>567</v>
      </c>
      <c r="N139" s="1338" t="s">
        <v>625</v>
      </c>
      <c r="O139" s="1339"/>
      <c r="P139" s="1339"/>
      <c r="Q139" s="1255">
        <f>U66</f>
        <v>0</v>
      </c>
      <c r="R139" s="1255"/>
      <c r="S139" s="193" t="s">
        <v>485</v>
      </c>
      <c r="T139" s="192" t="s">
        <v>263</v>
      </c>
      <c r="U139" s="1297">
        <f>H139*Q139</f>
        <v>0</v>
      </c>
      <c r="V139" s="1297"/>
      <c r="W139" s="1297"/>
      <c r="X139" s="1297"/>
      <c r="Y139" s="193" t="s">
        <v>264</v>
      </c>
    </row>
    <row r="140" spans="2:39" ht="13.5" customHeight="1">
      <c r="B140" s="2"/>
      <c r="C140" s="609"/>
      <c r="D140" s="609"/>
      <c r="E140" s="823"/>
      <c r="F140" s="823"/>
      <c r="G140" s="793"/>
      <c r="H140" s="826"/>
      <c r="I140" s="826"/>
      <c r="J140" s="609"/>
      <c r="K140" s="609"/>
      <c r="L140" s="609"/>
      <c r="M140" s="800"/>
      <c r="N140" s="827"/>
      <c r="O140" s="824"/>
      <c r="P140" s="824"/>
      <c r="Q140" s="206"/>
      <c r="R140" s="206"/>
      <c r="S140" s="193"/>
      <c r="T140" s="192"/>
      <c r="U140" s="591"/>
      <c r="V140" s="591"/>
      <c r="W140" s="591"/>
      <c r="X140" s="591"/>
      <c r="Y140" s="193"/>
    </row>
    <row r="141" spans="2:39">
      <c r="B141" s="2"/>
      <c r="C141" s="1100" t="s">
        <v>626</v>
      </c>
      <c r="D141" s="1100"/>
      <c r="E141" s="1100"/>
      <c r="F141" s="1100"/>
      <c r="G141" s="1100"/>
      <c r="H141" s="1100"/>
      <c r="I141" s="1100"/>
      <c r="J141" s="1100"/>
      <c r="K141" s="1100"/>
      <c r="L141" s="1100"/>
      <c r="M141" s="1100"/>
      <c r="N141" s="1100"/>
      <c r="O141" s="1100"/>
      <c r="P141" s="824"/>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J26:M26"/>
    <mergeCell ref="T26:X26"/>
    <mergeCell ref="U27:X27"/>
    <mergeCell ref="U28:X28"/>
    <mergeCell ref="J31:M31"/>
    <mergeCell ref="T31:X31"/>
    <mergeCell ref="M17:O17"/>
    <mergeCell ref="Q17:S17"/>
    <mergeCell ref="V17:X17"/>
    <mergeCell ref="J25:M25"/>
    <mergeCell ref="T25:X25"/>
    <mergeCell ref="D19:Y19"/>
    <mergeCell ref="D20:Y20"/>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V57:W58"/>
    <mergeCell ref="X57:Y58"/>
    <mergeCell ref="B59:B60"/>
    <mergeCell ref="C59:U60"/>
    <mergeCell ref="V59:W60"/>
    <mergeCell ref="X59:Y60"/>
    <mergeCell ref="B48:D48"/>
    <mergeCell ref="F48:H48"/>
    <mergeCell ref="K48:M48"/>
    <mergeCell ref="Q55:S55"/>
    <mergeCell ref="U55:X55"/>
    <mergeCell ref="D50:Y50"/>
    <mergeCell ref="D51:Y51"/>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A70:M71"/>
    <mergeCell ref="N70:O71"/>
    <mergeCell ref="P70:S70"/>
    <mergeCell ref="U70:X70"/>
    <mergeCell ref="P71:S71"/>
    <mergeCell ref="U71:X71"/>
    <mergeCell ref="A68:M69"/>
    <mergeCell ref="N68:O69"/>
    <mergeCell ref="P68:S68"/>
    <mergeCell ref="U68:X68"/>
    <mergeCell ref="P69:S69"/>
    <mergeCell ref="U69:X69"/>
    <mergeCell ref="H75:Y75"/>
    <mergeCell ref="I76:J76"/>
    <mergeCell ref="U76:X76"/>
    <mergeCell ref="U77:X77"/>
    <mergeCell ref="B78:S78"/>
    <mergeCell ref="B79:C79"/>
    <mergeCell ref="E79:G79"/>
    <mergeCell ref="M79:P79"/>
    <mergeCell ref="Q79:R79"/>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B87:C87"/>
    <mergeCell ref="E87:G87"/>
    <mergeCell ref="M87:P87"/>
    <mergeCell ref="Q87:R87"/>
    <mergeCell ref="B90:S90"/>
    <mergeCell ref="B91:C91"/>
    <mergeCell ref="E91:G91"/>
    <mergeCell ref="M91:P91"/>
    <mergeCell ref="Q91:R9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AA114:AE114"/>
    <mergeCell ref="E115:G115"/>
    <mergeCell ref="M115:N115"/>
    <mergeCell ref="Q115:R115"/>
    <mergeCell ref="AA115:AE115"/>
    <mergeCell ref="E120:H120"/>
    <mergeCell ref="K120:P120"/>
    <mergeCell ref="Q120:R120"/>
    <mergeCell ref="U120:X120"/>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8:F138"/>
    <mergeCell ref="H138:I138"/>
    <mergeCell ref="N138:P138"/>
    <mergeCell ref="Q138:R138"/>
    <mergeCell ref="U138:X138"/>
    <mergeCell ref="E139:F139"/>
    <mergeCell ref="H139:I139"/>
    <mergeCell ref="N139:P139"/>
    <mergeCell ref="Q139:R139"/>
    <mergeCell ref="U139:X139"/>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B159:S159"/>
    <mergeCell ref="B160:N160"/>
    <mergeCell ref="P160:Q160"/>
    <mergeCell ref="U155:X155"/>
    <mergeCell ref="H156:S156"/>
    <mergeCell ref="T156:Y157"/>
    <mergeCell ref="B157:G158"/>
    <mergeCell ref="H157:J157"/>
    <mergeCell ref="H158:M158"/>
    <mergeCell ref="N158:R158"/>
    <mergeCell ref="U158:X158"/>
  </mergeCells>
  <phoneticPr fontId="4"/>
  <conditionalFormatting sqref="B48">
    <cfRule type="containsBlanks" dxfId="82" priority="3">
      <formula>LEN(TRIM(B48))=0</formula>
    </cfRule>
  </conditionalFormatting>
  <conditionalFormatting sqref="C112">
    <cfRule type="containsBlanks" dxfId="81" priority="13">
      <formula>LEN(TRIM(C112))=0</formula>
    </cfRule>
  </conditionalFormatting>
  <conditionalFormatting sqref="C114">
    <cfRule type="containsBlanks" dxfId="80" priority="12">
      <formula>LEN(TRIM(C114))=0</formula>
    </cfRule>
  </conditionalFormatting>
  <conditionalFormatting sqref="C118">
    <cfRule type="containsBlanks" dxfId="79" priority="11">
      <formula>LEN(TRIM(C118))=0</formula>
    </cfRule>
  </conditionalFormatting>
  <conditionalFormatting sqref="C121">
    <cfRule type="containsBlanks" dxfId="78" priority="10">
      <formula>LEN(TRIM(C121))=0</formula>
    </cfRule>
  </conditionalFormatting>
  <conditionalFormatting sqref="F48">
    <cfRule type="containsBlanks" dxfId="77" priority="2">
      <formula>LEN(TRIM(F48))=0</formula>
    </cfRule>
  </conditionalFormatting>
  <conditionalFormatting sqref="I7">
    <cfRule type="containsBlanks" dxfId="76" priority="16" stopIfTrue="1">
      <formula>LEN(TRIM(I7))=0</formula>
    </cfRule>
  </conditionalFormatting>
  <conditionalFormatting sqref="J39:M40">
    <cfRule type="containsBlanks" dxfId="75" priority="6">
      <formula>LEN(TRIM(J39))=0</formula>
    </cfRule>
  </conditionalFormatting>
  <conditionalFormatting sqref="K76 N76">
    <cfRule type="containsBlanks" dxfId="74" priority="14" stopIfTrue="1">
      <formula>LEN(TRIM(K76))=0</formula>
    </cfRule>
  </conditionalFormatting>
  <conditionalFormatting sqref="N158:R158">
    <cfRule type="containsBlanks" dxfId="73" priority="8">
      <formula>LEN(TRIM(N158))=0</formula>
    </cfRule>
  </conditionalFormatting>
  <conditionalFormatting sqref="N6:Y6">
    <cfRule type="containsBlanks" dxfId="72" priority="17" stopIfTrue="1">
      <formula>LEN(TRIM(N6))=0</formula>
    </cfRule>
  </conditionalFormatting>
  <conditionalFormatting sqref="O127:P127">
    <cfRule type="containsBlanks" dxfId="71" priority="9">
      <formula>LEN(TRIM(O127))=0</formula>
    </cfRule>
  </conditionalFormatting>
  <conditionalFormatting sqref="P160:Q160">
    <cfRule type="containsBlanks" dxfId="70" priority="1">
      <formula>LEN(TRIM(P160))=0</formula>
    </cfRule>
  </conditionalFormatting>
  <conditionalFormatting sqref="U39:X40">
    <cfRule type="containsBlanks" dxfId="69" priority="4">
      <formula>LEN(TRIM(U39))=0</formula>
    </cfRule>
  </conditionalFormatting>
  <conditionalFormatting sqref="V59:Y62">
    <cfRule type="containsBlanks" dxfId="68" priority="15" stopIfTrue="1">
      <formula>LEN(TRIM(V59))=0</formula>
    </cfRule>
  </conditionalFormatting>
  <dataValidations count="6">
    <dataValidation type="list" allowBlank="1" showInputMessage="1" showErrorMessage="1" sqref="P160:Q160" xr:uid="{61420B4A-248C-4A9F-BD80-1F971905C22B}">
      <formula1>"○,×"</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9F0D9D79-983D-4C41-80A8-C7648095CACA}">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637451FE-272A-4E9F-9BDA-09CF6C931B61}">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9342A8F3-BFF2-4688-8860-6F4D02070501}">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A4E7279F-3008-4537-9E7B-C0923F37F1EF}">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5E0F2B21-69E5-4EA9-A365-49FEC34729AD}">
      <formula1>$AA$1</formula1>
    </dataValidation>
  </dataValidations>
  <printOptions horizontalCentered="1"/>
  <pageMargins left="0.25" right="0.25" top="0.75" bottom="0.75" header="0.3" footer="0.3"/>
  <pageSetup paperSize="9" fitToWidth="0" fitToHeight="0" orientation="portrait" blackAndWhite="1" errors="blank" r:id="rId1"/>
  <headerFooter alignWithMargins="0"/>
  <rowBreaks count="3" manualBreakCount="3">
    <brk id="36" max="24" man="1"/>
    <brk id="71" max="24" man="1"/>
    <brk id="122" max="2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B88"/>
  <sheetViews>
    <sheetView view="pageBreakPreview" zoomScaleNormal="100" zoomScaleSheetLayoutView="100" workbookViewId="0">
      <selection activeCell="B9" sqref="B9:M10"/>
    </sheetView>
  </sheetViews>
  <sheetFormatPr defaultColWidth="3.625" defaultRowHeight="13.15"/>
  <cols>
    <col min="1" max="1" width="3.625" style="1" customWidth="1"/>
    <col min="2" max="2" width="2" style="1" customWidth="1"/>
    <col min="3" max="3" width="6.125" style="1" customWidth="1"/>
    <col min="4" max="8" width="3.625" style="1" customWidth="1"/>
    <col min="9" max="9" width="4.375" style="1" customWidth="1"/>
    <col min="10" max="10" width="1.75" style="1" customWidth="1"/>
    <col min="11" max="11" width="3.625" style="1" customWidth="1"/>
    <col min="12" max="12" width="1.5" style="1" customWidth="1"/>
    <col min="13" max="13" width="11.5" style="1" customWidth="1"/>
    <col min="14" max="14" width="2.75" style="1" customWidth="1"/>
    <col min="15" max="15" width="8.25" style="1" customWidth="1"/>
    <col min="16" max="16" width="3.625" style="1" customWidth="1"/>
    <col min="17" max="17" width="2.125" style="1" customWidth="1"/>
    <col min="18" max="18" width="4.25" style="1" customWidth="1"/>
    <col min="19" max="19" width="5.125" style="1" customWidth="1"/>
    <col min="20" max="20" width="2.625" style="1" customWidth="1"/>
    <col min="21" max="21" width="3.125" style="1" customWidth="1"/>
    <col min="22" max="22" width="2.875" style="1" customWidth="1"/>
    <col min="23" max="23" width="6" style="1" customWidth="1"/>
    <col min="24" max="25" width="4.5" style="1" customWidth="1"/>
    <col min="26" max="16384" width="3.625" style="1"/>
  </cols>
  <sheetData>
    <row r="1" spans="1:28" ht="16.5" customHeight="1">
      <c r="A1" s="1" t="s">
        <v>627</v>
      </c>
      <c r="B1" s="305"/>
    </row>
    <row r="2" spans="1:28" ht="16.5" customHeight="1"/>
    <row r="3" spans="1:28" ht="18.75" customHeight="1">
      <c r="A3" s="952" t="s">
        <v>628</v>
      </c>
      <c r="B3" s="952"/>
      <c r="C3" s="952"/>
      <c r="D3" s="952"/>
      <c r="E3" s="952"/>
      <c r="F3" s="952"/>
      <c r="G3" s="952"/>
      <c r="H3" s="952"/>
      <c r="I3" s="952"/>
      <c r="J3" s="952"/>
      <c r="K3" s="952"/>
      <c r="L3" s="952"/>
      <c r="M3" s="952"/>
      <c r="N3" s="952"/>
      <c r="O3" s="952"/>
      <c r="P3" s="952"/>
      <c r="Q3" s="952"/>
      <c r="R3" s="952"/>
      <c r="S3" s="952"/>
      <c r="T3" s="952"/>
      <c r="U3" s="952"/>
      <c r="V3" s="952"/>
      <c r="W3" s="952"/>
      <c r="X3" s="952"/>
      <c r="Y3" s="168"/>
    </row>
    <row r="4" spans="1:28" ht="15.95" customHeight="1"/>
    <row r="5" spans="1:28" ht="15.95" customHeight="1">
      <c r="N5" s="18" t="s">
        <v>629</v>
      </c>
    </row>
    <row r="6" spans="1:28" ht="15.95" customHeight="1">
      <c r="N6" s="948"/>
      <c r="O6" s="948"/>
      <c r="P6" s="948"/>
      <c r="Q6" s="948"/>
      <c r="R6" s="948"/>
      <c r="S6" s="948"/>
      <c r="T6" s="948"/>
      <c r="U6" s="948"/>
      <c r="V6" s="948"/>
      <c r="W6" s="948"/>
      <c r="X6" s="948"/>
      <c r="Y6" s="35"/>
    </row>
    <row r="7" spans="1:28" ht="15.95" customHeight="1">
      <c r="A7" s="1" t="s">
        <v>630</v>
      </c>
    </row>
    <row r="8" spans="1:28" ht="15.95" customHeight="1">
      <c r="A8" s="1" t="s">
        <v>631</v>
      </c>
    </row>
    <row r="9" spans="1:28" ht="15.95" customHeight="1">
      <c r="B9" s="1200" t="s">
        <v>443</v>
      </c>
      <c r="C9" s="1200"/>
      <c r="D9" s="1200"/>
      <c r="E9" s="1200"/>
      <c r="F9" s="1200"/>
      <c r="G9" s="1200"/>
      <c r="H9" s="1200"/>
      <c r="I9" s="1200"/>
      <c r="J9" s="1200"/>
      <c r="K9" s="1200"/>
      <c r="L9" s="1200"/>
      <c r="M9" s="1200"/>
      <c r="N9" s="1158" t="s">
        <v>632</v>
      </c>
      <c r="O9" s="1159"/>
      <c r="P9" s="1159"/>
      <c r="Q9" s="1159"/>
      <c r="R9" s="1159"/>
      <c r="S9" s="1159"/>
      <c r="T9" s="1159"/>
      <c r="U9" s="1159"/>
      <c r="V9" s="1159"/>
      <c r="W9" s="1159"/>
      <c r="X9" s="1160"/>
    </row>
    <row r="10" spans="1:28" ht="15.95" customHeight="1">
      <c r="B10" s="1200"/>
      <c r="C10" s="1200"/>
      <c r="D10" s="1200"/>
      <c r="E10" s="1200"/>
      <c r="F10" s="1200"/>
      <c r="G10" s="1200"/>
      <c r="H10" s="1200"/>
      <c r="I10" s="1200"/>
      <c r="J10" s="1200"/>
      <c r="K10" s="1200"/>
      <c r="L10" s="1200"/>
      <c r="M10" s="1200"/>
      <c r="N10" s="1161"/>
      <c r="O10" s="1162"/>
      <c r="P10" s="1162"/>
      <c r="Q10" s="1162"/>
      <c r="R10" s="1162"/>
      <c r="S10" s="1162"/>
      <c r="T10" s="1162"/>
      <c r="U10" s="1162"/>
      <c r="V10" s="1162"/>
      <c r="W10" s="1162"/>
      <c r="X10" s="1163"/>
    </row>
    <row r="11" spans="1:28" ht="15.95" customHeight="1">
      <c r="B11" s="1374" t="s">
        <v>633</v>
      </c>
      <c r="C11" s="1375"/>
      <c r="D11" s="1375"/>
      <c r="E11" s="1375"/>
      <c r="F11" s="1375"/>
      <c r="G11" s="1375"/>
      <c r="H11" s="1375"/>
      <c r="I11" s="1375"/>
      <c r="J11" s="1375"/>
      <c r="K11" s="1375"/>
      <c r="L11" s="1375"/>
      <c r="M11" s="1376"/>
      <c r="N11" s="122" t="s">
        <v>450</v>
      </c>
      <c r="O11" s="1175"/>
      <c r="P11" s="1175"/>
      <c r="Q11" s="1175"/>
      <c r="R11" s="1175"/>
      <c r="S11" s="1175"/>
      <c r="T11" s="1175"/>
      <c r="U11" s="1175"/>
      <c r="V11" s="1175"/>
      <c r="W11" s="1175"/>
      <c r="X11" s="63" t="s">
        <v>449</v>
      </c>
      <c r="Y11" s="155"/>
    </row>
    <row r="12" spans="1:28" ht="15.95" customHeight="1">
      <c r="B12" s="64"/>
      <c r="C12" s="65"/>
      <c r="D12" s="65"/>
      <c r="E12" s="65" t="s">
        <v>634</v>
      </c>
      <c r="F12" s="65"/>
      <c r="G12" s="65"/>
      <c r="H12" s="65"/>
      <c r="I12" s="65"/>
      <c r="J12" s="65"/>
      <c r="K12" s="65"/>
      <c r="L12" s="65"/>
      <c r="M12" s="66"/>
      <c r="N12" s="122" t="s">
        <v>635</v>
      </c>
      <c r="O12" s="1175"/>
      <c r="P12" s="1175"/>
      <c r="Q12" s="1175"/>
      <c r="R12" s="1175"/>
      <c r="S12" s="1175"/>
      <c r="T12" s="1175"/>
      <c r="U12" s="1175"/>
      <c r="V12" s="1175"/>
      <c r="W12" s="1175"/>
      <c r="X12" s="63" t="s">
        <v>449</v>
      </c>
      <c r="Y12" s="155"/>
    </row>
    <row r="13" spans="1:28" ht="15.95" customHeight="1">
      <c r="B13" s="1374" t="s">
        <v>452</v>
      </c>
      <c r="C13" s="1375"/>
      <c r="D13" s="1375"/>
      <c r="E13" s="1375"/>
      <c r="F13" s="1375"/>
      <c r="G13" s="1375"/>
      <c r="H13" s="1375"/>
      <c r="I13" s="1375"/>
      <c r="J13" s="1375"/>
      <c r="K13" s="1375"/>
      <c r="L13" s="1375"/>
      <c r="M13" s="1376"/>
      <c r="N13" s="122" t="s">
        <v>462</v>
      </c>
      <c r="O13" s="1175"/>
      <c r="P13" s="1175"/>
      <c r="Q13" s="1175"/>
      <c r="R13" s="1175"/>
      <c r="S13" s="1175"/>
      <c r="T13" s="1175"/>
      <c r="U13" s="1175"/>
      <c r="V13" s="1175"/>
      <c r="W13" s="1175"/>
      <c r="X13" s="63" t="s">
        <v>449</v>
      </c>
      <c r="Y13" s="34"/>
    </row>
    <row r="14" spans="1:28" ht="15.95" customHeight="1">
      <c r="B14" s="1374" t="s">
        <v>453</v>
      </c>
      <c r="C14" s="1375"/>
      <c r="D14" s="1375"/>
      <c r="E14" s="1375"/>
      <c r="F14" s="1375"/>
      <c r="G14" s="1375"/>
      <c r="H14" s="1375"/>
      <c r="I14" s="1375"/>
      <c r="J14" s="1375"/>
      <c r="K14" s="1375"/>
      <c r="L14" s="1375"/>
      <c r="M14" s="1376"/>
      <c r="N14" s="64" t="s">
        <v>636</v>
      </c>
      <c r="O14" s="67"/>
      <c r="P14" s="1175">
        <f>O11+O12+O13</f>
        <v>0</v>
      </c>
      <c r="Q14" s="1175"/>
      <c r="R14" s="1175"/>
      <c r="S14" s="1175"/>
      <c r="T14" s="1175"/>
      <c r="U14" s="1175"/>
      <c r="V14" s="1175"/>
      <c r="W14" s="1175"/>
      <c r="X14" s="63" t="s">
        <v>449</v>
      </c>
      <c r="Y14" s="68"/>
      <c r="AB14" s="1" t="s">
        <v>637</v>
      </c>
    </row>
    <row r="15" spans="1:28" ht="15.95" customHeight="1">
      <c r="B15" s="18" t="s">
        <v>638</v>
      </c>
    </row>
    <row r="16" spans="1:28" ht="13.5" customHeight="1">
      <c r="A16" s="101"/>
      <c r="C16" s="101"/>
      <c r="D16" s="101"/>
      <c r="E16" s="101"/>
      <c r="F16" s="101"/>
      <c r="G16" s="101"/>
      <c r="H16" s="101"/>
      <c r="I16" s="101"/>
      <c r="J16" s="101"/>
      <c r="K16" s="101"/>
      <c r="L16" s="101"/>
      <c r="M16" s="101"/>
    </row>
    <row r="17" spans="1:25" ht="15.95" customHeight="1">
      <c r="A17" s="1" t="s">
        <v>639</v>
      </c>
      <c r="Y17" s="44"/>
    </row>
    <row r="18" spans="1:25" ht="15.95" customHeight="1">
      <c r="B18" s="1" t="s">
        <v>640</v>
      </c>
      <c r="Y18" s="69"/>
    </row>
    <row r="19" spans="1:25" ht="15.95" customHeight="1">
      <c r="B19" s="166" t="s">
        <v>641</v>
      </c>
      <c r="C19" s="167"/>
      <c r="D19" s="167"/>
      <c r="E19" s="167"/>
      <c r="F19" s="66"/>
      <c r="G19" s="70" t="s">
        <v>464</v>
      </c>
      <c r="H19" s="1352">
        <f>P14</f>
        <v>0</v>
      </c>
      <c r="I19" s="1352"/>
      <c r="J19" s="1352"/>
      <c r="K19" s="71" t="s">
        <v>449</v>
      </c>
      <c r="M19" s="72" t="s">
        <v>642</v>
      </c>
      <c r="N19" s="73"/>
      <c r="O19" s="28"/>
      <c r="P19" s="122" t="s">
        <v>466</v>
      </c>
      <c r="Q19" s="157"/>
      <c r="R19" s="1165">
        <f>ROUND(H19/12,0)</f>
        <v>0</v>
      </c>
      <c r="S19" s="1165"/>
      <c r="T19" s="1165"/>
      <c r="U19" s="71" t="s">
        <v>449</v>
      </c>
      <c r="W19" s="34"/>
      <c r="Y19" s="69"/>
    </row>
    <row r="20" spans="1:25" ht="15.95" customHeight="1">
      <c r="B20" s="1362" t="s">
        <v>643</v>
      </c>
      <c r="C20" s="1362"/>
      <c r="D20" s="1362"/>
      <c r="E20" s="1362"/>
      <c r="F20" s="1362"/>
      <c r="G20" s="1362"/>
      <c r="H20" s="1362"/>
      <c r="I20" s="1362"/>
      <c r="J20" s="1362"/>
      <c r="K20" s="1362"/>
      <c r="L20" s="1362"/>
      <c r="M20" s="1362"/>
      <c r="N20" s="1362"/>
      <c r="O20" s="1362"/>
      <c r="P20" s="1362"/>
      <c r="Q20" s="1362"/>
      <c r="R20" s="1362"/>
      <c r="S20" s="1362"/>
      <c r="T20" s="1362"/>
      <c r="U20" s="1362"/>
      <c r="V20" s="1362"/>
      <c r="W20" s="1362"/>
      <c r="X20" s="1362"/>
      <c r="Y20" s="69"/>
    </row>
    <row r="21" spans="1:25" ht="13.5" customHeight="1">
      <c r="Y21" s="69"/>
    </row>
    <row r="22" spans="1:25" ht="15.95" customHeight="1">
      <c r="A22" s="1" t="s">
        <v>644</v>
      </c>
      <c r="P22" s="1363" t="s">
        <v>645</v>
      </c>
      <c r="Q22" s="1364"/>
      <c r="R22" s="1364"/>
      <c r="S22" s="1365"/>
      <c r="T22" s="1369" t="s">
        <v>468</v>
      </c>
      <c r="U22" s="1187"/>
      <c r="V22" s="1481"/>
      <c r="W22" s="1481"/>
      <c r="X22" s="1371" t="s">
        <v>451</v>
      </c>
      <c r="Y22" s="69"/>
    </row>
    <row r="23" spans="1:25" ht="15.95" customHeight="1">
      <c r="P23" s="1366"/>
      <c r="Q23" s="1367"/>
      <c r="R23" s="1367"/>
      <c r="S23" s="1368"/>
      <c r="T23" s="1370"/>
      <c r="U23" s="1482"/>
      <c r="V23" s="1482"/>
      <c r="W23" s="1482"/>
      <c r="X23" s="1372"/>
      <c r="Y23" s="69"/>
    </row>
    <row r="24" spans="1:25" ht="13.5" customHeight="1">
      <c r="P24" s="74"/>
      <c r="Q24" s="74"/>
      <c r="R24" s="74"/>
      <c r="S24" s="74"/>
      <c r="T24" s="35"/>
      <c r="U24" s="35"/>
      <c r="V24" s="35"/>
      <c r="W24" s="35"/>
      <c r="X24" s="35"/>
      <c r="Y24" s="69"/>
    </row>
    <row r="25" spans="1:25" ht="15.95" customHeight="1">
      <c r="A25" s="1" t="s">
        <v>646</v>
      </c>
      <c r="N25" s="1377" t="s">
        <v>647</v>
      </c>
      <c r="O25" s="1378"/>
      <c r="P25" s="1378"/>
      <c r="Q25" s="1378"/>
      <c r="R25" s="1378"/>
      <c r="S25" s="1378"/>
      <c r="T25" s="1378"/>
      <c r="U25" s="1174"/>
      <c r="V25" s="1175"/>
      <c r="W25" s="1175"/>
      <c r="X25" s="39" t="s">
        <v>449</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5" customHeight="1">
      <c r="A28" s="1" t="s">
        <v>648</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5" customHeight="1">
      <c r="B31" s="2"/>
      <c r="C31" s="1" t="s">
        <v>649</v>
      </c>
      <c r="S31" s="9"/>
      <c r="T31" s="2"/>
      <c r="X31" s="9"/>
    </row>
    <row r="32" spans="1:25" ht="8.25" customHeight="1">
      <c r="B32" s="2"/>
      <c r="S32" s="9"/>
      <c r="T32" s="2"/>
      <c r="X32" s="9"/>
    </row>
    <row r="33" spans="1:24" s="78" customFormat="1" ht="15.95" customHeight="1">
      <c r="A33" s="1"/>
      <c r="B33" s="2"/>
      <c r="C33" s="1" t="s">
        <v>650</v>
      </c>
      <c r="D33" s="1"/>
      <c r="E33" s="1"/>
      <c r="F33" s="1"/>
      <c r="G33" s="1"/>
      <c r="H33" s="1"/>
      <c r="I33" s="1"/>
      <c r="J33" s="1"/>
      <c r="K33" s="1"/>
      <c r="L33" s="1"/>
      <c r="M33" s="1"/>
      <c r="N33" s="1"/>
      <c r="O33" s="1"/>
      <c r="P33" s="1"/>
      <c r="Q33" s="1"/>
      <c r="R33" s="1"/>
      <c r="S33" s="9"/>
      <c r="T33" s="2"/>
      <c r="U33" s="1"/>
      <c r="V33" s="1"/>
      <c r="W33" s="1"/>
      <c r="X33" s="9"/>
    </row>
    <row r="34" spans="1:24" s="78" customFormat="1" ht="15.95" customHeight="1">
      <c r="A34" s="1"/>
      <c r="B34" s="2"/>
      <c r="C34" s="1"/>
      <c r="D34" s="1" t="s">
        <v>651</v>
      </c>
      <c r="E34" s="1" t="s">
        <v>652</v>
      </c>
      <c r="F34" s="1"/>
      <c r="G34" s="1"/>
      <c r="H34" s="1"/>
      <c r="I34" s="1"/>
      <c r="J34" s="1"/>
      <c r="K34" s="1"/>
      <c r="L34" s="1"/>
      <c r="M34" s="1"/>
      <c r="N34" s="1"/>
      <c r="O34" s="1"/>
      <c r="P34" s="1"/>
      <c r="Q34" s="1"/>
      <c r="R34" s="1"/>
      <c r="S34" s="9"/>
      <c r="T34" s="2"/>
      <c r="U34" s="1"/>
      <c r="V34" s="1"/>
      <c r="W34" s="1"/>
      <c r="X34" s="9"/>
    </row>
    <row r="35" spans="1:24" s="78" customFormat="1" ht="15.95" customHeight="1">
      <c r="A35" s="1"/>
      <c r="B35" s="2"/>
      <c r="C35" s="1"/>
      <c r="D35" s="34" t="s">
        <v>522</v>
      </c>
      <c r="E35" s="1355">
        <v>58000</v>
      </c>
      <c r="F35" s="1355"/>
      <c r="G35" s="1355"/>
      <c r="H35" s="1" t="s">
        <v>523</v>
      </c>
      <c r="I35" s="1"/>
      <c r="J35" s="1"/>
      <c r="K35" s="35" t="s">
        <v>268</v>
      </c>
      <c r="L35" s="1"/>
      <c r="M35" s="1468" t="s">
        <v>653</v>
      </c>
      <c r="N35" s="1468"/>
      <c r="O35" s="1468"/>
      <c r="P35" s="1360">
        <f>O11</f>
        <v>0</v>
      </c>
      <c r="Q35" s="1360"/>
      <c r="R35" s="1360"/>
      <c r="S35" s="9" t="s">
        <v>451</v>
      </c>
      <c r="T35" s="8" t="s">
        <v>543</v>
      </c>
      <c r="U35" s="1361">
        <f>E35*P35</f>
        <v>0</v>
      </c>
      <c r="V35" s="1361"/>
      <c r="W35" s="1361"/>
      <c r="X35" s="9" t="s">
        <v>544</v>
      </c>
    </row>
    <row r="36" spans="1:24" s="78" customFormat="1" ht="15.75" customHeight="1">
      <c r="A36" s="1"/>
      <c r="B36" s="2"/>
      <c r="C36" s="1"/>
      <c r="D36" s="155" t="s">
        <v>654</v>
      </c>
      <c r="E36" s="165"/>
      <c r="F36" s="165"/>
      <c r="G36" s="165"/>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522</v>
      </c>
      <c r="E37" s="1355">
        <v>58000</v>
      </c>
      <c r="F37" s="1355"/>
      <c r="G37" s="1355"/>
      <c r="H37" s="1" t="s">
        <v>523</v>
      </c>
      <c r="I37" s="1"/>
      <c r="J37" s="1"/>
      <c r="K37" s="35" t="s">
        <v>268</v>
      </c>
      <c r="L37" s="1"/>
      <c r="M37" s="1468" t="s">
        <v>655</v>
      </c>
      <c r="N37" s="1468"/>
      <c r="O37" s="1468"/>
      <c r="P37" s="1360">
        <f>O12</f>
        <v>0</v>
      </c>
      <c r="Q37" s="1360"/>
      <c r="R37" s="1360"/>
      <c r="S37" s="9" t="s">
        <v>451</v>
      </c>
      <c r="T37" s="8" t="s">
        <v>543</v>
      </c>
      <c r="U37" s="1361">
        <f>E37*P37</f>
        <v>0</v>
      </c>
      <c r="V37" s="1361"/>
      <c r="W37" s="1361"/>
      <c r="X37" s="9" t="s">
        <v>544</v>
      </c>
    </row>
    <row r="38" spans="1:24" ht="15.75" customHeight="1">
      <c r="B38" s="2"/>
      <c r="D38" s="34"/>
      <c r="E38" s="170"/>
      <c r="F38" s="170"/>
      <c r="G38" s="170"/>
      <c r="K38" s="35"/>
      <c r="M38" s="36"/>
      <c r="N38" s="36"/>
      <c r="O38" s="36"/>
      <c r="P38" s="80"/>
      <c r="Q38" s="80"/>
      <c r="R38" s="80"/>
      <c r="S38" s="9"/>
      <c r="T38" s="8"/>
      <c r="U38" s="164"/>
      <c r="V38" s="164"/>
      <c r="W38" s="164"/>
      <c r="X38" s="9"/>
    </row>
    <row r="39" spans="1:24" ht="15.95" customHeight="1">
      <c r="B39" s="2"/>
      <c r="C39" s="1" t="s">
        <v>656</v>
      </c>
      <c r="L39" s="1260"/>
      <c r="M39" s="1260"/>
      <c r="N39" s="1260"/>
      <c r="O39" s="1260"/>
      <c r="P39" s="34"/>
      <c r="Q39" s="34"/>
      <c r="R39" s="34"/>
      <c r="S39" s="9"/>
      <c r="T39" s="2"/>
      <c r="X39" s="9"/>
    </row>
    <row r="40" spans="1:24" ht="8.25" customHeight="1">
      <c r="B40" s="2"/>
      <c r="L40" s="35"/>
      <c r="M40" s="35"/>
      <c r="N40" s="35"/>
      <c r="O40" s="35"/>
      <c r="P40" s="34"/>
      <c r="Q40" s="34"/>
      <c r="R40" s="34"/>
      <c r="S40" s="9"/>
      <c r="T40" s="2"/>
      <c r="X40" s="9"/>
    </row>
    <row r="41" spans="1:24" ht="15.95" customHeight="1">
      <c r="B41" s="2"/>
      <c r="D41" s="1" t="s">
        <v>489</v>
      </c>
      <c r="E41" s="1263" t="s">
        <v>657</v>
      </c>
      <c r="F41" s="1263"/>
      <c r="G41" s="1263"/>
      <c r="H41" s="1263"/>
      <c r="M41" s="949" t="s">
        <v>658</v>
      </c>
      <c r="N41" s="949"/>
      <c r="O41" s="949"/>
      <c r="P41" s="1356">
        <f>R19</f>
        <v>0</v>
      </c>
      <c r="Q41" s="1356"/>
      <c r="R41" s="1356"/>
      <c r="S41" s="9" t="s">
        <v>451</v>
      </c>
      <c r="T41" s="8" t="s">
        <v>543</v>
      </c>
      <c r="U41" s="1357"/>
      <c r="V41" s="1357"/>
      <c r="W41" s="1357"/>
      <c r="X41" s="9" t="s">
        <v>544</v>
      </c>
    </row>
    <row r="42" spans="1:24" ht="8.25" customHeight="1">
      <c r="B42" s="2"/>
      <c r="E42" s="36"/>
      <c r="F42" s="36"/>
      <c r="G42" s="36"/>
      <c r="H42" s="36"/>
      <c r="M42" s="155"/>
      <c r="N42" s="155"/>
      <c r="O42" s="155"/>
      <c r="P42" s="80"/>
      <c r="Q42" s="80"/>
      <c r="R42" s="80"/>
      <c r="S42" s="9"/>
      <c r="T42" s="8"/>
      <c r="U42" s="164"/>
      <c r="V42" s="164"/>
      <c r="W42" s="164"/>
      <c r="X42" s="9"/>
    </row>
    <row r="43" spans="1:24" ht="15.95" customHeight="1">
      <c r="B43" s="2"/>
      <c r="D43" s="1" t="s">
        <v>491</v>
      </c>
      <c r="E43" s="1359" t="s">
        <v>659</v>
      </c>
      <c r="F43" s="1359"/>
      <c r="G43" s="1359"/>
      <c r="H43" s="1359"/>
      <c r="P43" s="34"/>
      <c r="Q43" s="34"/>
      <c r="R43" s="34"/>
      <c r="S43" s="9"/>
      <c r="T43" s="2"/>
      <c r="X43" s="9"/>
    </row>
    <row r="44" spans="1:24" ht="15.95" customHeight="1">
      <c r="B44" s="2"/>
      <c r="D44" s="34" t="s">
        <v>522</v>
      </c>
      <c r="E44" s="1355"/>
      <c r="F44" s="1355"/>
      <c r="G44" s="1355"/>
      <c r="H44" s="1" t="s">
        <v>523</v>
      </c>
      <c r="K44" s="35" t="s">
        <v>268</v>
      </c>
      <c r="M44" s="1468" t="s">
        <v>660</v>
      </c>
      <c r="N44" s="1468"/>
      <c r="O44" s="1468"/>
      <c r="P44" s="1356">
        <f>H19</f>
        <v>0</v>
      </c>
      <c r="Q44" s="1356"/>
      <c r="R44" s="1356"/>
      <c r="S44" s="9" t="s">
        <v>451</v>
      </c>
      <c r="T44" s="8" t="s">
        <v>543</v>
      </c>
      <c r="U44" s="1357">
        <f>E44*P44</f>
        <v>0</v>
      </c>
      <c r="V44" s="1357"/>
      <c r="W44" s="1357"/>
      <c r="X44" s="9" t="s">
        <v>544</v>
      </c>
    </row>
    <row r="45" spans="1:24" ht="12" customHeight="1">
      <c r="B45" s="2"/>
      <c r="D45" s="34"/>
      <c r="E45" s="1373" t="s">
        <v>661</v>
      </c>
      <c r="F45" s="1373"/>
      <c r="G45" s="1373"/>
      <c r="H45" s="1373"/>
      <c r="I45" s="1373"/>
      <c r="J45" s="1373"/>
      <c r="K45" s="1373"/>
      <c r="L45" s="1373"/>
      <c r="M45" s="1373"/>
      <c r="N45" s="1373"/>
      <c r="O45" s="1373"/>
      <c r="P45" s="164"/>
      <c r="Q45" s="164"/>
      <c r="R45" s="164"/>
      <c r="S45" s="9"/>
      <c r="T45" s="8"/>
      <c r="U45" s="164"/>
      <c r="V45" s="164"/>
      <c r="W45" s="164"/>
      <c r="X45" s="9"/>
    </row>
    <row r="46" spans="1:24" ht="12" customHeight="1">
      <c r="B46" s="2"/>
      <c r="D46" s="34"/>
      <c r="E46" s="268"/>
      <c r="F46" s="268"/>
      <c r="G46" s="268"/>
      <c r="H46" s="268"/>
      <c r="I46" s="268"/>
      <c r="J46" s="268"/>
      <c r="K46" s="268"/>
      <c r="L46" s="268"/>
      <c r="M46" s="268"/>
      <c r="N46" s="268"/>
      <c r="O46" s="268"/>
      <c r="P46" s="164"/>
      <c r="Q46" s="164"/>
      <c r="R46" s="164"/>
      <c r="S46" s="9"/>
      <c r="T46" s="8"/>
      <c r="U46" s="164"/>
      <c r="V46" s="164"/>
      <c r="W46" s="164"/>
      <c r="X46" s="9"/>
    </row>
    <row r="47" spans="1:24" ht="15.95" customHeight="1">
      <c r="B47" s="2"/>
      <c r="C47" s="1" t="s">
        <v>662</v>
      </c>
      <c r="P47" s="34"/>
      <c r="Q47" s="34"/>
      <c r="R47" s="34"/>
      <c r="S47" s="9"/>
      <c r="T47" s="8" t="s">
        <v>543</v>
      </c>
      <c r="U47" s="1357"/>
      <c r="V47" s="1357"/>
      <c r="W47" s="1357"/>
      <c r="X47" s="9" t="s">
        <v>544</v>
      </c>
    </row>
    <row r="48" spans="1:24" ht="8.25" customHeight="1">
      <c r="B48" s="2"/>
      <c r="P48" s="34"/>
      <c r="Q48" s="34"/>
      <c r="R48" s="34"/>
      <c r="S48" s="9"/>
      <c r="T48" s="8"/>
      <c r="U48" s="164"/>
      <c r="V48" s="164"/>
      <c r="W48" s="164"/>
      <c r="X48" s="9"/>
    </row>
    <row r="49" spans="2:24" ht="15.95" customHeight="1">
      <c r="B49" s="2"/>
      <c r="C49" s="1" t="s">
        <v>663</v>
      </c>
      <c r="P49" s="34"/>
      <c r="Q49" s="34"/>
      <c r="R49" s="34"/>
      <c r="S49" s="9"/>
      <c r="T49" s="2"/>
      <c r="X49" s="9"/>
    </row>
    <row r="50" spans="2:24" ht="15.95" customHeight="1">
      <c r="B50" s="2"/>
      <c r="D50" s="34" t="s">
        <v>522</v>
      </c>
      <c r="E50" s="1358">
        <v>27640</v>
      </c>
      <c r="F50" s="1358"/>
      <c r="G50" s="1358"/>
      <c r="H50" s="1" t="s">
        <v>541</v>
      </c>
      <c r="K50" s="35" t="s">
        <v>268</v>
      </c>
      <c r="M50" s="949" t="s">
        <v>664</v>
      </c>
      <c r="N50" s="949"/>
      <c r="O50" s="949"/>
      <c r="P50" s="1356">
        <f>U22</f>
        <v>0</v>
      </c>
      <c r="Q50" s="1356"/>
      <c r="R50" s="1356"/>
      <c r="S50" s="9" t="s">
        <v>451</v>
      </c>
      <c r="T50" s="8" t="s">
        <v>543</v>
      </c>
      <c r="U50" s="1357">
        <f>E50*P50</f>
        <v>0</v>
      </c>
      <c r="V50" s="1357"/>
      <c r="W50" s="1357"/>
      <c r="X50" s="9" t="s">
        <v>544</v>
      </c>
    </row>
    <row r="51" spans="2:24" ht="8.25" customHeight="1">
      <c r="B51" s="2"/>
      <c r="D51" s="34"/>
      <c r="E51" s="170"/>
      <c r="F51" s="170"/>
      <c r="G51" s="170"/>
      <c r="K51" s="35"/>
      <c r="M51" s="155"/>
      <c r="N51" s="155"/>
      <c r="O51" s="155"/>
      <c r="P51" s="80"/>
      <c r="Q51" s="80"/>
      <c r="R51" s="80"/>
      <c r="S51" s="9"/>
      <c r="T51" s="8"/>
      <c r="U51" s="164"/>
      <c r="V51" s="164"/>
      <c r="W51" s="164"/>
      <c r="X51" s="9"/>
    </row>
    <row r="52" spans="2:24" ht="15.95" customHeight="1">
      <c r="B52" s="2"/>
      <c r="C52" s="1" t="s">
        <v>665</v>
      </c>
      <c r="P52" s="34"/>
      <c r="Q52" s="34"/>
      <c r="R52" s="34"/>
      <c r="S52" s="9"/>
      <c r="T52" s="2"/>
      <c r="X52" s="9"/>
    </row>
    <row r="53" spans="2:24" ht="15.95" customHeight="1">
      <c r="B53" s="2"/>
      <c r="D53" s="34" t="s">
        <v>522</v>
      </c>
      <c r="E53" s="1358">
        <v>4000</v>
      </c>
      <c r="F53" s="1358"/>
      <c r="G53" s="1358"/>
      <c r="H53" s="1" t="s">
        <v>523</v>
      </c>
      <c r="K53" s="35" t="s">
        <v>268</v>
      </c>
      <c r="M53" s="1468" t="s">
        <v>666</v>
      </c>
      <c r="N53" s="1468"/>
      <c r="O53" s="1468"/>
      <c r="P53" s="1356">
        <f>O11+O12</f>
        <v>0</v>
      </c>
      <c r="Q53" s="1356"/>
      <c r="R53" s="1356"/>
      <c r="S53" s="9" t="s">
        <v>451</v>
      </c>
      <c r="T53" s="8" t="s">
        <v>543</v>
      </c>
      <c r="U53" s="1357">
        <f>E53*P53</f>
        <v>0</v>
      </c>
      <c r="V53" s="1357"/>
      <c r="W53" s="1357"/>
      <c r="X53" s="9" t="s">
        <v>544</v>
      </c>
    </row>
    <row r="54" spans="2:24" ht="8.25" customHeight="1">
      <c r="B54" s="2"/>
      <c r="D54" s="34"/>
      <c r="E54" s="170"/>
      <c r="F54" s="170"/>
      <c r="G54" s="170"/>
      <c r="K54" s="35"/>
      <c r="P54" s="80"/>
      <c r="Q54" s="80"/>
      <c r="R54" s="80"/>
      <c r="S54" s="9"/>
      <c r="T54" s="8"/>
      <c r="U54" s="164"/>
      <c r="V54" s="164"/>
      <c r="W54" s="164"/>
      <c r="X54" s="9"/>
    </row>
    <row r="55" spans="2:24" ht="15.95" customHeight="1">
      <c r="B55" s="2"/>
      <c r="C55" s="1" t="s">
        <v>667</v>
      </c>
      <c r="P55" s="34"/>
      <c r="Q55" s="34"/>
      <c r="R55" s="34"/>
      <c r="S55" s="9"/>
      <c r="T55" s="8" t="s">
        <v>543</v>
      </c>
      <c r="U55" s="1357"/>
      <c r="V55" s="1357"/>
      <c r="W55" s="1357"/>
      <c r="X55" s="9" t="s">
        <v>544</v>
      </c>
    </row>
    <row r="56" spans="2:24" ht="8.25" customHeight="1">
      <c r="B56" s="2"/>
      <c r="D56" s="34"/>
      <c r="E56" s="170"/>
      <c r="F56" s="170"/>
      <c r="G56" s="170"/>
      <c r="K56" s="35"/>
      <c r="P56" s="80"/>
      <c r="Q56" s="80"/>
      <c r="R56" s="80"/>
      <c r="S56" s="9"/>
      <c r="T56" s="8"/>
      <c r="U56" s="164"/>
      <c r="V56" s="164"/>
      <c r="W56" s="164"/>
      <c r="X56" s="9"/>
    </row>
    <row r="57" spans="2:24" ht="15.95" customHeight="1">
      <c r="B57" s="2"/>
      <c r="C57" s="132" t="s">
        <v>668</v>
      </c>
      <c r="D57" s="35"/>
      <c r="E57" s="36"/>
      <c r="F57" s="36"/>
      <c r="G57" s="36"/>
      <c r="H57" s="36"/>
      <c r="I57" s="36"/>
      <c r="M57" s="170"/>
      <c r="O57" s="170"/>
      <c r="P57" s="170"/>
      <c r="Q57" s="170"/>
      <c r="R57" s="170"/>
      <c r="S57" s="9"/>
      <c r="T57" s="8"/>
      <c r="U57" s="164"/>
      <c r="V57" s="164"/>
      <c r="W57" s="164"/>
      <c r="X57" s="9"/>
    </row>
    <row r="58" spans="2:24" ht="15.95" customHeight="1">
      <c r="B58" s="16"/>
      <c r="C58" s="132" t="s">
        <v>669</v>
      </c>
      <c r="D58" s="3"/>
      <c r="E58" s="4"/>
      <c r="F58" s="4"/>
      <c r="G58" s="4"/>
      <c r="H58" s="4"/>
      <c r="I58" s="4"/>
      <c r="J58" s="5"/>
      <c r="K58" s="5"/>
      <c r="L58" s="5"/>
      <c r="M58" s="6"/>
      <c r="N58" s="5"/>
      <c r="O58" s="6"/>
      <c r="P58" s="7"/>
      <c r="Q58" s="7"/>
      <c r="R58" s="7"/>
      <c r="S58" s="59"/>
      <c r="T58" s="60"/>
      <c r="U58" s="81"/>
      <c r="V58" s="81"/>
      <c r="W58" s="81"/>
      <c r="X58" s="59"/>
    </row>
    <row r="59" spans="2:24" ht="15.95" customHeight="1">
      <c r="B59" s="1351" t="s">
        <v>670</v>
      </c>
      <c r="C59" s="1352"/>
      <c r="D59" s="1352"/>
      <c r="E59" s="1352"/>
      <c r="F59" s="1352"/>
      <c r="G59" s="1352"/>
      <c r="H59" s="1352"/>
      <c r="I59" s="1352"/>
      <c r="J59" s="1352"/>
      <c r="K59" s="1352"/>
      <c r="L59" s="1352"/>
      <c r="M59" s="1352"/>
      <c r="N59" s="1352"/>
      <c r="O59" s="1352"/>
      <c r="P59" s="1352"/>
      <c r="Q59" s="1352"/>
      <c r="R59" s="1352"/>
      <c r="S59" s="1353"/>
      <c r="T59" s="169" t="s">
        <v>543</v>
      </c>
      <c r="U59" s="1354">
        <f>U35+U37+U41+U44+U47+U50+U53+U55</f>
        <v>0</v>
      </c>
      <c r="V59" s="1354"/>
      <c r="W59" s="1354"/>
      <c r="X59" s="28" t="s">
        <v>544</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5" customHeight="1"/>
    <row r="68" ht="6.95"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E45:O45"/>
    <mergeCell ref="A3:X3"/>
    <mergeCell ref="N6:X6"/>
    <mergeCell ref="B9:M10"/>
    <mergeCell ref="N9:X10"/>
    <mergeCell ref="B11:M11"/>
    <mergeCell ref="O11:W11"/>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E43:H43"/>
    <mergeCell ref="E35:G35"/>
    <mergeCell ref="M35:O35"/>
    <mergeCell ref="P35:R35"/>
    <mergeCell ref="U35:W35"/>
    <mergeCell ref="E37:G37"/>
    <mergeCell ref="M37:O37"/>
    <mergeCell ref="P37:R37"/>
    <mergeCell ref="U37:W37"/>
    <mergeCell ref="L39:O39"/>
    <mergeCell ref="E41:H41"/>
    <mergeCell ref="M41:O41"/>
    <mergeCell ref="P41:R41"/>
    <mergeCell ref="U41:W41"/>
    <mergeCell ref="B59:S59"/>
    <mergeCell ref="U59:W59"/>
    <mergeCell ref="E44:G44"/>
    <mergeCell ref="M44:O44"/>
    <mergeCell ref="P44:R44"/>
    <mergeCell ref="U44:W44"/>
    <mergeCell ref="U47:W47"/>
    <mergeCell ref="E50:G50"/>
    <mergeCell ref="M50:O50"/>
    <mergeCell ref="P50:R50"/>
    <mergeCell ref="U50:W50"/>
    <mergeCell ref="E53:G53"/>
    <mergeCell ref="M53:O53"/>
    <mergeCell ref="P53:R53"/>
    <mergeCell ref="U53:W53"/>
    <mergeCell ref="U55:W55"/>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00B050"/>
    <pageSetUpPr fitToPage="1"/>
  </sheetPr>
  <dimension ref="A1:X57"/>
  <sheetViews>
    <sheetView tabSelected="1" view="pageBreakPreview" zoomScaleNormal="100" zoomScaleSheetLayoutView="100" workbookViewId="0">
      <selection activeCell="H15" sqref="H15"/>
    </sheetView>
  </sheetViews>
  <sheetFormatPr defaultRowHeight="13.15"/>
  <cols>
    <col min="1" max="17" width="4.125" style="146" customWidth="1"/>
    <col min="18" max="20" width="4.75" style="146" customWidth="1"/>
    <col min="21" max="256" width="9" style="146"/>
    <col min="257" max="273" width="4.125" style="146" customWidth="1"/>
    <col min="274" max="276" width="4.75" style="146" customWidth="1"/>
    <col min="277" max="512" width="9" style="146"/>
    <col min="513" max="529" width="4.125" style="146" customWidth="1"/>
    <col min="530" max="532" width="4.75" style="146" customWidth="1"/>
    <col min="533" max="768" width="9" style="146"/>
    <col min="769" max="785" width="4.125" style="146" customWidth="1"/>
    <col min="786" max="788" width="4.75" style="146" customWidth="1"/>
    <col min="789" max="1024" width="9" style="146"/>
    <col min="1025" max="1041" width="4.125" style="146" customWidth="1"/>
    <col min="1042" max="1044" width="4.75" style="146" customWidth="1"/>
    <col min="1045" max="1280" width="9" style="146"/>
    <col min="1281" max="1297" width="4.125" style="146" customWidth="1"/>
    <col min="1298" max="1300" width="4.75" style="146" customWidth="1"/>
    <col min="1301" max="1536" width="9" style="146"/>
    <col min="1537" max="1553" width="4.125" style="146" customWidth="1"/>
    <col min="1554" max="1556" width="4.75" style="146" customWidth="1"/>
    <col min="1557" max="1792" width="9" style="146"/>
    <col min="1793" max="1809" width="4.125" style="146" customWidth="1"/>
    <col min="1810" max="1812" width="4.75" style="146" customWidth="1"/>
    <col min="1813" max="2048" width="9" style="146"/>
    <col min="2049" max="2065" width="4.125" style="146" customWidth="1"/>
    <col min="2066" max="2068" width="4.75" style="146" customWidth="1"/>
    <col min="2069" max="2304" width="9" style="146"/>
    <col min="2305" max="2321" width="4.125" style="146" customWidth="1"/>
    <col min="2322" max="2324" width="4.75" style="146" customWidth="1"/>
    <col min="2325" max="2560" width="9" style="146"/>
    <col min="2561" max="2577" width="4.125" style="146" customWidth="1"/>
    <col min="2578" max="2580" width="4.75" style="146" customWidth="1"/>
    <col min="2581" max="2816" width="9" style="146"/>
    <col min="2817" max="2833" width="4.125" style="146" customWidth="1"/>
    <col min="2834" max="2836" width="4.75" style="146" customWidth="1"/>
    <col min="2837" max="3072" width="9" style="146"/>
    <col min="3073" max="3089" width="4.125" style="146" customWidth="1"/>
    <col min="3090" max="3092" width="4.75" style="146" customWidth="1"/>
    <col min="3093" max="3328" width="9" style="146"/>
    <col min="3329" max="3345" width="4.125" style="146" customWidth="1"/>
    <col min="3346" max="3348" width="4.75" style="146" customWidth="1"/>
    <col min="3349" max="3584" width="9" style="146"/>
    <col min="3585" max="3601" width="4.125" style="146" customWidth="1"/>
    <col min="3602" max="3604" width="4.75" style="146" customWidth="1"/>
    <col min="3605" max="3840" width="9" style="146"/>
    <col min="3841" max="3857" width="4.125" style="146" customWidth="1"/>
    <col min="3858" max="3860" width="4.75" style="146" customWidth="1"/>
    <col min="3861" max="4096" width="9" style="146"/>
    <col min="4097" max="4113" width="4.125" style="146" customWidth="1"/>
    <col min="4114" max="4116" width="4.75" style="146" customWidth="1"/>
    <col min="4117" max="4352" width="9" style="146"/>
    <col min="4353" max="4369" width="4.125" style="146" customWidth="1"/>
    <col min="4370" max="4372" width="4.75" style="146" customWidth="1"/>
    <col min="4373" max="4608" width="9" style="146"/>
    <col min="4609" max="4625" width="4.125" style="146" customWidth="1"/>
    <col min="4626" max="4628" width="4.75" style="146" customWidth="1"/>
    <col min="4629" max="4864" width="9" style="146"/>
    <col min="4865" max="4881" width="4.125" style="146" customWidth="1"/>
    <col min="4882" max="4884" width="4.75" style="146" customWidth="1"/>
    <col min="4885" max="5120" width="9" style="146"/>
    <col min="5121" max="5137" width="4.125" style="146" customWidth="1"/>
    <col min="5138" max="5140" width="4.75" style="146" customWidth="1"/>
    <col min="5141" max="5376" width="9" style="146"/>
    <col min="5377" max="5393" width="4.125" style="146" customWidth="1"/>
    <col min="5394" max="5396" width="4.75" style="146" customWidth="1"/>
    <col min="5397" max="5632" width="9" style="146"/>
    <col min="5633" max="5649" width="4.125" style="146" customWidth="1"/>
    <col min="5650" max="5652" width="4.75" style="146" customWidth="1"/>
    <col min="5653" max="5888" width="9" style="146"/>
    <col min="5889" max="5905" width="4.125" style="146" customWidth="1"/>
    <col min="5906" max="5908" width="4.75" style="146" customWidth="1"/>
    <col min="5909" max="6144" width="9" style="146"/>
    <col min="6145" max="6161" width="4.125" style="146" customWidth="1"/>
    <col min="6162" max="6164" width="4.75" style="146" customWidth="1"/>
    <col min="6165" max="6400" width="9" style="146"/>
    <col min="6401" max="6417" width="4.125" style="146" customWidth="1"/>
    <col min="6418" max="6420" width="4.75" style="146" customWidth="1"/>
    <col min="6421" max="6656" width="9" style="146"/>
    <col min="6657" max="6673" width="4.125" style="146" customWidth="1"/>
    <col min="6674" max="6676" width="4.75" style="146" customWidth="1"/>
    <col min="6677" max="6912" width="9" style="146"/>
    <col min="6913" max="6929" width="4.125" style="146" customWidth="1"/>
    <col min="6930" max="6932" width="4.75" style="146" customWidth="1"/>
    <col min="6933" max="7168" width="9" style="146"/>
    <col min="7169" max="7185" width="4.125" style="146" customWidth="1"/>
    <col min="7186" max="7188" width="4.75" style="146" customWidth="1"/>
    <col min="7189" max="7424" width="9" style="146"/>
    <col min="7425" max="7441" width="4.125" style="146" customWidth="1"/>
    <col min="7442" max="7444" width="4.75" style="146" customWidth="1"/>
    <col min="7445" max="7680" width="9" style="146"/>
    <col min="7681" max="7697" width="4.125" style="146" customWidth="1"/>
    <col min="7698" max="7700" width="4.75" style="146" customWidth="1"/>
    <col min="7701" max="7936" width="9" style="146"/>
    <col min="7937" max="7953" width="4.125" style="146" customWidth="1"/>
    <col min="7954" max="7956" width="4.75" style="146" customWidth="1"/>
    <col min="7957" max="8192" width="9" style="146"/>
    <col min="8193" max="8209" width="4.125" style="146" customWidth="1"/>
    <col min="8210" max="8212" width="4.75" style="146" customWidth="1"/>
    <col min="8213" max="8448" width="9" style="146"/>
    <col min="8449" max="8465" width="4.125" style="146" customWidth="1"/>
    <col min="8466" max="8468" width="4.75" style="146" customWidth="1"/>
    <col min="8469" max="8704" width="9" style="146"/>
    <col min="8705" max="8721" width="4.125" style="146" customWidth="1"/>
    <col min="8722" max="8724" width="4.75" style="146" customWidth="1"/>
    <col min="8725" max="8960" width="9" style="146"/>
    <col min="8961" max="8977" width="4.125" style="146" customWidth="1"/>
    <col min="8978" max="8980" width="4.75" style="146" customWidth="1"/>
    <col min="8981" max="9216" width="9" style="146"/>
    <col min="9217" max="9233" width="4.125" style="146" customWidth="1"/>
    <col min="9234" max="9236" width="4.75" style="146" customWidth="1"/>
    <col min="9237" max="9472" width="9" style="146"/>
    <col min="9473" max="9489" width="4.125" style="146" customWidth="1"/>
    <col min="9490" max="9492" width="4.75" style="146" customWidth="1"/>
    <col min="9493" max="9728" width="9" style="146"/>
    <col min="9729" max="9745" width="4.125" style="146" customWidth="1"/>
    <col min="9746" max="9748" width="4.75" style="146" customWidth="1"/>
    <col min="9749" max="9984" width="9" style="146"/>
    <col min="9985" max="10001" width="4.125" style="146" customWidth="1"/>
    <col min="10002" max="10004" width="4.75" style="146" customWidth="1"/>
    <col min="10005" max="10240" width="9" style="146"/>
    <col min="10241" max="10257" width="4.125" style="146" customWidth="1"/>
    <col min="10258" max="10260" width="4.75" style="146" customWidth="1"/>
    <col min="10261" max="10496" width="9" style="146"/>
    <col min="10497" max="10513" width="4.125" style="146" customWidth="1"/>
    <col min="10514" max="10516" width="4.75" style="146" customWidth="1"/>
    <col min="10517" max="10752" width="9" style="146"/>
    <col min="10753" max="10769" width="4.125" style="146" customWidth="1"/>
    <col min="10770" max="10772" width="4.75" style="146" customWidth="1"/>
    <col min="10773" max="11008" width="9" style="146"/>
    <col min="11009" max="11025" width="4.125" style="146" customWidth="1"/>
    <col min="11026" max="11028" width="4.75" style="146" customWidth="1"/>
    <col min="11029" max="11264" width="9" style="146"/>
    <col min="11265" max="11281" width="4.125" style="146" customWidth="1"/>
    <col min="11282" max="11284" width="4.75" style="146" customWidth="1"/>
    <col min="11285" max="11520" width="9" style="146"/>
    <col min="11521" max="11537" width="4.125" style="146" customWidth="1"/>
    <col min="11538" max="11540" width="4.75" style="146" customWidth="1"/>
    <col min="11541" max="11776" width="9" style="146"/>
    <col min="11777" max="11793" width="4.125" style="146" customWidth="1"/>
    <col min="11794" max="11796" width="4.75" style="146" customWidth="1"/>
    <col min="11797" max="12032" width="9" style="146"/>
    <col min="12033" max="12049" width="4.125" style="146" customWidth="1"/>
    <col min="12050" max="12052" width="4.75" style="146" customWidth="1"/>
    <col min="12053" max="12288" width="9" style="146"/>
    <col min="12289" max="12305" width="4.125" style="146" customWidth="1"/>
    <col min="12306" max="12308" width="4.75" style="146" customWidth="1"/>
    <col min="12309" max="12544" width="9" style="146"/>
    <col min="12545" max="12561" width="4.125" style="146" customWidth="1"/>
    <col min="12562" max="12564" width="4.75" style="146" customWidth="1"/>
    <col min="12565" max="12800" width="9" style="146"/>
    <col min="12801" max="12817" width="4.125" style="146" customWidth="1"/>
    <col min="12818" max="12820" width="4.75" style="146" customWidth="1"/>
    <col min="12821" max="13056" width="9" style="146"/>
    <col min="13057" max="13073" width="4.125" style="146" customWidth="1"/>
    <col min="13074" max="13076" width="4.75" style="146" customWidth="1"/>
    <col min="13077" max="13312" width="9" style="146"/>
    <col min="13313" max="13329" width="4.125" style="146" customWidth="1"/>
    <col min="13330" max="13332" width="4.75" style="146" customWidth="1"/>
    <col min="13333" max="13568" width="9" style="146"/>
    <col min="13569" max="13585" width="4.125" style="146" customWidth="1"/>
    <col min="13586" max="13588" width="4.75" style="146" customWidth="1"/>
    <col min="13589" max="13824" width="9" style="146"/>
    <col min="13825" max="13841" width="4.125" style="146" customWidth="1"/>
    <col min="13842" max="13844" width="4.75" style="146" customWidth="1"/>
    <col min="13845" max="14080" width="9" style="146"/>
    <col min="14081" max="14097" width="4.125" style="146" customWidth="1"/>
    <col min="14098" max="14100" width="4.75" style="146" customWidth="1"/>
    <col min="14101" max="14336" width="9" style="146"/>
    <col min="14337" max="14353" width="4.125" style="146" customWidth="1"/>
    <col min="14354" max="14356" width="4.75" style="146" customWidth="1"/>
    <col min="14357" max="14592" width="9" style="146"/>
    <col min="14593" max="14609" width="4.125" style="146" customWidth="1"/>
    <col min="14610" max="14612" width="4.75" style="146" customWidth="1"/>
    <col min="14613" max="14848" width="9" style="146"/>
    <col min="14849" max="14865" width="4.125" style="146" customWidth="1"/>
    <col min="14866" max="14868" width="4.75" style="146" customWidth="1"/>
    <col min="14869" max="15104" width="9" style="146"/>
    <col min="15105" max="15121" width="4.125" style="146" customWidth="1"/>
    <col min="15122" max="15124" width="4.75" style="146" customWidth="1"/>
    <col min="15125" max="15360" width="9" style="146"/>
    <col min="15361" max="15377" width="4.125" style="146" customWidth="1"/>
    <col min="15378" max="15380" width="4.75" style="146" customWidth="1"/>
    <col min="15381" max="15616" width="9" style="146"/>
    <col min="15617" max="15633" width="4.125" style="146" customWidth="1"/>
    <col min="15634" max="15636" width="4.75" style="146" customWidth="1"/>
    <col min="15637" max="15872" width="9" style="146"/>
    <col min="15873" max="15889" width="4.125" style="146" customWidth="1"/>
    <col min="15890" max="15892" width="4.75" style="146" customWidth="1"/>
    <col min="15893" max="16128" width="9" style="146"/>
    <col min="16129" max="16145" width="4.125" style="146" customWidth="1"/>
    <col min="16146" max="16148" width="4.75" style="146" customWidth="1"/>
    <col min="16149" max="16384" width="9" style="146"/>
  </cols>
  <sheetData>
    <row r="1" spans="1:24" ht="15" thickBot="1">
      <c r="A1" s="148" t="s">
        <v>671</v>
      </c>
      <c r="B1" s="307"/>
    </row>
    <row r="2" spans="1:24" ht="13.9" thickBot="1">
      <c r="A2" s="148"/>
      <c r="V2" s="849">
        <v>0</v>
      </c>
      <c r="W2" s="146" t="s">
        <v>672</v>
      </c>
    </row>
    <row r="3" spans="1:24">
      <c r="Q3" s="866"/>
      <c r="R3" s="866"/>
      <c r="S3" s="866"/>
      <c r="T3" s="867" t="s">
        <v>673</v>
      </c>
    </row>
    <row r="4" spans="1:24">
      <c r="Q4" s="866"/>
      <c r="R4" s="866"/>
      <c r="S4" s="866"/>
      <c r="T4" s="867" t="s">
        <v>674</v>
      </c>
    </row>
    <row r="7" spans="1:24">
      <c r="A7" s="148" t="str">
        <f>VLOOKUP($V$2,$U$7:$X$10,2,0)</f>
        <v>　              　    　殿</v>
      </c>
      <c r="U7" s="146">
        <v>0</v>
      </c>
      <c r="V7" s="146" t="s">
        <v>675</v>
      </c>
      <c r="X7" s="146" t="s">
        <v>676</v>
      </c>
    </row>
    <row r="8" spans="1:24">
      <c r="U8" s="146">
        <v>1</v>
      </c>
      <c r="V8" s="146" t="s">
        <v>43</v>
      </c>
      <c r="X8" s="146" t="s">
        <v>677</v>
      </c>
    </row>
    <row r="9" spans="1:24">
      <c r="U9" s="146">
        <v>2</v>
      </c>
      <c r="V9" s="146" t="s">
        <v>56</v>
      </c>
      <c r="X9" s="146" t="s">
        <v>678</v>
      </c>
    </row>
    <row r="10" spans="1:24">
      <c r="N10" s="868" t="s">
        <v>679</v>
      </c>
      <c r="O10" s="866"/>
      <c r="P10" s="866"/>
      <c r="Q10" s="866"/>
      <c r="R10" s="866"/>
      <c r="S10" s="866"/>
      <c r="T10" s="866"/>
      <c r="U10" s="146">
        <v>3</v>
      </c>
      <c r="V10" s="146" t="s">
        <v>680</v>
      </c>
      <c r="X10" s="146" t="s">
        <v>678</v>
      </c>
    </row>
    <row r="11" spans="1:24">
      <c r="N11" s="868" t="s">
        <v>681</v>
      </c>
      <c r="O11" s="866"/>
      <c r="P11" s="866"/>
      <c r="Q11" s="866"/>
      <c r="R11" s="866"/>
      <c r="S11" s="866"/>
      <c r="T11" s="866"/>
    </row>
    <row r="12" spans="1:24">
      <c r="N12" s="868" t="s">
        <v>682</v>
      </c>
      <c r="O12" s="866"/>
      <c r="P12" s="866"/>
      <c r="Q12" s="866"/>
      <c r="R12" s="866"/>
      <c r="S12" s="866"/>
      <c r="T12" s="866"/>
    </row>
    <row r="17" spans="1:20">
      <c r="A17" s="1382" t="s">
        <v>683</v>
      </c>
      <c r="B17" s="1382"/>
      <c r="C17" s="1382"/>
      <c r="D17" s="1382"/>
      <c r="E17" s="1382"/>
      <c r="F17" s="1382"/>
      <c r="G17" s="1382"/>
      <c r="H17" s="1382"/>
      <c r="I17" s="1382"/>
      <c r="J17" s="1382"/>
      <c r="K17" s="1382"/>
      <c r="L17" s="1382"/>
      <c r="M17" s="1382"/>
      <c r="N17" s="1382"/>
      <c r="O17" s="1382"/>
      <c r="P17" s="1382"/>
      <c r="Q17" s="1382"/>
      <c r="R17" s="1382"/>
      <c r="S17" s="1382"/>
      <c r="T17" s="1382"/>
    </row>
    <row r="22" spans="1:20">
      <c r="B22" s="147"/>
    </row>
    <row r="23" spans="1:20">
      <c r="B23" s="1380" t="s">
        <v>684</v>
      </c>
      <c r="C23" s="1380"/>
      <c r="D23" s="1380"/>
      <c r="E23" s="1380"/>
      <c r="F23" s="1380"/>
      <c r="G23" s="1380"/>
      <c r="H23" s="1380"/>
      <c r="I23" s="1380"/>
      <c r="J23" s="1380"/>
      <c r="K23" s="1380"/>
      <c r="L23" s="1380"/>
      <c r="M23" s="146" t="s">
        <v>685</v>
      </c>
    </row>
    <row r="24" spans="1:20">
      <c r="B24" s="146" t="str">
        <f>CONCATENATE(VLOOKUP(V2,$U$7:$X$10,4,0),"について、当該交付要綱第５の（９）の規定に基づき")</f>
        <v xml:space="preserve">                           補助金について、当該交付要綱第５の（９）の規定に基づき</v>
      </c>
      <c r="C24" s="147"/>
      <c r="D24" s="147"/>
      <c r="E24" s="147"/>
      <c r="F24" s="147"/>
      <c r="G24" s="147"/>
      <c r="H24" s="147"/>
      <c r="I24" s="147"/>
      <c r="J24" s="147"/>
      <c r="K24" s="147"/>
      <c r="L24" s="147"/>
      <c r="M24" s="147"/>
      <c r="N24" s="147"/>
      <c r="O24" s="147"/>
      <c r="P24" s="147"/>
    </row>
    <row r="25" spans="1:20">
      <c r="B25" s="1381" t="s">
        <v>686</v>
      </c>
      <c r="C25" s="1381"/>
      <c r="D25" s="1381"/>
      <c r="E25" s="1381"/>
      <c r="F25" s="1381"/>
      <c r="G25" s="1381"/>
      <c r="H25" s="1381"/>
      <c r="I25" s="1381"/>
      <c r="J25" s="1381"/>
      <c r="K25" s="1381"/>
      <c r="L25" s="1381"/>
      <c r="M25" s="1381"/>
      <c r="N25" s="1381"/>
      <c r="O25" s="1381"/>
      <c r="P25" s="1381"/>
      <c r="Q25" s="1381"/>
      <c r="R25" s="1381"/>
    </row>
    <row r="26" spans="1:20">
      <c r="B26" s="148"/>
    </row>
    <row r="29" spans="1:20">
      <c r="B29" s="148" t="s">
        <v>687</v>
      </c>
    </row>
    <row r="30" spans="1:20">
      <c r="B30" s="146" t="s">
        <v>688</v>
      </c>
    </row>
    <row r="31" spans="1:20">
      <c r="B31" s="148"/>
    </row>
    <row r="32" spans="1:20">
      <c r="B32" s="148"/>
      <c r="O32" s="265" t="s">
        <v>689</v>
      </c>
      <c r="P32" s="1379"/>
      <c r="Q32" s="1379"/>
      <c r="R32" s="1379"/>
      <c r="S32" s="146" t="s">
        <v>690</v>
      </c>
    </row>
    <row r="35" spans="2:19">
      <c r="B35" s="146" t="s">
        <v>691</v>
      </c>
    </row>
    <row r="37" spans="2:19">
      <c r="O37" s="265" t="s">
        <v>689</v>
      </c>
      <c r="P37" s="1379"/>
      <c r="Q37" s="1379"/>
      <c r="R37" s="1379"/>
      <c r="S37" s="146" t="s">
        <v>690</v>
      </c>
    </row>
    <row r="40" spans="2:19">
      <c r="B40" s="148" t="s">
        <v>692</v>
      </c>
    </row>
    <row r="41" spans="2:19">
      <c r="B41" s="146" t="s">
        <v>693</v>
      </c>
    </row>
    <row r="42" spans="2:19">
      <c r="B42" s="148"/>
    </row>
    <row r="43" spans="2:19">
      <c r="O43" s="265" t="s">
        <v>689</v>
      </c>
      <c r="P43" s="1379"/>
      <c r="Q43" s="1379"/>
      <c r="R43" s="1379"/>
      <c r="S43" s="266" t="s">
        <v>690</v>
      </c>
    </row>
    <row r="46" spans="2:19">
      <c r="B46" s="148" t="s">
        <v>694</v>
      </c>
    </row>
    <row r="47" spans="2:19">
      <c r="B47" s="148"/>
    </row>
    <row r="48" spans="2:19">
      <c r="B48" s="148"/>
      <c r="O48" s="265" t="s">
        <v>689</v>
      </c>
      <c r="P48" s="1379"/>
      <c r="Q48" s="1379"/>
      <c r="R48" s="1379"/>
      <c r="S48" s="266" t="s">
        <v>690</v>
      </c>
    </row>
    <row r="49" spans="2:2">
      <c r="B49" s="148"/>
    </row>
    <row r="50" spans="2:2">
      <c r="B50" s="148"/>
    </row>
    <row r="51" spans="2:2">
      <c r="B51" s="149" t="s">
        <v>695</v>
      </c>
    </row>
    <row r="52" spans="2:2">
      <c r="B52" s="149" t="s">
        <v>696</v>
      </c>
    </row>
    <row r="53" spans="2:2">
      <c r="B53" s="149" t="s">
        <v>697</v>
      </c>
    </row>
    <row r="54" spans="2:2">
      <c r="B54" s="148" t="s">
        <v>147</v>
      </c>
    </row>
    <row r="56" spans="2:2">
      <c r="B56" s="267" t="s">
        <v>698</v>
      </c>
    </row>
    <row r="57" spans="2:2">
      <c r="B57" s="267" t="s">
        <v>699</v>
      </c>
    </row>
  </sheetData>
  <mergeCells count="7">
    <mergeCell ref="P43:R43"/>
    <mergeCell ref="P48:R48"/>
    <mergeCell ref="B23:L23"/>
    <mergeCell ref="B25:R25"/>
    <mergeCell ref="A17:T17"/>
    <mergeCell ref="P32:R32"/>
    <mergeCell ref="P37:R37"/>
  </mergeCells>
  <phoneticPr fontId="4"/>
  <dataValidations count="1">
    <dataValidation type="list" allowBlank="1" showInputMessage="1" showErrorMessage="1" sqref="V2" xr:uid="{00000000-0002-0000-1600-000000000000}">
      <formula1>$U$7:$U$10</formula1>
    </dataValidation>
  </dataValidations>
  <printOptions horizontalCentered="1"/>
  <pageMargins left="0.7" right="0.7" top="0.75" bottom="0.75" header="0.3" footer="0.3"/>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924A-2DC8-4571-8CA1-9DA794E39B73}">
  <sheetPr>
    <tabColor rgb="FFFFFF00"/>
  </sheetPr>
  <dimension ref="A1:CI9"/>
  <sheetViews>
    <sheetView zoomScaleNormal="100" workbookViewId="0">
      <pane xSplit="2" ySplit="2" topLeftCell="C3" activePane="bottomRight" state="frozen"/>
      <selection pane="bottomRight" activeCell="C3" sqref="C3"/>
      <selection pane="bottomLeft" activeCell="I18" sqref="I18"/>
      <selection pane="topRight" activeCell="I18" sqref="I18"/>
    </sheetView>
  </sheetViews>
  <sheetFormatPr defaultColWidth="9" defaultRowHeight="13.15"/>
  <cols>
    <col min="1" max="1" width="11" style="85" bestFit="1" customWidth="1"/>
    <col min="2" max="2" width="51.125" style="85" customWidth="1"/>
    <col min="3" max="3" width="18.875" style="85" customWidth="1"/>
    <col min="4" max="4" width="46.125" style="85" bestFit="1" customWidth="1"/>
    <col min="5" max="5" width="16.125" style="85" bestFit="1" customWidth="1"/>
    <col min="6" max="6" width="21.5" style="85" customWidth="1"/>
    <col min="7" max="7" width="16.125" style="85" bestFit="1" customWidth="1"/>
    <col min="8" max="8" width="7.5" style="85" bestFit="1" customWidth="1"/>
    <col min="9" max="11" width="9" style="85"/>
    <col min="12" max="12" width="18.125" style="85" customWidth="1"/>
    <col min="13" max="16" width="9" style="85"/>
    <col min="17" max="17" width="9" style="85" customWidth="1"/>
    <col min="18" max="18" width="9" style="85"/>
    <col min="19" max="19" width="9" style="85" customWidth="1"/>
    <col min="20" max="29" width="9" style="85"/>
    <col min="30" max="30" width="20.125" style="85" customWidth="1"/>
    <col min="31" max="34" width="9" style="85"/>
    <col min="35" max="35" width="11.5" style="85" customWidth="1"/>
    <col min="36" max="76" width="9" style="85"/>
    <col min="77" max="77" width="47.75" style="85" bestFit="1" customWidth="1"/>
    <col min="78" max="79" width="33.75" style="85" customWidth="1"/>
    <col min="80" max="81" width="14.375" style="85" bestFit="1" customWidth="1"/>
    <col min="82" max="16384" width="9" style="85"/>
  </cols>
  <sheetData>
    <row r="1" spans="1:87" s="286" customFormat="1" ht="14.45">
      <c r="B1" s="308">
        <v>1</v>
      </c>
      <c r="C1" s="286">
        <v>2</v>
      </c>
      <c r="D1" s="286">
        <v>3</v>
      </c>
      <c r="E1" s="308">
        <v>4</v>
      </c>
      <c r="F1" s="286">
        <v>5</v>
      </c>
      <c r="G1" s="286">
        <v>6</v>
      </c>
      <c r="H1" s="308">
        <v>7</v>
      </c>
      <c r="I1" s="286">
        <v>8</v>
      </c>
      <c r="J1" s="286">
        <v>9</v>
      </c>
      <c r="K1" s="308">
        <v>10</v>
      </c>
      <c r="L1" s="286">
        <v>11</v>
      </c>
      <c r="M1" s="286">
        <v>12</v>
      </c>
      <c r="N1" s="308">
        <v>13</v>
      </c>
      <c r="O1" s="286">
        <v>14</v>
      </c>
      <c r="P1" s="286">
        <v>15</v>
      </c>
      <c r="Q1" s="308">
        <v>16</v>
      </c>
      <c r="R1" s="286">
        <v>17</v>
      </c>
      <c r="S1" s="286">
        <v>18</v>
      </c>
      <c r="T1" s="308">
        <v>19</v>
      </c>
      <c r="U1" s="286">
        <v>20</v>
      </c>
      <c r="V1" s="286">
        <v>21</v>
      </c>
      <c r="W1" s="308">
        <v>22</v>
      </c>
      <c r="X1" s="286">
        <v>23</v>
      </c>
      <c r="Y1" s="286">
        <v>24</v>
      </c>
      <c r="Z1" s="308">
        <v>25</v>
      </c>
      <c r="AA1" s="286">
        <v>26</v>
      </c>
      <c r="AB1" s="286">
        <v>27</v>
      </c>
      <c r="AC1" s="308">
        <v>28</v>
      </c>
      <c r="AD1" s="286">
        <v>29</v>
      </c>
      <c r="AE1" s="286">
        <v>30</v>
      </c>
      <c r="AF1" s="308">
        <v>31</v>
      </c>
      <c r="AG1" s="286">
        <v>32</v>
      </c>
      <c r="AH1" s="286">
        <v>33</v>
      </c>
      <c r="AI1" s="308">
        <v>34</v>
      </c>
      <c r="AJ1" s="286">
        <v>35</v>
      </c>
      <c r="AK1" s="286">
        <v>36</v>
      </c>
      <c r="AL1" s="308">
        <v>37</v>
      </c>
      <c r="AM1" s="286">
        <v>38</v>
      </c>
      <c r="AN1" s="286">
        <v>39</v>
      </c>
      <c r="AO1" s="308">
        <v>40</v>
      </c>
      <c r="AP1" s="286">
        <v>41</v>
      </c>
      <c r="AQ1" s="286">
        <v>42</v>
      </c>
      <c r="AR1" s="308">
        <v>43</v>
      </c>
      <c r="AS1" s="286">
        <v>44</v>
      </c>
      <c r="AT1" s="286">
        <v>45</v>
      </c>
      <c r="AU1" s="308">
        <v>46</v>
      </c>
      <c r="AV1" s="286">
        <v>47</v>
      </c>
      <c r="AW1" s="286">
        <v>48</v>
      </c>
      <c r="AX1" s="308">
        <v>49</v>
      </c>
      <c r="AY1" s="286">
        <v>50</v>
      </c>
      <c r="AZ1" s="286">
        <v>51</v>
      </c>
      <c r="BA1" s="308">
        <v>52</v>
      </c>
      <c r="BB1" s="286">
        <v>53</v>
      </c>
      <c r="BC1" s="286">
        <v>54</v>
      </c>
      <c r="BD1" s="308">
        <v>55</v>
      </c>
      <c r="BE1" s="286">
        <v>56</v>
      </c>
      <c r="BF1" s="286">
        <v>57</v>
      </c>
      <c r="BG1" s="308">
        <v>58</v>
      </c>
      <c r="BH1" s="286">
        <v>59</v>
      </c>
      <c r="BI1" s="286">
        <v>60</v>
      </c>
      <c r="BJ1" s="308">
        <v>61</v>
      </c>
      <c r="BK1" s="286">
        <v>62</v>
      </c>
      <c r="BL1" s="286">
        <v>63</v>
      </c>
      <c r="BM1" s="308">
        <v>64</v>
      </c>
      <c r="BN1" s="286">
        <v>65</v>
      </c>
      <c r="BO1" s="286">
        <v>66</v>
      </c>
      <c r="BP1" s="308">
        <v>67</v>
      </c>
      <c r="BQ1" s="286">
        <v>68</v>
      </c>
      <c r="BR1" s="286">
        <v>69</v>
      </c>
      <c r="BS1" s="308">
        <v>70</v>
      </c>
      <c r="BT1" s="286">
        <v>71</v>
      </c>
      <c r="BU1" s="286">
        <v>72</v>
      </c>
      <c r="BV1" s="308">
        <v>73</v>
      </c>
      <c r="BW1" s="286">
        <v>74</v>
      </c>
      <c r="BX1" s="286">
        <v>75</v>
      </c>
      <c r="BY1" s="308">
        <v>76</v>
      </c>
      <c r="BZ1" s="286">
        <v>77</v>
      </c>
      <c r="CA1" s="286">
        <v>78</v>
      </c>
      <c r="CB1" s="286">
        <v>78</v>
      </c>
      <c r="CC1" s="286">
        <v>79</v>
      </c>
    </row>
    <row r="2" spans="1:87" s="598" customFormat="1">
      <c r="A2" s="85"/>
      <c r="B2" s="85" t="s">
        <v>33</v>
      </c>
      <c r="C2" s="598" t="s">
        <v>34</v>
      </c>
      <c r="D2" s="598" t="s">
        <v>35</v>
      </c>
      <c r="E2" s="598" t="s">
        <v>36</v>
      </c>
      <c r="BX2" s="309" t="s">
        <v>37</v>
      </c>
      <c r="BY2" s="598" t="s">
        <v>38</v>
      </c>
      <c r="BZ2" s="598" t="s">
        <v>39</v>
      </c>
      <c r="CB2" s="598" t="s">
        <v>40</v>
      </c>
      <c r="CC2" s="598" t="s">
        <v>41</v>
      </c>
    </row>
    <row r="3" spans="1:87" ht="14.45">
      <c r="A3" s="879"/>
      <c r="B3" s="85" t="s">
        <v>42</v>
      </c>
      <c r="C3" s="85" t="s">
        <v>43</v>
      </c>
      <c r="D3" s="85" t="s">
        <v>44</v>
      </c>
      <c r="E3" s="11" t="s">
        <v>45</v>
      </c>
      <c r="F3" s="11" t="s">
        <v>46</v>
      </c>
      <c r="G3" s="11" t="s">
        <v>47</v>
      </c>
      <c r="H3" s="11" t="s">
        <v>46</v>
      </c>
      <c r="I3" s="11" t="s">
        <v>48</v>
      </c>
      <c r="J3" s="11" t="s">
        <v>46</v>
      </c>
      <c r="K3" s="11" t="s">
        <v>49</v>
      </c>
      <c r="L3" s="11" t="s">
        <v>46</v>
      </c>
      <c r="M3" s="11" t="s">
        <v>50</v>
      </c>
      <c r="N3" s="11" t="s">
        <v>46</v>
      </c>
      <c r="O3" s="11" t="s">
        <v>51</v>
      </c>
      <c r="P3" s="11" t="s">
        <v>46</v>
      </c>
      <c r="Q3" s="11" t="s">
        <v>52</v>
      </c>
      <c r="R3" s="11" t="s">
        <v>46</v>
      </c>
      <c r="S3" s="11" t="s">
        <v>53</v>
      </c>
      <c r="T3" s="11" t="s">
        <v>46</v>
      </c>
      <c r="U3" s="85" t="s">
        <v>46</v>
      </c>
      <c r="V3" s="11" t="s">
        <v>46</v>
      </c>
      <c r="W3" s="11" t="s">
        <v>46</v>
      </c>
      <c r="X3" s="11" t="s">
        <v>46</v>
      </c>
      <c r="Y3" s="11" t="s">
        <v>46</v>
      </c>
      <c r="Z3" s="85" t="s">
        <v>46</v>
      </c>
      <c r="AA3" s="828" t="s">
        <v>46</v>
      </c>
      <c r="AB3" s="85" t="s">
        <v>46</v>
      </c>
      <c r="AC3" s="85" t="s">
        <v>46</v>
      </c>
      <c r="AD3" s="85" t="s">
        <v>46</v>
      </c>
      <c r="AE3" s="85" t="s">
        <v>46</v>
      </c>
      <c r="AF3" s="85" t="s">
        <v>46</v>
      </c>
      <c r="AG3" s="85" t="s">
        <v>46</v>
      </c>
      <c r="AH3" s="85" t="s">
        <v>46</v>
      </c>
      <c r="AI3" s="85" t="s">
        <v>46</v>
      </c>
      <c r="AJ3" s="85" t="s">
        <v>46</v>
      </c>
      <c r="AK3" s="85" t="s">
        <v>46</v>
      </c>
      <c r="AL3" s="85" t="s">
        <v>46</v>
      </c>
      <c r="AM3" s="85" t="s">
        <v>46</v>
      </c>
      <c r="AN3" s="85" t="s">
        <v>46</v>
      </c>
      <c r="AO3" s="85" t="s">
        <v>46</v>
      </c>
      <c r="AP3" s="85" t="s">
        <v>46</v>
      </c>
      <c r="AQ3" s="85" t="s">
        <v>46</v>
      </c>
      <c r="AR3" s="85" t="s">
        <v>46</v>
      </c>
      <c r="AS3" s="85" t="s">
        <v>46</v>
      </c>
      <c r="AT3" s="85" t="s">
        <v>46</v>
      </c>
      <c r="AU3" s="85" t="s">
        <v>46</v>
      </c>
      <c r="AV3" s="85" t="s">
        <v>46</v>
      </c>
      <c r="AW3" s="85" t="s">
        <v>46</v>
      </c>
      <c r="AX3" s="85" t="s">
        <v>46</v>
      </c>
      <c r="AY3" s="85" t="s">
        <v>46</v>
      </c>
      <c r="AZ3" s="85" t="s">
        <v>46</v>
      </c>
      <c r="BA3" s="85" t="s">
        <v>46</v>
      </c>
      <c r="BB3" s="85" t="s">
        <v>46</v>
      </c>
      <c r="BC3" s="85" t="s">
        <v>46</v>
      </c>
      <c r="BD3" s="85" t="s">
        <v>46</v>
      </c>
      <c r="BE3" s="85" t="s">
        <v>46</v>
      </c>
      <c r="BF3" s="85" t="s">
        <v>46</v>
      </c>
      <c r="BG3" s="85" t="s">
        <v>46</v>
      </c>
      <c r="BH3" s="85" t="s">
        <v>46</v>
      </c>
      <c r="BI3" s="85" t="s">
        <v>46</v>
      </c>
      <c r="BJ3" s="85" t="s">
        <v>46</v>
      </c>
      <c r="BK3" s="85" t="s">
        <v>46</v>
      </c>
      <c r="BL3" s="85" t="s">
        <v>46</v>
      </c>
      <c r="BM3" s="85" t="s">
        <v>46</v>
      </c>
      <c r="BN3" s="85" t="s">
        <v>46</v>
      </c>
      <c r="BO3" s="85" t="s">
        <v>46</v>
      </c>
      <c r="BP3" s="85" t="s">
        <v>46</v>
      </c>
      <c r="BQ3" s="85" t="s">
        <v>46</v>
      </c>
      <c r="BR3" s="85" t="s">
        <v>46</v>
      </c>
      <c r="BS3" s="85" t="s">
        <v>46</v>
      </c>
      <c r="BT3" s="85" t="s">
        <v>46</v>
      </c>
      <c r="BU3" s="85" t="s">
        <v>46</v>
      </c>
      <c r="BV3" s="85" t="s">
        <v>46</v>
      </c>
      <c r="BW3" s="85" t="s">
        <v>46</v>
      </c>
      <c r="BX3" s="85" t="s">
        <v>46</v>
      </c>
      <c r="BY3" s="85" t="s">
        <v>46</v>
      </c>
      <c r="BZ3" s="85" t="s">
        <v>46</v>
      </c>
      <c r="CB3" s="85">
        <v>5048000</v>
      </c>
      <c r="CC3" s="446" t="s">
        <v>46</v>
      </c>
      <c r="CI3" s="85" t="s">
        <v>54</v>
      </c>
    </row>
    <row r="4" spans="1:87" ht="14.45">
      <c r="A4" s="879"/>
      <c r="B4" s="829" t="s">
        <v>55</v>
      </c>
      <c r="C4" s="85" t="s">
        <v>56</v>
      </c>
      <c r="D4" s="85" t="s">
        <v>57</v>
      </c>
      <c r="E4" s="1" t="s">
        <v>58</v>
      </c>
      <c r="F4" s="1" t="s">
        <v>59</v>
      </c>
      <c r="G4" s="1" t="s">
        <v>60</v>
      </c>
      <c r="H4" s="1" t="s">
        <v>61</v>
      </c>
      <c r="I4" s="1" t="s">
        <v>62</v>
      </c>
      <c r="J4" s="1" t="s">
        <v>63</v>
      </c>
      <c r="K4" s="1" t="s">
        <v>64</v>
      </c>
      <c r="L4" s="1" t="s">
        <v>65</v>
      </c>
      <c r="M4" s="1" t="s">
        <v>66</v>
      </c>
      <c r="N4" s="29" t="s">
        <v>67</v>
      </c>
      <c r="O4" s="1" t="s">
        <v>68</v>
      </c>
      <c r="P4" s="1" t="s">
        <v>69</v>
      </c>
      <c r="Q4" s="29" t="s">
        <v>70</v>
      </c>
      <c r="R4" s="29" t="s">
        <v>71</v>
      </c>
      <c r="S4" s="1" t="s">
        <v>72</v>
      </c>
      <c r="T4" s="828" t="s">
        <v>73</v>
      </c>
      <c r="U4" s="1" t="s">
        <v>70</v>
      </c>
      <c r="V4" s="1" t="s">
        <v>74</v>
      </c>
      <c r="W4" s="29" t="s">
        <v>46</v>
      </c>
      <c r="X4" s="1" t="s">
        <v>75</v>
      </c>
      <c r="Y4" s="1" t="s">
        <v>68</v>
      </c>
      <c r="Z4" s="1" t="s">
        <v>69</v>
      </c>
      <c r="AA4" s="85" t="s">
        <v>73</v>
      </c>
      <c r="AB4" s="1" t="s">
        <v>45</v>
      </c>
      <c r="AC4" s="33" t="s">
        <v>70</v>
      </c>
      <c r="AD4" s="1" t="s">
        <v>76</v>
      </c>
      <c r="AE4" s="1" t="s">
        <v>47</v>
      </c>
      <c r="AF4" s="1" t="s">
        <v>77</v>
      </c>
      <c r="AG4" s="1" t="s">
        <v>78</v>
      </c>
      <c r="AH4" s="1" t="s">
        <v>70</v>
      </c>
      <c r="AI4" s="1" t="s">
        <v>79</v>
      </c>
      <c r="AJ4" s="1" t="s">
        <v>80</v>
      </c>
      <c r="AK4" s="1" t="s">
        <v>81</v>
      </c>
      <c r="AL4" s="1" t="s">
        <v>82</v>
      </c>
      <c r="AM4" s="85" t="s">
        <v>46</v>
      </c>
      <c r="AN4" s="1" t="s">
        <v>83</v>
      </c>
      <c r="AO4" s="1" t="s">
        <v>47</v>
      </c>
      <c r="AP4" s="1" t="s">
        <v>70</v>
      </c>
      <c r="AQ4" s="29" t="s">
        <v>84</v>
      </c>
      <c r="AR4" s="1" t="s">
        <v>85</v>
      </c>
      <c r="AS4" s="1" t="s">
        <v>86</v>
      </c>
      <c r="AT4" s="1" t="s">
        <v>87</v>
      </c>
      <c r="AU4" s="1" t="s">
        <v>88</v>
      </c>
      <c r="AV4" s="85" t="s">
        <v>46</v>
      </c>
      <c r="AW4" s="85" t="s">
        <v>46</v>
      </c>
      <c r="AX4" s="1" t="s">
        <v>89</v>
      </c>
      <c r="AY4" s="1" t="s">
        <v>72</v>
      </c>
      <c r="AZ4" s="1" t="s">
        <v>73</v>
      </c>
      <c r="BA4" s="1" t="s">
        <v>90</v>
      </c>
      <c r="BB4" s="1" t="s">
        <v>45</v>
      </c>
      <c r="BC4" s="1" t="s">
        <v>47</v>
      </c>
      <c r="BD4" s="1" t="s">
        <v>52</v>
      </c>
      <c r="BE4" s="1" t="s">
        <v>70</v>
      </c>
      <c r="BF4" s="85" t="s">
        <v>70</v>
      </c>
      <c r="BG4" s="85" t="s">
        <v>91</v>
      </c>
      <c r="BH4" s="85" t="s">
        <v>92</v>
      </c>
      <c r="BI4" s="85" t="s">
        <v>93</v>
      </c>
      <c r="BJ4" s="1" t="s">
        <v>94</v>
      </c>
      <c r="BK4" s="1" t="s">
        <v>95</v>
      </c>
      <c r="BL4" s="1" t="s">
        <v>47</v>
      </c>
      <c r="BM4" s="85" t="s">
        <v>48</v>
      </c>
      <c r="BN4" s="29" t="s">
        <v>49</v>
      </c>
      <c r="BO4" s="1" t="s">
        <v>96</v>
      </c>
      <c r="BP4" s="1" t="s">
        <v>52</v>
      </c>
      <c r="BQ4" s="1" t="s">
        <v>97</v>
      </c>
      <c r="BR4" s="85" t="s">
        <v>98</v>
      </c>
      <c r="BS4" s="85" t="s">
        <v>46</v>
      </c>
      <c r="BT4" s="85" t="s">
        <v>99</v>
      </c>
      <c r="BX4" s="446" t="s">
        <v>66</v>
      </c>
      <c r="BY4" s="85" t="s">
        <v>100</v>
      </c>
      <c r="BZ4" s="85" t="s">
        <v>101</v>
      </c>
      <c r="CA4" s="85" t="s">
        <v>102</v>
      </c>
      <c r="CB4" s="85" t="s">
        <v>103</v>
      </c>
    </row>
    <row r="5" spans="1:87">
      <c r="A5" s="879"/>
      <c r="B5" s="310" t="s">
        <v>104</v>
      </c>
      <c r="C5" s="597" t="s">
        <v>43</v>
      </c>
      <c r="D5" s="597" t="s">
        <v>57</v>
      </c>
      <c r="E5" s="51" t="s">
        <v>58</v>
      </c>
      <c r="F5" s="51" t="s">
        <v>59</v>
      </c>
      <c r="G5" s="51" t="s">
        <v>60</v>
      </c>
      <c r="H5" s="51" t="s">
        <v>61</v>
      </c>
      <c r="I5" s="51" t="s">
        <v>62</v>
      </c>
      <c r="J5" s="51" t="s">
        <v>63</v>
      </c>
      <c r="K5" s="51" t="s">
        <v>64</v>
      </c>
      <c r="L5" s="51" t="s">
        <v>65</v>
      </c>
      <c r="M5" s="51" t="s">
        <v>66</v>
      </c>
      <c r="N5" s="447" t="s">
        <v>67</v>
      </c>
      <c r="O5" s="51" t="s">
        <v>68</v>
      </c>
      <c r="P5" s="51" t="s">
        <v>69</v>
      </c>
      <c r="Q5" s="51" t="s">
        <v>105</v>
      </c>
      <c r="R5" s="447" t="s">
        <v>70</v>
      </c>
      <c r="S5" s="51" t="s">
        <v>106</v>
      </c>
      <c r="T5" s="51" t="s">
        <v>70</v>
      </c>
      <c r="U5" s="51" t="s">
        <v>107</v>
      </c>
      <c r="V5" s="597" t="s">
        <v>108</v>
      </c>
      <c r="W5" s="51" t="s">
        <v>68</v>
      </c>
      <c r="X5" s="51" t="s">
        <v>69</v>
      </c>
      <c r="Y5" s="85" t="s">
        <v>109</v>
      </c>
      <c r="Z5" s="51" t="s">
        <v>45</v>
      </c>
      <c r="AA5" s="51" t="s">
        <v>110</v>
      </c>
      <c r="AB5" s="51" t="s">
        <v>70</v>
      </c>
      <c r="AC5" s="51" t="s">
        <v>111</v>
      </c>
      <c r="AD5" s="85" t="s">
        <v>48</v>
      </c>
      <c r="AE5" s="51" t="s">
        <v>49</v>
      </c>
      <c r="AF5" s="51" t="s">
        <v>112</v>
      </c>
      <c r="AG5" s="51" t="s">
        <v>70</v>
      </c>
      <c r="AH5" s="51" t="s">
        <v>76</v>
      </c>
      <c r="AI5" s="51" t="s">
        <v>47</v>
      </c>
      <c r="AJ5" s="51" t="s">
        <v>77</v>
      </c>
      <c r="AK5" s="51" t="s">
        <v>78</v>
      </c>
      <c r="AL5" s="51" t="s">
        <v>70</v>
      </c>
      <c r="AM5" s="51" t="s">
        <v>113</v>
      </c>
      <c r="AN5" s="51" t="s">
        <v>47</v>
      </c>
      <c r="AO5" s="51" t="s">
        <v>70</v>
      </c>
      <c r="AP5" s="51" t="s">
        <v>114</v>
      </c>
      <c r="AQ5" s="51" t="s">
        <v>45</v>
      </c>
      <c r="AR5" s="51" t="s">
        <v>47</v>
      </c>
      <c r="AS5" s="51" t="s">
        <v>82</v>
      </c>
      <c r="AT5" s="51" t="s">
        <v>49</v>
      </c>
      <c r="AU5" s="51" t="s">
        <v>96</v>
      </c>
      <c r="AV5" s="51" t="s">
        <v>52</v>
      </c>
      <c r="AW5" s="51" t="s">
        <v>70</v>
      </c>
      <c r="AX5" s="51" t="s">
        <v>115</v>
      </c>
      <c r="AY5" s="51" t="s">
        <v>72</v>
      </c>
      <c r="AZ5" s="51" t="s">
        <v>73</v>
      </c>
      <c r="BA5" s="51" t="s">
        <v>45</v>
      </c>
      <c r="BB5" s="51" t="s">
        <v>47</v>
      </c>
      <c r="BC5" s="51" t="s">
        <v>48</v>
      </c>
      <c r="BD5" s="51" t="s">
        <v>49</v>
      </c>
      <c r="BE5" s="51" t="s">
        <v>116</v>
      </c>
      <c r="BF5" s="597" t="s">
        <v>70</v>
      </c>
      <c r="BG5" s="597" t="s">
        <v>70</v>
      </c>
      <c r="BH5" s="597" t="s">
        <v>70</v>
      </c>
      <c r="BI5" s="597" t="s">
        <v>70</v>
      </c>
      <c r="BJ5" s="597" t="s">
        <v>70</v>
      </c>
      <c r="BK5" s="597" t="s">
        <v>66</v>
      </c>
      <c r="BL5" s="597" t="s">
        <v>66</v>
      </c>
      <c r="BM5" s="597" t="s">
        <v>66</v>
      </c>
      <c r="BN5" s="597" t="s">
        <v>70</v>
      </c>
      <c r="BO5" s="597" t="s">
        <v>70</v>
      </c>
      <c r="BP5" s="597" t="s">
        <v>70</v>
      </c>
      <c r="BQ5" s="597" t="s">
        <v>70</v>
      </c>
      <c r="BR5" s="597" t="s">
        <v>70</v>
      </c>
      <c r="BS5" s="597" t="s">
        <v>70</v>
      </c>
      <c r="BT5" s="597" t="s">
        <v>70</v>
      </c>
      <c r="BU5" s="597" t="s">
        <v>70</v>
      </c>
      <c r="BV5" s="597" t="s">
        <v>70</v>
      </c>
      <c r="BW5" s="597" t="s">
        <v>70</v>
      </c>
      <c r="BX5" s="597" t="s">
        <v>46</v>
      </c>
      <c r="BY5" s="85" t="s">
        <v>100</v>
      </c>
      <c r="BZ5" s="597" t="s">
        <v>66</v>
      </c>
      <c r="CA5" s="597"/>
      <c r="CB5" s="597">
        <v>1932000</v>
      </c>
      <c r="CC5" s="448" t="s">
        <v>66</v>
      </c>
    </row>
    <row r="6" spans="1:87" ht="14.45">
      <c r="A6" s="880"/>
      <c r="B6" s="85" t="s">
        <v>42</v>
      </c>
      <c r="C6" s="85" t="s">
        <v>43</v>
      </c>
      <c r="D6" s="85" t="s">
        <v>117</v>
      </c>
      <c r="E6" s="11" t="s">
        <v>45</v>
      </c>
      <c r="F6" s="11" t="s">
        <v>46</v>
      </c>
      <c r="G6" s="11" t="s">
        <v>47</v>
      </c>
      <c r="H6" s="11" t="s">
        <v>46</v>
      </c>
      <c r="I6" s="11" t="s">
        <v>48</v>
      </c>
      <c r="J6" s="11" t="s">
        <v>46</v>
      </c>
      <c r="K6" s="11" t="s">
        <v>49</v>
      </c>
      <c r="L6" s="11" t="s">
        <v>46</v>
      </c>
      <c r="M6" s="11" t="s">
        <v>50</v>
      </c>
      <c r="N6" s="11" t="s">
        <v>46</v>
      </c>
      <c r="O6" s="11" t="s">
        <v>51</v>
      </c>
      <c r="P6" s="11" t="s">
        <v>46</v>
      </c>
      <c r="Q6" s="11" t="s">
        <v>52</v>
      </c>
      <c r="R6" s="11" t="s">
        <v>46</v>
      </c>
      <c r="S6" s="11" t="s">
        <v>53</v>
      </c>
      <c r="T6" s="11" t="s">
        <v>46</v>
      </c>
      <c r="U6" s="85" t="s">
        <v>46</v>
      </c>
      <c r="V6" s="11" t="s">
        <v>46</v>
      </c>
      <c r="W6" s="11" t="s">
        <v>46</v>
      </c>
      <c r="X6" s="11" t="s">
        <v>46</v>
      </c>
      <c r="Y6" s="11" t="s">
        <v>46</v>
      </c>
      <c r="Z6" s="85" t="s">
        <v>46</v>
      </c>
      <c r="AA6" s="828" t="s">
        <v>46</v>
      </c>
      <c r="AB6" s="85" t="s">
        <v>46</v>
      </c>
      <c r="AC6" s="85" t="s">
        <v>46</v>
      </c>
      <c r="AD6" s="85" t="s">
        <v>46</v>
      </c>
      <c r="AE6" s="85" t="s">
        <v>46</v>
      </c>
      <c r="AF6" s="85" t="s">
        <v>46</v>
      </c>
      <c r="AG6" s="85" t="s">
        <v>46</v>
      </c>
      <c r="AH6" s="85" t="s">
        <v>46</v>
      </c>
      <c r="AI6" s="85" t="s">
        <v>46</v>
      </c>
      <c r="AJ6" s="85" t="s">
        <v>46</v>
      </c>
      <c r="AK6" s="85" t="s">
        <v>46</v>
      </c>
      <c r="AL6" s="85" t="s">
        <v>46</v>
      </c>
      <c r="AM6" s="85" t="s">
        <v>46</v>
      </c>
      <c r="AN6" s="85" t="s">
        <v>46</v>
      </c>
      <c r="AO6" s="85" t="s">
        <v>46</v>
      </c>
      <c r="AP6" s="85" t="s">
        <v>46</v>
      </c>
      <c r="AQ6" s="85" t="s">
        <v>46</v>
      </c>
      <c r="AR6" s="85" t="s">
        <v>46</v>
      </c>
      <c r="AS6" s="85" t="s">
        <v>46</v>
      </c>
      <c r="AT6" s="85" t="s">
        <v>46</v>
      </c>
      <c r="AU6" s="85" t="s">
        <v>46</v>
      </c>
      <c r="AV6" s="85" t="s">
        <v>46</v>
      </c>
      <c r="AW6" s="85" t="s">
        <v>46</v>
      </c>
      <c r="AX6" s="85" t="s">
        <v>46</v>
      </c>
      <c r="AY6" s="85" t="s">
        <v>46</v>
      </c>
      <c r="AZ6" s="85" t="s">
        <v>46</v>
      </c>
      <c r="BA6" s="85" t="s">
        <v>46</v>
      </c>
      <c r="BB6" s="85" t="s">
        <v>46</v>
      </c>
      <c r="BC6" s="85" t="s">
        <v>46</v>
      </c>
      <c r="BD6" s="85" t="s">
        <v>46</v>
      </c>
      <c r="BE6" s="85" t="s">
        <v>46</v>
      </c>
      <c r="BF6" s="85" t="s">
        <v>46</v>
      </c>
      <c r="BG6" s="85" t="s">
        <v>46</v>
      </c>
      <c r="BH6" s="85" t="s">
        <v>46</v>
      </c>
      <c r="BI6" s="85" t="s">
        <v>46</v>
      </c>
      <c r="BJ6" s="85" t="s">
        <v>46</v>
      </c>
      <c r="BK6" s="85" t="s">
        <v>46</v>
      </c>
      <c r="BL6" s="85" t="s">
        <v>46</v>
      </c>
      <c r="BM6" s="85" t="s">
        <v>46</v>
      </c>
      <c r="BN6" s="85" t="s">
        <v>46</v>
      </c>
      <c r="BO6" s="85" t="s">
        <v>46</v>
      </c>
      <c r="BP6" s="85" t="s">
        <v>46</v>
      </c>
      <c r="BQ6" s="85" t="s">
        <v>46</v>
      </c>
      <c r="BR6" s="85" t="s">
        <v>46</v>
      </c>
      <c r="BS6" s="85" t="s">
        <v>46</v>
      </c>
      <c r="BT6" s="85" t="s">
        <v>46</v>
      </c>
      <c r="BU6" s="85" t="s">
        <v>46</v>
      </c>
      <c r="BV6" s="85" t="s">
        <v>46</v>
      </c>
      <c r="BW6" s="85" t="s">
        <v>46</v>
      </c>
      <c r="BX6" s="85" t="s">
        <v>46</v>
      </c>
      <c r="BY6" s="85" t="s">
        <v>46</v>
      </c>
      <c r="BZ6" s="85" t="s">
        <v>46</v>
      </c>
      <c r="CB6" s="85">
        <v>5048000</v>
      </c>
      <c r="CC6" s="446" t="s">
        <v>46</v>
      </c>
    </row>
    <row r="7" spans="1:87" ht="14.45">
      <c r="A7" s="880"/>
      <c r="B7" s="829" t="s">
        <v>118</v>
      </c>
      <c r="C7" s="85" t="s">
        <v>56</v>
      </c>
      <c r="D7" s="597" t="s">
        <v>119</v>
      </c>
      <c r="E7" s="1" t="s">
        <v>58</v>
      </c>
      <c r="F7" s="1" t="s">
        <v>59</v>
      </c>
      <c r="G7" s="1" t="s">
        <v>60</v>
      </c>
      <c r="H7" s="1" t="s">
        <v>61</v>
      </c>
      <c r="I7" s="1" t="s">
        <v>62</v>
      </c>
      <c r="J7" s="1" t="s">
        <v>63</v>
      </c>
      <c r="K7" s="1" t="s">
        <v>64</v>
      </c>
      <c r="L7" s="1" t="s">
        <v>65</v>
      </c>
      <c r="M7" s="1" t="s">
        <v>66</v>
      </c>
      <c r="N7" s="29" t="s">
        <v>67</v>
      </c>
      <c r="O7" s="1" t="s">
        <v>68</v>
      </c>
      <c r="P7" s="1" t="s">
        <v>69</v>
      </c>
      <c r="Q7" s="29" t="s">
        <v>70</v>
      </c>
      <c r="R7" s="29" t="s">
        <v>71</v>
      </c>
      <c r="S7" s="1" t="s">
        <v>72</v>
      </c>
      <c r="T7" s="828" t="s">
        <v>73</v>
      </c>
      <c r="U7" s="1" t="s">
        <v>70</v>
      </c>
      <c r="V7" s="1" t="s">
        <v>74</v>
      </c>
      <c r="W7" s="29" t="s">
        <v>46</v>
      </c>
      <c r="X7" s="1" t="s">
        <v>75</v>
      </c>
      <c r="Y7" s="1" t="s">
        <v>68</v>
      </c>
      <c r="Z7" s="1" t="s">
        <v>69</v>
      </c>
      <c r="AA7" s="85" t="s">
        <v>73</v>
      </c>
      <c r="AB7" s="1" t="s">
        <v>45</v>
      </c>
      <c r="AC7" s="33" t="s">
        <v>70</v>
      </c>
      <c r="AD7" s="1" t="s">
        <v>76</v>
      </c>
      <c r="AE7" s="1" t="s">
        <v>47</v>
      </c>
      <c r="AF7" s="1" t="s">
        <v>77</v>
      </c>
      <c r="AG7" s="1" t="s">
        <v>78</v>
      </c>
      <c r="AH7" s="1" t="s">
        <v>70</v>
      </c>
      <c r="AI7" s="1" t="s">
        <v>79</v>
      </c>
      <c r="AJ7" s="1" t="s">
        <v>80</v>
      </c>
      <c r="AK7" s="1" t="s">
        <v>81</v>
      </c>
      <c r="AL7" s="1" t="s">
        <v>82</v>
      </c>
      <c r="AM7" s="85" t="s">
        <v>46</v>
      </c>
      <c r="AN7" s="1" t="s">
        <v>83</v>
      </c>
      <c r="AO7" s="1" t="s">
        <v>47</v>
      </c>
      <c r="AP7" s="1" t="s">
        <v>70</v>
      </c>
      <c r="AQ7" s="29" t="s">
        <v>84</v>
      </c>
      <c r="AR7" s="1" t="s">
        <v>85</v>
      </c>
      <c r="AS7" s="1" t="s">
        <v>86</v>
      </c>
      <c r="AT7" s="1" t="s">
        <v>87</v>
      </c>
      <c r="AU7" s="1" t="s">
        <v>88</v>
      </c>
      <c r="AV7" s="85" t="s">
        <v>46</v>
      </c>
      <c r="AW7" s="85" t="s">
        <v>46</v>
      </c>
      <c r="AX7" s="1" t="s">
        <v>89</v>
      </c>
      <c r="AY7" s="1" t="s">
        <v>72</v>
      </c>
      <c r="AZ7" s="1" t="s">
        <v>73</v>
      </c>
      <c r="BA7" s="1" t="s">
        <v>90</v>
      </c>
      <c r="BB7" s="1" t="s">
        <v>45</v>
      </c>
      <c r="BC7" s="1" t="s">
        <v>47</v>
      </c>
      <c r="BD7" s="1" t="s">
        <v>52</v>
      </c>
      <c r="BE7" s="1" t="s">
        <v>70</v>
      </c>
      <c r="BF7" s="85" t="s">
        <v>70</v>
      </c>
      <c r="BG7" s="85" t="s">
        <v>91</v>
      </c>
      <c r="BH7" s="85" t="s">
        <v>92</v>
      </c>
      <c r="BI7" s="85" t="s">
        <v>93</v>
      </c>
      <c r="BJ7" s="1" t="s">
        <v>94</v>
      </c>
      <c r="BK7" s="1" t="s">
        <v>95</v>
      </c>
      <c r="BL7" s="1" t="s">
        <v>47</v>
      </c>
      <c r="BM7" s="85" t="s">
        <v>48</v>
      </c>
      <c r="BN7" s="29" t="s">
        <v>49</v>
      </c>
      <c r="BO7" s="1" t="s">
        <v>96</v>
      </c>
      <c r="BP7" s="1" t="s">
        <v>52</v>
      </c>
      <c r="BQ7" s="1" t="s">
        <v>97</v>
      </c>
      <c r="BR7" s="85" t="s">
        <v>98</v>
      </c>
      <c r="BS7" s="85" t="s">
        <v>46</v>
      </c>
      <c r="BT7" s="85" t="s">
        <v>99</v>
      </c>
      <c r="BX7" s="446" t="s">
        <v>66</v>
      </c>
      <c r="BY7" s="85" t="s">
        <v>100</v>
      </c>
      <c r="BZ7" s="85" t="s">
        <v>101</v>
      </c>
      <c r="CA7" s="85" t="s">
        <v>102</v>
      </c>
      <c r="CB7" s="85" t="s">
        <v>103</v>
      </c>
      <c r="CC7" s="446" t="s">
        <v>66</v>
      </c>
    </row>
    <row r="8" spans="1:87">
      <c r="A8" s="880"/>
      <c r="B8" s="310" t="s">
        <v>120</v>
      </c>
      <c r="C8" s="597" t="s">
        <v>43</v>
      </c>
      <c r="D8" s="597" t="s">
        <v>119</v>
      </c>
      <c r="E8" s="51" t="s">
        <v>58</v>
      </c>
      <c r="F8" s="51" t="s">
        <v>59</v>
      </c>
      <c r="G8" s="51" t="s">
        <v>60</v>
      </c>
      <c r="H8" s="51" t="s">
        <v>61</v>
      </c>
      <c r="I8" s="51" t="s">
        <v>62</v>
      </c>
      <c r="J8" s="51" t="s">
        <v>63</v>
      </c>
      <c r="K8" s="51" t="s">
        <v>64</v>
      </c>
      <c r="L8" s="51" t="s">
        <v>65</v>
      </c>
      <c r="M8" s="51" t="s">
        <v>66</v>
      </c>
      <c r="N8" s="447" t="s">
        <v>67</v>
      </c>
      <c r="O8" s="51" t="s">
        <v>68</v>
      </c>
      <c r="P8" s="51" t="s">
        <v>69</v>
      </c>
      <c r="Q8" s="51" t="s">
        <v>105</v>
      </c>
      <c r="R8" s="447" t="s">
        <v>70</v>
      </c>
      <c r="S8" s="51" t="s">
        <v>106</v>
      </c>
      <c r="T8" s="51" t="s">
        <v>70</v>
      </c>
      <c r="U8" s="51" t="s">
        <v>107</v>
      </c>
      <c r="V8" s="597" t="s">
        <v>108</v>
      </c>
      <c r="W8" s="51" t="s">
        <v>68</v>
      </c>
      <c r="X8" s="51" t="s">
        <v>69</v>
      </c>
      <c r="Y8" s="85" t="s">
        <v>109</v>
      </c>
      <c r="Z8" s="51" t="s">
        <v>45</v>
      </c>
      <c r="AA8" s="51" t="s">
        <v>110</v>
      </c>
      <c r="AB8" s="51" t="s">
        <v>70</v>
      </c>
      <c r="AC8" s="51" t="s">
        <v>111</v>
      </c>
      <c r="AD8" s="85" t="s">
        <v>48</v>
      </c>
      <c r="AE8" s="51" t="s">
        <v>49</v>
      </c>
      <c r="AF8" s="51" t="s">
        <v>112</v>
      </c>
      <c r="AG8" s="51" t="s">
        <v>70</v>
      </c>
      <c r="AH8" s="51" t="s">
        <v>76</v>
      </c>
      <c r="AI8" s="51" t="s">
        <v>47</v>
      </c>
      <c r="AJ8" s="51" t="s">
        <v>77</v>
      </c>
      <c r="AK8" s="51" t="s">
        <v>78</v>
      </c>
      <c r="AL8" s="51" t="s">
        <v>70</v>
      </c>
      <c r="AM8" s="51" t="s">
        <v>113</v>
      </c>
      <c r="AN8" s="51" t="s">
        <v>47</v>
      </c>
      <c r="AO8" s="51" t="s">
        <v>70</v>
      </c>
      <c r="AP8" s="51" t="s">
        <v>114</v>
      </c>
      <c r="AQ8" s="51" t="s">
        <v>45</v>
      </c>
      <c r="AR8" s="51" t="s">
        <v>47</v>
      </c>
      <c r="AS8" s="51" t="s">
        <v>82</v>
      </c>
      <c r="AT8" s="51" t="s">
        <v>49</v>
      </c>
      <c r="AU8" s="51" t="s">
        <v>96</v>
      </c>
      <c r="AV8" s="51" t="s">
        <v>52</v>
      </c>
      <c r="AW8" s="51" t="s">
        <v>70</v>
      </c>
      <c r="AX8" s="51" t="s">
        <v>115</v>
      </c>
      <c r="AY8" s="51" t="s">
        <v>72</v>
      </c>
      <c r="AZ8" s="51" t="s">
        <v>73</v>
      </c>
      <c r="BA8" s="51" t="s">
        <v>45</v>
      </c>
      <c r="BB8" s="51" t="s">
        <v>47</v>
      </c>
      <c r="BC8" s="51" t="s">
        <v>48</v>
      </c>
      <c r="BD8" s="51" t="s">
        <v>49</v>
      </c>
      <c r="BE8" s="51" t="s">
        <v>116</v>
      </c>
      <c r="BF8" s="597" t="s">
        <v>70</v>
      </c>
      <c r="BG8" s="597" t="s">
        <v>70</v>
      </c>
      <c r="BH8" s="597" t="s">
        <v>70</v>
      </c>
      <c r="BI8" s="597" t="s">
        <v>70</v>
      </c>
      <c r="BJ8" s="597" t="s">
        <v>70</v>
      </c>
      <c r="BK8" s="597" t="s">
        <v>66</v>
      </c>
      <c r="BL8" s="597" t="s">
        <v>66</v>
      </c>
      <c r="BM8" s="597" t="s">
        <v>66</v>
      </c>
      <c r="BN8" s="597" t="s">
        <v>70</v>
      </c>
      <c r="BO8" s="597" t="s">
        <v>70</v>
      </c>
      <c r="BP8" s="597" t="s">
        <v>70</v>
      </c>
      <c r="BQ8" s="597" t="s">
        <v>70</v>
      </c>
      <c r="BR8" s="597" t="s">
        <v>70</v>
      </c>
      <c r="BS8" s="597" t="s">
        <v>70</v>
      </c>
      <c r="BT8" s="597" t="s">
        <v>70</v>
      </c>
      <c r="BU8" s="597" t="s">
        <v>70</v>
      </c>
      <c r="BV8" s="597" t="s">
        <v>70</v>
      </c>
      <c r="BW8" s="597" t="s">
        <v>70</v>
      </c>
      <c r="BX8" s="597" t="s">
        <v>46</v>
      </c>
      <c r="BY8" s="85" t="s">
        <v>100</v>
      </c>
      <c r="BZ8" s="597" t="s">
        <v>66</v>
      </c>
      <c r="CA8" s="597"/>
      <c r="CB8" s="597">
        <v>1932000</v>
      </c>
      <c r="CC8" s="448" t="s">
        <v>66</v>
      </c>
    </row>
    <row r="9" spans="1:87">
      <c r="B9" s="85" t="s">
        <v>121</v>
      </c>
    </row>
  </sheetData>
  <mergeCells count="2">
    <mergeCell ref="A3:A5"/>
    <mergeCell ref="A6:A8"/>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T50"/>
  <sheetViews>
    <sheetView view="pageBreakPreview" zoomScaleNormal="100" zoomScaleSheetLayoutView="100" workbookViewId="0"/>
  </sheetViews>
  <sheetFormatPr defaultRowHeight="13.15"/>
  <cols>
    <col min="1" max="17" width="4.125" style="146" customWidth="1"/>
    <col min="18" max="20" width="4.75" style="146" customWidth="1"/>
    <col min="21" max="256" width="9" style="146"/>
    <col min="257" max="273" width="4.125" style="146" customWidth="1"/>
    <col min="274" max="276" width="4.75" style="146" customWidth="1"/>
    <col min="277" max="512" width="9" style="146"/>
    <col min="513" max="529" width="4.125" style="146" customWidth="1"/>
    <col min="530" max="532" width="4.75" style="146" customWidth="1"/>
    <col min="533" max="768" width="9" style="146"/>
    <col min="769" max="785" width="4.125" style="146" customWidth="1"/>
    <col min="786" max="788" width="4.75" style="146" customWidth="1"/>
    <col min="789" max="1024" width="9" style="146"/>
    <col min="1025" max="1041" width="4.125" style="146" customWidth="1"/>
    <col min="1042" max="1044" width="4.75" style="146" customWidth="1"/>
    <col min="1045" max="1280" width="9" style="146"/>
    <col min="1281" max="1297" width="4.125" style="146" customWidth="1"/>
    <col min="1298" max="1300" width="4.75" style="146" customWidth="1"/>
    <col min="1301" max="1536" width="9" style="146"/>
    <col min="1537" max="1553" width="4.125" style="146" customWidth="1"/>
    <col min="1554" max="1556" width="4.75" style="146" customWidth="1"/>
    <col min="1557" max="1792" width="9" style="146"/>
    <col min="1793" max="1809" width="4.125" style="146" customWidth="1"/>
    <col min="1810" max="1812" width="4.75" style="146" customWidth="1"/>
    <col min="1813" max="2048" width="9" style="146"/>
    <col min="2049" max="2065" width="4.125" style="146" customWidth="1"/>
    <col min="2066" max="2068" width="4.75" style="146" customWidth="1"/>
    <col min="2069" max="2304" width="9" style="146"/>
    <col min="2305" max="2321" width="4.125" style="146" customWidth="1"/>
    <col min="2322" max="2324" width="4.75" style="146" customWidth="1"/>
    <col min="2325" max="2560" width="9" style="146"/>
    <col min="2561" max="2577" width="4.125" style="146" customWidth="1"/>
    <col min="2578" max="2580" width="4.75" style="146" customWidth="1"/>
    <col min="2581" max="2816" width="9" style="146"/>
    <col min="2817" max="2833" width="4.125" style="146" customWidth="1"/>
    <col min="2834" max="2836" width="4.75" style="146" customWidth="1"/>
    <col min="2837" max="3072" width="9" style="146"/>
    <col min="3073" max="3089" width="4.125" style="146" customWidth="1"/>
    <col min="3090" max="3092" width="4.75" style="146" customWidth="1"/>
    <col min="3093" max="3328" width="9" style="146"/>
    <col min="3329" max="3345" width="4.125" style="146" customWidth="1"/>
    <col min="3346" max="3348" width="4.75" style="146" customWidth="1"/>
    <col min="3349" max="3584" width="9" style="146"/>
    <col min="3585" max="3601" width="4.125" style="146" customWidth="1"/>
    <col min="3602" max="3604" width="4.75" style="146" customWidth="1"/>
    <col min="3605" max="3840" width="9" style="146"/>
    <col min="3841" max="3857" width="4.125" style="146" customWidth="1"/>
    <col min="3858" max="3860" width="4.75" style="146" customWidth="1"/>
    <col min="3861" max="4096" width="9" style="146"/>
    <col min="4097" max="4113" width="4.125" style="146" customWidth="1"/>
    <col min="4114" max="4116" width="4.75" style="146" customWidth="1"/>
    <col min="4117" max="4352" width="9" style="146"/>
    <col min="4353" max="4369" width="4.125" style="146" customWidth="1"/>
    <col min="4370" max="4372" width="4.75" style="146" customWidth="1"/>
    <col min="4373" max="4608" width="9" style="146"/>
    <col min="4609" max="4625" width="4.125" style="146" customWidth="1"/>
    <col min="4626" max="4628" width="4.75" style="146" customWidth="1"/>
    <col min="4629" max="4864" width="9" style="146"/>
    <col min="4865" max="4881" width="4.125" style="146" customWidth="1"/>
    <col min="4882" max="4884" width="4.75" style="146" customWidth="1"/>
    <col min="4885" max="5120" width="9" style="146"/>
    <col min="5121" max="5137" width="4.125" style="146" customWidth="1"/>
    <col min="5138" max="5140" width="4.75" style="146" customWidth="1"/>
    <col min="5141" max="5376" width="9" style="146"/>
    <col min="5377" max="5393" width="4.125" style="146" customWidth="1"/>
    <col min="5394" max="5396" width="4.75" style="146" customWidth="1"/>
    <col min="5397" max="5632" width="9" style="146"/>
    <col min="5633" max="5649" width="4.125" style="146" customWidth="1"/>
    <col min="5650" max="5652" width="4.75" style="146" customWidth="1"/>
    <col min="5653" max="5888" width="9" style="146"/>
    <col min="5889" max="5905" width="4.125" style="146" customWidth="1"/>
    <col min="5906" max="5908" width="4.75" style="146" customWidth="1"/>
    <col min="5909" max="6144" width="9" style="146"/>
    <col min="6145" max="6161" width="4.125" style="146" customWidth="1"/>
    <col min="6162" max="6164" width="4.75" style="146" customWidth="1"/>
    <col min="6165" max="6400" width="9" style="146"/>
    <col min="6401" max="6417" width="4.125" style="146" customWidth="1"/>
    <col min="6418" max="6420" width="4.75" style="146" customWidth="1"/>
    <col min="6421" max="6656" width="9" style="146"/>
    <col min="6657" max="6673" width="4.125" style="146" customWidth="1"/>
    <col min="6674" max="6676" width="4.75" style="146" customWidth="1"/>
    <col min="6677" max="6912" width="9" style="146"/>
    <col min="6913" max="6929" width="4.125" style="146" customWidth="1"/>
    <col min="6930" max="6932" width="4.75" style="146" customWidth="1"/>
    <col min="6933" max="7168" width="9" style="146"/>
    <col min="7169" max="7185" width="4.125" style="146" customWidth="1"/>
    <col min="7186" max="7188" width="4.75" style="146" customWidth="1"/>
    <col min="7189" max="7424" width="9" style="146"/>
    <col min="7425" max="7441" width="4.125" style="146" customWidth="1"/>
    <col min="7442" max="7444" width="4.75" style="146" customWidth="1"/>
    <col min="7445" max="7680" width="9" style="146"/>
    <col min="7681" max="7697" width="4.125" style="146" customWidth="1"/>
    <col min="7698" max="7700" width="4.75" style="146" customWidth="1"/>
    <col min="7701" max="7936" width="9" style="146"/>
    <col min="7937" max="7953" width="4.125" style="146" customWidth="1"/>
    <col min="7954" max="7956" width="4.75" style="146" customWidth="1"/>
    <col min="7957" max="8192" width="9" style="146"/>
    <col min="8193" max="8209" width="4.125" style="146" customWidth="1"/>
    <col min="8210" max="8212" width="4.75" style="146" customWidth="1"/>
    <col min="8213" max="8448" width="9" style="146"/>
    <col min="8449" max="8465" width="4.125" style="146" customWidth="1"/>
    <col min="8466" max="8468" width="4.75" style="146" customWidth="1"/>
    <col min="8469" max="8704" width="9" style="146"/>
    <col min="8705" max="8721" width="4.125" style="146" customWidth="1"/>
    <col min="8722" max="8724" width="4.75" style="146" customWidth="1"/>
    <col min="8725" max="8960" width="9" style="146"/>
    <col min="8961" max="8977" width="4.125" style="146" customWidth="1"/>
    <col min="8978" max="8980" width="4.75" style="146" customWidth="1"/>
    <col min="8981" max="9216" width="9" style="146"/>
    <col min="9217" max="9233" width="4.125" style="146" customWidth="1"/>
    <col min="9234" max="9236" width="4.75" style="146" customWidth="1"/>
    <col min="9237" max="9472" width="9" style="146"/>
    <col min="9473" max="9489" width="4.125" style="146" customWidth="1"/>
    <col min="9490" max="9492" width="4.75" style="146" customWidth="1"/>
    <col min="9493" max="9728" width="9" style="146"/>
    <col min="9729" max="9745" width="4.125" style="146" customWidth="1"/>
    <col min="9746" max="9748" width="4.75" style="146" customWidth="1"/>
    <col min="9749" max="9984" width="9" style="146"/>
    <col min="9985" max="10001" width="4.125" style="146" customWidth="1"/>
    <col min="10002" max="10004" width="4.75" style="146" customWidth="1"/>
    <col min="10005" max="10240" width="9" style="146"/>
    <col min="10241" max="10257" width="4.125" style="146" customWidth="1"/>
    <col min="10258" max="10260" width="4.75" style="146" customWidth="1"/>
    <col min="10261" max="10496" width="9" style="146"/>
    <col min="10497" max="10513" width="4.125" style="146" customWidth="1"/>
    <col min="10514" max="10516" width="4.75" style="146" customWidth="1"/>
    <col min="10517" max="10752" width="9" style="146"/>
    <col min="10753" max="10769" width="4.125" style="146" customWidth="1"/>
    <col min="10770" max="10772" width="4.75" style="146" customWidth="1"/>
    <col min="10773" max="11008" width="9" style="146"/>
    <col min="11009" max="11025" width="4.125" style="146" customWidth="1"/>
    <col min="11026" max="11028" width="4.75" style="146" customWidth="1"/>
    <col min="11029" max="11264" width="9" style="146"/>
    <col min="11265" max="11281" width="4.125" style="146" customWidth="1"/>
    <col min="11282" max="11284" width="4.75" style="146" customWidth="1"/>
    <col min="11285" max="11520" width="9" style="146"/>
    <col min="11521" max="11537" width="4.125" style="146" customWidth="1"/>
    <col min="11538" max="11540" width="4.75" style="146" customWidth="1"/>
    <col min="11541" max="11776" width="9" style="146"/>
    <col min="11777" max="11793" width="4.125" style="146" customWidth="1"/>
    <col min="11794" max="11796" width="4.75" style="146" customWidth="1"/>
    <col min="11797" max="12032" width="9" style="146"/>
    <col min="12033" max="12049" width="4.125" style="146" customWidth="1"/>
    <col min="12050" max="12052" width="4.75" style="146" customWidth="1"/>
    <col min="12053" max="12288" width="9" style="146"/>
    <col min="12289" max="12305" width="4.125" style="146" customWidth="1"/>
    <col min="12306" max="12308" width="4.75" style="146" customWidth="1"/>
    <col min="12309" max="12544" width="9" style="146"/>
    <col min="12545" max="12561" width="4.125" style="146" customWidth="1"/>
    <col min="12562" max="12564" width="4.75" style="146" customWidth="1"/>
    <col min="12565" max="12800" width="9" style="146"/>
    <col min="12801" max="12817" width="4.125" style="146" customWidth="1"/>
    <col min="12818" max="12820" width="4.75" style="146" customWidth="1"/>
    <col min="12821" max="13056" width="9" style="146"/>
    <col min="13057" max="13073" width="4.125" style="146" customWidth="1"/>
    <col min="13074" max="13076" width="4.75" style="146" customWidth="1"/>
    <col min="13077" max="13312" width="9" style="146"/>
    <col min="13313" max="13329" width="4.125" style="146" customWidth="1"/>
    <col min="13330" max="13332" width="4.75" style="146" customWidth="1"/>
    <col min="13333" max="13568" width="9" style="146"/>
    <col min="13569" max="13585" width="4.125" style="146" customWidth="1"/>
    <col min="13586" max="13588" width="4.75" style="146" customWidth="1"/>
    <col min="13589" max="13824" width="9" style="146"/>
    <col min="13825" max="13841" width="4.125" style="146" customWidth="1"/>
    <col min="13842" max="13844" width="4.75" style="146" customWidth="1"/>
    <col min="13845" max="14080" width="9" style="146"/>
    <col min="14081" max="14097" width="4.125" style="146" customWidth="1"/>
    <col min="14098" max="14100" width="4.75" style="146" customWidth="1"/>
    <col min="14101" max="14336" width="9" style="146"/>
    <col min="14337" max="14353" width="4.125" style="146" customWidth="1"/>
    <col min="14354" max="14356" width="4.75" style="146" customWidth="1"/>
    <col min="14357" max="14592" width="9" style="146"/>
    <col min="14593" max="14609" width="4.125" style="146" customWidth="1"/>
    <col min="14610" max="14612" width="4.75" style="146" customWidth="1"/>
    <col min="14613" max="14848" width="9" style="146"/>
    <col min="14849" max="14865" width="4.125" style="146" customWidth="1"/>
    <col min="14866" max="14868" width="4.75" style="146" customWidth="1"/>
    <col min="14869" max="15104" width="9" style="146"/>
    <col min="15105" max="15121" width="4.125" style="146" customWidth="1"/>
    <col min="15122" max="15124" width="4.75" style="146" customWidth="1"/>
    <col min="15125" max="15360" width="9" style="146"/>
    <col min="15361" max="15377" width="4.125" style="146" customWidth="1"/>
    <col min="15378" max="15380" width="4.75" style="146" customWidth="1"/>
    <col min="15381" max="15616" width="9" style="146"/>
    <col min="15617" max="15633" width="4.125" style="146" customWidth="1"/>
    <col min="15634" max="15636" width="4.75" style="146" customWidth="1"/>
    <col min="15637" max="15872" width="9" style="146"/>
    <col min="15873" max="15889" width="4.125" style="146" customWidth="1"/>
    <col min="15890" max="15892" width="4.75" style="146" customWidth="1"/>
    <col min="15893" max="16128" width="9" style="146"/>
    <col min="16129" max="16145" width="4.125" style="146" customWidth="1"/>
    <col min="16146" max="16148" width="4.75" style="146" customWidth="1"/>
    <col min="16149" max="16384" width="9" style="146"/>
  </cols>
  <sheetData>
    <row r="1" spans="1:20" ht="14.45">
      <c r="A1" s="148" t="s">
        <v>700</v>
      </c>
      <c r="B1" s="307"/>
    </row>
    <row r="2" spans="1:20">
      <c r="A2" s="148"/>
    </row>
    <row r="3" spans="1:20">
      <c r="T3" s="264" t="s">
        <v>673</v>
      </c>
    </row>
    <row r="4" spans="1:20">
      <c r="T4" s="264" t="s">
        <v>674</v>
      </c>
    </row>
    <row r="7" spans="1:20">
      <c r="A7" s="148" t="s">
        <v>701</v>
      </c>
    </row>
    <row r="10" spans="1:20">
      <c r="N10" s="148" t="s">
        <v>679</v>
      </c>
    </row>
    <row r="11" spans="1:20">
      <c r="N11" s="148" t="s">
        <v>681</v>
      </c>
    </row>
    <row r="12" spans="1:20">
      <c r="N12" s="148" t="s">
        <v>702</v>
      </c>
    </row>
    <row r="17" spans="1:20">
      <c r="A17" s="1383" t="s">
        <v>683</v>
      </c>
      <c r="B17" s="1383"/>
      <c r="C17" s="1383"/>
      <c r="D17" s="1383"/>
      <c r="E17" s="1383"/>
      <c r="F17" s="1383"/>
      <c r="G17" s="1383"/>
      <c r="H17" s="1383"/>
      <c r="I17" s="1383"/>
      <c r="J17" s="1383"/>
      <c r="K17" s="1383"/>
      <c r="L17" s="1383"/>
      <c r="M17" s="1383"/>
      <c r="N17" s="1383"/>
      <c r="O17" s="1383"/>
      <c r="P17" s="1383"/>
      <c r="Q17" s="1383"/>
      <c r="R17" s="1383"/>
      <c r="S17" s="1383"/>
      <c r="T17" s="1383"/>
    </row>
    <row r="23" spans="1:20">
      <c r="B23" s="1384" t="s">
        <v>703</v>
      </c>
      <c r="C23" s="1384"/>
      <c r="D23" s="1384"/>
      <c r="E23" s="1384"/>
      <c r="F23" s="1384"/>
      <c r="G23" s="1384"/>
      <c r="H23" s="1384"/>
      <c r="I23" s="1384"/>
      <c r="J23" s="1384"/>
      <c r="K23" s="1384"/>
      <c r="L23" s="1384"/>
      <c r="M23" s="146" t="s">
        <v>685</v>
      </c>
    </row>
    <row r="24" spans="1:20">
      <c r="B24" s="147" t="s">
        <v>704</v>
      </c>
      <c r="C24" s="147"/>
      <c r="D24" s="147"/>
      <c r="E24" s="147"/>
      <c r="F24" s="147"/>
      <c r="G24" s="147"/>
      <c r="H24" s="147"/>
      <c r="I24" s="147"/>
      <c r="J24" s="147"/>
      <c r="K24" s="147"/>
      <c r="L24" s="147"/>
      <c r="M24" s="147"/>
      <c r="N24" s="147"/>
      <c r="O24" s="147"/>
      <c r="P24" s="147"/>
    </row>
    <row r="25" spans="1:20">
      <c r="B25" s="1381" t="s">
        <v>686</v>
      </c>
      <c r="C25" s="1381"/>
      <c r="D25" s="1381"/>
      <c r="E25" s="1381"/>
      <c r="F25" s="1381"/>
      <c r="G25" s="1381"/>
      <c r="H25" s="1381"/>
      <c r="I25" s="1381"/>
      <c r="J25" s="1381"/>
      <c r="K25" s="1381"/>
      <c r="L25" s="1381"/>
      <c r="M25" s="1381"/>
      <c r="N25" s="1381"/>
      <c r="O25" s="1381"/>
      <c r="P25" s="1381"/>
      <c r="Q25" s="1381"/>
      <c r="R25" s="1381"/>
    </row>
    <row r="26" spans="1:20">
      <c r="B26" s="148"/>
    </row>
    <row r="29" spans="1:20">
      <c r="B29" s="148" t="s">
        <v>705</v>
      </c>
    </row>
    <row r="30" spans="1:20">
      <c r="B30" s="148" t="s">
        <v>147</v>
      </c>
      <c r="C30" s="146" t="s">
        <v>706</v>
      </c>
    </row>
    <row r="31" spans="1:20">
      <c r="B31" s="148"/>
    </row>
    <row r="32" spans="1:20">
      <c r="B32" s="148"/>
    </row>
    <row r="33" spans="2:19">
      <c r="B33" s="148"/>
      <c r="O33" s="265" t="s">
        <v>689</v>
      </c>
      <c r="P33" s="1385"/>
      <c r="Q33" s="1385"/>
      <c r="R33" s="1385"/>
      <c r="S33" s="146" t="s">
        <v>690</v>
      </c>
    </row>
    <row r="36" spans="2:19">
      <c r="B36" s="148" t="s">
        <v>707</v>
      </c>
    </row>
    <row r="37" spans="2:19">
      <c r="B37" s="148"/>
      <c r="C37" s="146" t="s">
        <v>708</v>
      </c>
    </row>
    <row r="38" spans="2:19">
      <c r="B38" s="148"/>
    </row>
    <row r="39" spans="2:19">
      <c r="B39" s="148"/>
    </row>
    <row r="40" spans="2:19">
      <c r="O40" s="265" t="s">
        <v>689</v>
      </c>
      <c r="P40" s="1385"/>
      <c r="Q40" s="1385"/>
      <c r="R40" s="1385"/>
      <c r="S40" s="266" t="s">
        <v>690</v>
      </c>
    </row>
    <row r="43" spans="2:19">
      <c r="B43" s="148"/>
    </row>
    <row r="44" spans="2:19">
      <c r="B44" s="149" t="s">
        <v>709</v>
      </c>
    </row>
    <row r="45" spans="2:19">
      <c r="B45" s="149" t="s">
        <v>710</v>
      </c>
    </row>
    <row r="46" spans="2:19">
      <c r="B46" s="149" t="s">
        <v>711</v>
      </c>
    </row>
    <row r="47" spans="2:19">
      <c r="B47" s="148" t="s">
        <v>147</v>
      </c>
    </row>
    <row r="49" spans="2:2">
      <c r="B49" s="267" t="s">
        <v>698</v>
      </c>
    </row>
    <row r="50" spans="2:2">
      <c r="B50" s="267" t="s">
        <v>699</v>
      </c>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FF0000"/>
  </sheetPr>
  <dimension ref="A1:T50"/>
  <sheetViews>
    <sheetView view="pageBreakPreview" zoomScaleNormal="100" zoomScaleSheetLayoutView="100" workbookViewId="0"/>
  </sheetViews>
  <sheetFormatPr defaultRowHeight="13.15"/>
  <cols>
    <col min="1" max="17" width="4.125" style="126" customWidth="1"/>
    <col min="18" max="20" width="4.75" style="126" customWidth="1"/>
    <col min="21" max="256" width="9" style="126"/>
    <col min="257" max="273" width="4.125" style="126" customWidth="1"/>
    <col min="274" max="276" width="4.75" style="126" customWidth="1"/>
    <col min="277" max="512" width="9" style="126"/>
    <col min="513" max="529" width="4.125" style="126" customWidth="1"/>
    <col min="530" max="532" width="4.75" style="126" customWidth="1"/>
    <col min="533" max="768" width="9" style="126"/>
    <col min="769" max="785" width="4.125" style="126" customWidth="1"/>
    <col min="786" max="788" width="4.75" style="126" customWidth="1"/>
    <col min="789" max="1024" width="9" style="126"/>
    <col min="1025" max="1041" width="4.125" style="126" customWidth="1"/>
    <col min="1042" max="1044" width="4.75" style="126" customWidth="1"/>
    <col min="1045" max="1280" width="9" style="126"/>
    <col min="1281" max="1297" width="4.125" style="126" customWidth="1"/>
    <col min="1298" max="1300" width="4.75" style="126" customWidth="1"/>
    <col min="1301" max="1536" width="9" style="126"/>
    <col min="1537" max="1553" width="4.125" style="126" customWidth="1"/>
    <col min="1554" max="1556" width="4.75" style="126" customWidth="1"/>
    <col min="1557" max="1792" width="9" style="126"/>
    <col min="1793" max="1809" width="4.125" style="126" customWidth="1"/>
    <col min="1810" max="1812" width="4.75" style="126" customWidth="1"/>
    <col min="1813" max="2048" width="9" style="126"/>
    <col min="2049" max="2065" width="4.125" style="126" customWidth="1"/>
    <col min="2066" max="2068" width="4.75" style="126" customWidth="1"/>
    <col min="2069" max="2304" width="9" style="126"/>
    <col min="2305" max="2321" width="4.125" style="126" customWidth="1"/>
    <col min="2322" max="2324" width="4.75" style="126" customWidth="1"/>
    <col min="2325" max="2560" width="9" style="126"/>
    <col min="2561" max="2577" width="4.125" style="126" customWidth="1"/>
    <col min="2578" max="2580" width="4.75" style="126" customWidth="1"/>
    <col min="2581" max="2816" width="9" style="126"/>
    <col min="2817" max="2833" width="4.125" style="126" customWidth="1"/>
    <col min="2834" max="2836" width="4.75" style="126" customWidth="1"/>
    <col min="2837" max="3072" width="9" style="126"/>
    <col min="3073" max="3089" width="4.125" style="126" customWidth="1"/>
    <col min="3090" max="3092" width="4.75" style="126" customWidth="1"/>
    <col min="3093" max="3328" width="9" style="126"/>
    <col min="3329" max="3345" width="4.125" style="126" customWidth="1"/>
    <col min="3346" max="3348" width="4.75" style="126" customWidth="1"/>
    <col min="3349" max="3584" width="9" style="126"/>
    <col min="3585" max="3601" width="4.125" style="126" customWidth="1"/>
    <col min="3602" max="3604" width="4.75" style="126" customWidth="1"/>
    <col min="3605" max="3840" width="9" style="126"/>
    <col min="3841" max="3857" width="4.125" style="126" customWidth="1"/>
    <col min="3858" max="3860" width="4.75" style="126" customWidth="1"/>
    <col min="3861" max="4096" width="9" style="126"/>
    <col min="4097" max="4113" width="4.125" style="126" customWidth="1"/>
    <col min="4114" max="4116" width="4.75" style="126" customWidth="1"/>
    <col min="4117" max="4352" width="9" style="126"/>
    <col min="4353" max="4369" width="4.125" style="126" customWidth="1"/>
    <col min="4370" max="4372" width="4.75" style="126" customWidth="1"/>
    <col min="4373" max="4608" width="9" style="126"/>
    <col min="4609" max="4625" width="4.125" style="126" customWidth="1"/>
    <col min="4626" max="4628" width="4.75" style="126" customWidth="1"/>
    <col min="4629" max="4864" width="9" style="126"/>
    <col min="4865" max="4881" width="4.125" style="126" customWidth="1"/>
    <col min="4882" max="4884" width="4.75" style="126" customWidth="1"/>
    <col min="4885" max="5120" width="9" style="126"/>
    <col min="5121" max="5137" width="4.125" style="126" customWidth="1"/>
    <col min="5138" max="5140" width="4.75" style="126" customWidth="1"/>
    <col min="5141" max="5376" width="9" style="126"/>
    <col min="5377" max="5393" width="4.125" style="126" customWidth="1"/>
    <col min="5394" max="5396" width="4.75" style="126" customWidth="1"/>
    <col min="5397" max="5632" width="9" style="126"/>
    <col min="5633" max="5649" width="4.125" style="126" customWidth="1"/>
    <col min="5650" max="5652" width="4.75" style="126" customWidth="1"/>
    <col min="5653" max="5888" width="9" style="126"/>
    <col min="5889" max="5905" width="4.125" style="126" customWidth="1"/>
    <col min="5906" max="5908" width="4.75" style="126" customWidth="1"/>
    <col min="5909" max="6144" width="9" style="126"/>
    <col min="6145" max="6161" width="4.125" style="126" customWidth="1"/>
    <col min="6162" max="6164" width="4.75" style="126" customWidth="1"/>
    <col min="6165" max="6400" width="9" style="126"/>
    <col min="6401" max="6417" width="4.125" style="126" customWidth="1"/>
    <col min="6418" max="6420" width="4.75" style="126" customWidth="1"/>
    <col min="6421" max="6656" width="9" style="126"/>
    <col min="6657" max="6673" width="4.125" style="126" customWidth="1"/>
    <col min="6674" max="6676" width="4.75" style="126" customWidth="1"/>
    <col min="6677" max="6912" width="9" style="126"/>
    <col min="6913" max="6929" width="4.125" style="126" customWidth="1"/>
    <col min="6930" max="6932" width="4.75" style="126" customWidth="1"/>
    <col min="6933" max="7168" width="9" style="126"/>
    <col min="7169" max="7185" width="4.125" style="126" customWidth="1"/>
    <col min="7186" max="7188" width="4.75" style="126" customWidth="1"/>
    <col min="7189" max="7424" width="9" style="126"/>
    <col min="7425" max="7441" width="4.125" style="126" customWidth="1"/>
    <col min="7442" max="7444" width="4.75" style="126" customWidth="1"/>
    <col min="7445" max="7680" width="9" style="126"/>
    <col min="7681" max="7697" width="4.125" style="126" customWidth="1"/>
    <col min="7698" max="7700" width="4.75" style="126" customWidth="1"/>
    <col min="7701" max="7936" width="9" style="126"/>
    <col min="7937" max="7953" width="4.125" style="126" customWidth="1"/>
    <col min="7954" max="7956" width="4.75" style="126" customWidth="1"/>
    <col min="7957" max="8192" width="9" style="126"/>
    <col min="8193" max="8209" width="4.125" style="126" customWidth="1"/>
    <col min="8210" max="8212" width="4.75" style="126" customWidth="1"/>
    <col min="8213" max="8448" width="9" style="126"/>
    <col min="8449" max="8465" width="4.125" style="126" customWidth="1"/>
    <col min="8466" max="8468" width="4.75" style="126" customWidth="1"/>
    <col min="8469" max="8704" width="9" style="126"/>
    <col min="8705" max="8721" width="4.125" style="126" customWidth="1"/>
    <col min="8722" max="8724" width="4.75" style="126" customWidth="1"/>
    <col min="8725" max="8960" width="9" style="126"/>
    <col min="8961" max="8977" width="4.125" style="126" customWidth="1"/>
    <col min="8978" max="8980" width="4.75" style="126" customWidth="1"/>
    <col min="8981" max="9216" width="9" style="126"/>
    <col min="9217" max="9233" width="4.125" style="126" customWidth="1"/>
    <col min="9234" max="9236" width="4.75" style="126" customWidth="1"/>
    <col min="9237" max="9472" width="9" style="126"/>
    <col min="9473" max="9489" width="4.125" style="126" customWidth="1"/>
    <col min="9490" max="9492" width="4.75" style="126" customWidth="1"/>
    <col min="9493" max="9728" width="9" style="126"/>
    <col min="9729" max="9745" width="4.125" style="126" customWidth="1"/>
    <col min="9746" max="9748" width="4.75" style="126" customWidth="1"/>
    <col min="9749" max="9984" width="9" style="126"/>
    <col min="9985" max="10001" width="4.125" style="126" customWidth="1"/>
    <col min="10002" max="10004" width="4.75" style="126" customWidth="1"/>
    <col min="10005" max="10240" width="9" style="126"/>
    <col min="10241" max="10257" width="4.125" style="126" customWidth="1"/>
    <col min="10258" max="10260" width="4.75" style="126" customWidth="1"/>
    <col min="10261" max="10496" width="9" style="126"/>
    <col min="10497" max="10513" width="4.125" style="126" customWidth="1"/>
    <col min="10514" max="10516" width="4.75" style="126" customWidth="1"/>
    <col min="10517" max="10752" width="9" style="126"/>
    <col min="10753" max="10769" width="4.125" style="126" customWidth="1"/>
    <col min="10770" max="10772" width="4.75" style="126" customWidth="1"/>
    <col min="10773" max="11008" width="9" style="126"/>
    <col min="11009" max="11025" width="4.125" style="126" customWidth="1"/>
    <col min="11026" max="11028" width="4.75" style="126" customWidth="1"/>
    <col min="11029" max="11264" width="9" style="126"/>
    <col min="11265" max="11281" width="4.125" style="126" customWidth="1"/>
    <col min="11282" max="11284" width="4.75" style="126" customWidth="1"/>
    <col min="11285" max="11520" width="9" style="126"/>
    <col min="11521" max="11537" width="4.125" style="126" customWidth="1"/>
    <col min="11538" max="11540" width="4.75" style="126" customWidth="1"/>
    <col min="11541" max="11776" width="9" style="126"/>
    <col min="11777" max="11793" width="4.125" style="126" customWidth="1"/>
    <col min="11794" max="11796" width="4.75" style="126" customWidth="1"/>
    <col min="11797" max="12032" width="9" style="126"/>
    <col min="12033" max="12049" width="4.125" style="126" customWidth="1"/>
    <col min="12050" max="12052" width="4.75" style="126" customWidth="1"/>
    <col min="12053" max="12288" width="9" style="126"/>
    <col min="12289" max="12305" width="4.125" style="126" customWidth="1"/>
    <col min="12306" max="12308" width="4.75" style="126" customWidth="1"/>
    <col min="12309" max="12544" width="9" style="126"/>
    <col min="12545" max="12561" width="4.125" style="126" customWidth="1"/>
    <col min="12562" max="12564" width="4.75" style="126" customWidth="1"/>
    <col min="12565" max="12800" width="9" style="126"/>
    <col min="12801" max="12817" width="4.125" style="126" customWidth="1"/>
    <col min="12818" max="12820" width="4.75" style="126" customWidth="1"/>
    <col min="12821" max="13056" width="9" style="126"/>
    <col min="13057" max="13073" width="4.125" style="126" customWidth="1"/>
    <col min="13074" max="13076" width="4.75" style="126" customWidth="1"/>
    <col min="13077" max="13312" width="9" style="126"/>
    <col min="13313" max="13329" width="4.125" style="126" customWidth="1"/>
    <col min="13330" max="13332" width="4.75" style="126" customWidth="1"/>
    <col min="13333" max="13568" width="9" style="126"/>
    <col min="13569" max="13585" width="4.125" style="126" customWidth="1"/>
    <col min="13586" max="13588" width="4.75" style="126" customWidth="1"/>
    <col min="13589" max="13824" width="9" style="126"/>
    <col min="13825" max="13841" width="4.125" style="126" customWidth="1"/>
    <col min="13842" max="13844" width="4.75" style="126" customWidth="1"/>
    <col min="13845" max="14080" width="9" style="126"/>
    <col min="14081" max="14097" width="4.125" style="126" customWidth="1"/>
    <col min="14098" max="14100" width="4.75" style="126" customWidth="1"/>
    <col min="14101" max="14336" width="9" style="126"/>
    <col min="14337" max="14353" width="4.125" style="126" customWidth="1"/>
    <col min="14354" max="14356" width="4.75" style="126" customWidth="1"/>
    <col min="14357" max="14592" width="9" style="126"/>
    <col min="14593" max="14609" width="4.125" style="126" customWidth="1"/>
    <col min="14610" max="14612" width="4.75" style="126" customWidth="1"/>
    <col min="14613" max="14848" width="9" style="126"/>
    <col min="14849" max="14865" width="4.125" style="126" customWidth="1"/>
    <col min="14866" max="14868" width="4.75" style="126" customWidth="1"/>
    <col min="14869" max="15104" width="9" style="126"/>
    <col min="15105" max="15121" width="4.125" style="126" customWidth="1"/>
    <col min="15122" max="15124" width="4.75" style="126" customWidth="1"/>
    <col min="15125" max="15360" width="9" style="126"/>
    <col min="15361" max="15377" width="4.125" style="126" customWidth="1"/>
    <col min="15378" max="15380" width="4.75" style="126" customWidth="1"/>
    <col min="15381" max="15616" width="9" style="126"/>
    <col min="15617" max="15633" width="4.125" style="126" customWidth="1"/>
    <col min="15634" max="15636" width="4.75" style="126" customWidth="1"/>
    <col min="15637" max="15872" width="9" style="126"/>
    <col min="15873" max="15889" width="4.125" style="126" customWidth="1"/>
    <col min="15890" max="15892" width="4.75" style="126" customWidth="1"/>
    <col min="15893" max="16128" width="9" style="126"/>
    <col min="16129" max="16145" width="4.125" style="126" customWidth="1"/>
    <col min="16146" max="16148" width="4.75" style="126" customWidth="1"/>
    <col min="16149" max="16384" width="9" style="126"/>
  </cols>
  <sheetData>
    <row r="1" spans="1:20" ht="14.45">
      <c r="A1" s="148" t="s">
        <v>700</v>
      </c>
      <c r="B1" s="307"/>
    </row>
    <row r="2" spans="1:20">
      <c r="A2" s="150"/>
    </row>
    <row r="3" spans="1:20">
      <c r="T3" s="261" t="s">
        <v>673</v>
      </c>
    </row>
    <row r="4" spans="1:20">
      <c r="T4" s="261" t="s">
        <v>674</v>
      </c>
    </row>
    <row r="7" spans="1:20">
      <c r="A7" s="150" t="s">
        <v>701</v>
      </c>
    </row>
    <row r="10" spans="1:20">
      <c r="N10" s="150" t="s">
        <v>679</v>
      </c>
    </row>
    <row r="11" spans="1:20">
      <c r="N11" s="150" t="s">
        <v>681</v>
      </c>
    </row>
    <row r="12" spans="1:20">
      <c r="N12" s="150" t="s">
        <v>702</v>
      </c>
    </row>
    <row r="17" spans="1:20">
      <c r="A17" s="1386" t="s">
        <v>683</v>
      </c>
      <c r="B17" s="1386"/>
      <c r="C17" s="1386"/>
      <c r="D17" s="1386"/>
      <c r="E17" s="1386"/>
      <c r="F17" s="1386"/>
      <c r="G17" s="1386"/>
      <c r="H17" s="1386"/>
      <c r="I17" s="1386"/>
      <c r="J17" s="1386"/>
      <c r="K17" s="1386"/>
      <c r="L17" s="1386"/>
      <c r="M17" s="1386"/>
      <c r="N17" s="1386"/>
      <c r="O17" s="1386"/>
      <c r="P17" s="1386"/>
      <c r="Q17" s="1386"/>
      <c r="R17" s="1386"/>
      <c r="S17" s="1386"/>
      <c r="T17" s="1386"/>
    </row>
    <row r="23" spans="1:20">
      <c r="B23" s="1387" t="s">
        <v>703</v>
      </c>
      <c r="C23" s="1387"/>
      <c r="D23" s="1387"/>
      <c r="E23" s="1387"/>
      <c r="F23" s="1387"/>
      <c r="G23" s="1387"/>
      <c r="H23" s="1387"/>
      <c r="I23" s="1387"/>
      <c r="J23" s="1387"/>
      <c r="K23" s="1387"/>
      <c r="L23" s="1387"/>
      <c r="M23" s="126" t="s">
        <v>685</v>
      </c>
    </row>
    <row r="24" spans="1:20">
      <c r="B24" s="127" t="s">
        <v>712</v>
      </c>
      <c r="C24" s="127"/>
      <c r="D24" s="127"/>
      <c r="E24" s="127"/>
      <c r="F24" s="127"/>
      <c r="G24" s="127"/>
      <c r="H24" s="127"/>
      <c r="I24" s="127"/>
      <c r="J24" s="127"/>
      <c r="K24" s="127"/>
      <c r="L24" s="127"/>
      <c r="M24" s="127"/>
      <c r="N24" s="127"/>
      <c r="O24" s="127"/>
      <c r="P24" s="127"/>
    </row>
    <row r="25" spans="1:20">
      <c r="B25" s="1388" t="s">
        <v>686</v>
      </c>
      <c r="C25" s="1388"/>
      <c r="D25" s="1388"/>
      <c r="E25" s="1388"/>
      <c r="F25" s="1388"/>
      <c r="G25" s="1388"/>
      <c r="H25" s="1388"/>
      <c r="I25" s="1388"/>
      <c r="J25" s="1388"/>
      <c r="K25" s="1388"/>
      <c r="L25" s="1388"/>
      <c r="M25" s="1388"/>
      <c r="N25" s="1388"/>
      <c r="O25" s="1388"/>
      <c r="P25" s="1388"/>
      <c r="Q25" s="1388"/>
      <c r="R25" s="1388"/>
    </row>
    <row r="26" spans="1:20">
      <c r="B26" s="150"/>
    </row>
    <row r="29" spans="1:20">
      <c r="B29" s="150" t="s">
        <v>705</v>
      </c>
    </row>
    <row r="30" spans="1:20">
      <c r="B30" s="150" t="s">
        <v>147</v>
      </c>
      <c r="C30" s="126" t="s">
        <v>706</v>
      </c>
    </row>
    <row r="31" spans="1:20">
      <c r="B31" s="150"/>
    </row>
    <row r="32" spans="1:20">
      <c r="B32" s="150"/>
    </row>
    <row r="33" spans="2:19">
      <c r="B33" s="150"/>
      <c r="O33" s="262" t="s">
        <v>689</v>
      </c>
      <c r="P33" s="1389"/>
      <c r="Q33" s="1389"/>
      <c r="R33" s="1389"/>
      <c r="S33" s="126" t="s">
        <v>690</v>
      </c>
    </row>
    <row r="36" spans="2:19">
      <c r="B36" s="150" t="s">
        <v>707</v>
      </c>
    </row>
    <row r="37" spans="2:19">
      <c r="B37" s="150"/>
      <c r="C37" s="126" t="s">
        <v>708</v>
      </c>
    </row>
    <row r="38" spans="2:19">
      <c r="B38" s="150"/>
    </row>
    <row r="39" spans="2:19">
      <c r="B39" s="150"/>
    </row>
    <row r="40" spans="2:19">
      <c r="O40" s="262" t="s">
        <v>689</v>
      </c>
      <c r="P40" s="1389"/>
      <c r="Q40" s="1389"/>
      <c r="R40" s="1389"/>
      <c r="S40" s="263" t="s">
        <v>690</v>
      </c>
    </row>
    <row r="43" spans="2:19">
      <c r="B43" s="150"/>
    </row>
    <row r="44" spans="2:19">
      <c r="B44" s="151" t="s">
        <v>709</v>
      </c>
    </row>
    <row r="45" spans="2:19">
      <c r="B45" s="151" t="s">
        <v>710</v>
      </c>
    </row>
    <row r="46" spans="2:19">
      <c r="B46" s="151" t="s">
        <v>711</v>
      </c>
    </row>
    <row r="47" spans="2:19">
      <c r="B47" s="150" t="s">
        <v>147</v>
      </c>
    </row>
    <row r="49" spans="2:2">
      <c r="B49" s="37"/>
    </row>
    <row r="50" spans="2:2">
      <c r="B50" s="37"/>
    </row>
  </sheetData>
  <mergeCells count="5">
    <mergeCell ref="A17:T17"/>
    <mergeCell ref="B23:L23"/>
    <mergeCell ref="B25:R25"/>
    <mergeCell ref="P33:R33"/>
    <mergeCell ref="P40:R40"/>
  </mergeCells>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
  <sheetViews>
    <sheetView workbookViewId="0"/>
  </sheetViews>
  <sheetFormatPr defaultRowHeight="13.15"/>
  <sheetData/>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FFC000"/>
    <pageSetUpPr fitToPage="1"/>
  </sheetPr>
  <dimension ref="A1:L32"/>
  <sheetViews>
    <sheetView view="pageBreakPreview" zoomScaleNormal="100" zoomScaleSheetLayoutView="100" workbookViewId="0"/>
  </sheetViews>
  <sheetFormatPr defaultColWidth="9" defaultRowHeight="13.15"/>
  <cols>
    <col min="1" max="1" width="9" style="85"/>
    <col min="2" max="2" width="4.875" style="85" customWidth="1"/>
    <col min="3" max="10" width="9" style="85"/>
    <col min="11" max="11" width="12.125" style="85" customWidth="1"/>
    <col min="12" max="12" width="47.75" style="85" customWidth="1"/>
    <col min="13" max="16384" width="9" style="85"/>
  </cols>
  <sheetData>
    <row r="1" spans="1:12" ht="15" thickBot="1">
      <c r="A1" s="85" t="s">
        <v>713</v>
      </c>
      <c r="B1" s="305"/>
    </row>
    <row r="2" spans="1:12" ht="13.9" thickBot="1">
      <c r="H2" s="1391" t="s">
        <v>155</v>
      </c>
      <c r="I2" s="1391"/>
      <c r="K2" s="259" t="s">
        <v>156</v>
      </c>
      <c r="L2" s="260" t="s">
        <v>118</v>
      </c>
    </row>
    <row r="3" spans="1:12">
      <c r="H3" s="1391" t="s">
        <v>714</v>
      </c>
      <c r="I3" s="1391"/>
    </row>
    <row r="5" spans="1:12">
      <c r="A5" s="85" t="str">
        <f>VLOOKUP($L$2,様式リスト!B6:D8,2,0)</f>
        <v>　地方厚生局長　　殿</v>
      </c>
    </row>
    <row r="8" spans="1:12">
      <c r="F8" s="85" t="s">
        <v>158</v>
      </c>
      <c r="G8" s="895"/>
      <c r="H8" s="895"/>
      <c r="I8" s="895"/>
    </row>
    <row r="9" spans="1:12">
      <c r="F9" s="85" t="s">
        <v>715</v>
      </c>
      <c r="G9" s="895"/>
      <c r="H9" s="895"/>
      <c r="I9" s="895"/>
    </row>
    <row r="16" spans="1:12">
      <c r="B16" s="1390"/>
      <c r="C16" s="1390"/>
      <c r="D16" s="85" t="str">
        <f>VLOOKUP($L$2,様式リスト!B6:D8,3,0)</f>
        <v>年度臨床研修費等補助金の事業実績報告書</v>
      </c>
    </row>
    <row r="17" spans="1:9">
      <c r="A17" s="85" t="s">
        <v>716</v>
      </c>
    </row>
    <row r="23" spans="1:9">
      <c r="A23" s="892" t="s">
        <v>717</v>
      </c>
      <c r="B23" s="892"/>
      <c r="C23" s="892"/>
      <c r="D23" s="892"/>
      <c r="E23" s="892"/>
      <c r="F23" s="892"/>
      <c r="G23" s="892"/>
      <c r="H23" s="892"/>
      <c r="I23" s="892"/>
    </row>
    <row r="24" spans="1:9">
      <c r="A24" s="85" t="s">
        <v>718</v>
      </c>
    </row>
    <row r="28" spans="1:9">
      <c r="B28" s="85" t="s">
        <v>719</v>
      </c>
    </row>
    <row r="30" spans="1:9">
      <c r="B30" s="85" t="s">
        <v>720</v>
      </c>
    </row>
    <row r="32" spans="1:9">
      <c r="B32" s="85" t="s">
        <v>721</v>
      </c>
    </row>
  </sheetData>
  <mergeCells count="6">
    <mergeCell ref="A23:I23"/>
    <mergeCell ref="B16:C16"/>
    <mergeCell ref="G8:I8"/>
    <mergeCell ref="G9:I9"/>
    <mergeCell ref="H2:I2"/>
    <mergeCell ref="H3:I3"/>
  </mergeCells>
  <phoneticPr fontId="4"/>
  <conditionalFormatting sqref="G8:G9 B16:C16">
    <cfRule type="containsBlanks" dxfId="67" priority="1">
      <formula>LEN(TRIM(B8))=0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様式リスト!$B$3:$B$5</xm:f>
          </x14:formula1>
          <xm:sqref>L2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FFC000"/>
    <pageSetUpPr fitToPage="1"/>
  </sheetPr>
  <dimension ref="A1:O90"/>
  <sheetViews>
    <sheetView view="pageBreakPreview" zoomScale="85" zoomScaleNormal="100" zoomScaleSheetLayoutView="85" workbookViewId="0"/>
  </sheetViews>
  <sheetFormatPr defaultRowHeight="13.15" outlineLevelCol="1"/>
  <cols>
    <col min="1" max="1" width="24.625" style="313" customWidth="1"/>
    <col min="2" max="14" width="12.875" style="313" customWidth="1"/>
    <col min="15" max="15" width="11.875" style="313" customWidth="1" outlineLevel="1"/>
    <col min="16" max="259" width="9" style="313"/>
    <col min="260" max="260" width="14.375" style="313" customWidth="1"/>
    <col min="261" max="269" width="9.125" style="313" customWidth="1"/>
    <col min="270" max="270" width="12" style="313" customWidth="1"/>
    <col min="271" max="271" width="11.875" style="313" customWidth="1"/>
    <col min="272" max="515" width="9" style="313"/>
    <col min="516" max="516" width="14.375" style="313" customWidth="1"/>
    <col min="517" max="525" width="9.125" style="313" customWidth="1"/>
    <col min="526" max="526" width="12" style="313" customWidth="1"/>
    <col min="527" max="527" width="11.875" style="313" customWidth="1"/>
    <col min="528" max="771" width="9" style="313"/>
    <col min="772" max="772" width="14.375" style="313" customWidth="1"/>
    <col min="773" max="781" width="9.125" style="313" customWidth="1"/>
    <col min="782" max="782" width="12" style="313" customWidth="1"/>
    <col min="783" max="783" width="11.875" style="313" customWidth="1"/>
    <col min="784" max="1027" width="9" style="313"/>
    <col min="1028" max="1028" width="14.375" style="313" customWidth="1"/>
    <col min="1029" max="1037" width="9.125" style="313" customWidth="1"/>
    <col min="1038" max="1038" width="12" style="313" customWidth="1"/>
    <col min="1039" max="1039" width="11.875" style="313" customWidth="1"/>
    <col min="1040" max="1283" width="9" style="313"/>
    <col min="1284" max="1284" width="14.375" style="313" customWidth="1"/>
    <col min="1285" max="1293" width="9.125" style="313" customWidth="1"/>
    <col min="1294" max="1294" width="12" style="313" customWidth="1"/>
    <col min="1295" max="1295" width="11.875" style="313" customWidth="1"/>
    <col min="1296" max="1539" width="9" style="313"/>
    <col min="1540" max="1540" width="14.375" style="313" customWidth="1"/>
    <col min="1541" max="1549" width="9.125" style="313" customWidth="1"/>
    <col min="1550" max="1550" width="12" style="313" customWidth="1"/>
    <col min="1551" max="1551" width="11.875" style="313" customWidth="1"/>
    <col min="1552" max="1795" width="9" style="313"/>
    <col min="1796" max="1796" width="14.375" style="313" customWidth="1"/>
    <col min="1797" max="1805" width="9.125" style="313" customWidth="1"/>
    <col min="1806" max="1806" width="12" style="313" customWidth="1"/>
    <col min="1807" max="1807" width="11.875" style="313" customWidth="1"/>
    <col min="1808" max="2051" width="9" style="313"/>
    <col min="2052" max="2052" width="14.375" style="313" customWidth="1"/>
    <col min="2053" max="2061" width="9.125" style="313" customWidth="1"/>
    <col min="2062" max="2062" width="12" style="313" customWidth="1"/>
    <col min="2063" max="2063" width="11.875" style="313" customWidth="1"/>
    <col min="2064" max="2307" width="9" style="313"/>
    <col min="2308" max="2308" width="14.375" style="313" customWidth="1"/>
    <col min="2309" max="2317" width="9.125" style="313" customWidth="1"/>
    <col min="2318" max="2318" width="12" style="313" customWidth="1"/>
    <col min="2319" max="2319" width="11.875" style="313" customWidth="1"/>
    <col min="2320" max="2563" width="9" style="313"/>
    <col min="2564" max="2564" width="14.375" style="313" customWidth="1"/>
    <col min="2565" max="2573" width="9.125" style="313" customWidth="1"/>
    <col min="2574" max="2574" width="12" style="313" customWidth="1"/>
    <col min="2575" max="2575" width="11.875" style="313" customWidth="1"/>
    <col min="2576" max="2819" width="9" style="313"/>
    <col min="2820" max="2820" width="14.375" style="313" customWidth="1"/>
    <col min="2821" max="2829" width="9.125" style="313" customWidth="1"/>
    <col min="2830" max="2830" width="12" style="313" customWidth="1"/>
    <col min="2831" max="2831" width="11.875" style="313" customWidth="1"/>
    <col min="2832" max="3075" width="9" style="313"/>
    <col min="3076" max="3076" width="14.375" style="313" customWidth="1"/>
    <col min="3077" max="3085" width="9.125" style="313" customWidth="1"/>
    <col min="3086" max="3086" width="12" style="313" customWidth="1"/>
    <col min="3087" max="3087" width="11.875" style="313" customWidth="1"/>
    <col min="3088" max="3331" width="9" style="313"/>
    <col min="3332" max="3332" width="14.375" style="313" customWidth="1"/>
    <col min="3333" max="3341" width="9.125" style="313" customWidth="1"/>
    <col min="3342" max="3342" width="12" style="313" customWidth="1"/>
    <col min="3343" max="3343" width="11.875" style="313" customWidth="1"/>
    <col min="3344" max="3587" width="9" style="313"/>
    <col min="3588" max="3588" width="14.375" style="313" customWidth="1"/>
    <col min="3589" max="3597" width="9.125" style="313" customWidth="1"/>
    <col min="3598" max="3598" width="12" style="313" customWidth="1"/>
    <col min="3599" max="3599" width="11.875" style="313" customWidth="1"/>
    <col min="3600" max="3843" width="9" style="313"/>
    <col min="3844" max="3844" width="14.375" style="313" customWidth="1"/>
    <col min="3845" max="3853" width="9.125" style="313" customWidth="1"/>
    <col min="3854" max="3854" width="12" style="313" customWidth="1"/>
    <col min="3855" max="3855" width="11.875" style="313" customWidth="1"/>
    <col min="3856" max="4099" width="9" style="313"/>
    <col min="4100" max="4100" width="14.375" style="313" customWidth="1"/>
    <col min="4101" max="4109" width="9.125" style="313" customWidth="1"/>
    <col min="4110" max="4110" width="12" style="313" customWidth="1"/>
    <col min="4111" max="4111" width="11.875" style="313" customWidth="1"/>
    <col min="4112" max="4355" width="9" style="313"/>
    <col min="4356" max="4356" width="14.375" style="313" customWidth="1"/>
    <col min="4357" max="4365" width="9.125" style="313" customWidth="1"/>
    <col min="4366" max="4366" width="12" style="313" customWidth="1"/>
    <col min="4367" max="4367" width="11.875" style="313" customWidth="1"/>
    <col min="4368" max="4611" width="9" style="313"/>
    <col min="4612" max="4612" width="14.375" style="313" customWidth="1"/>
    <col min="4613" max="4621" width="9.125" style="313" customWidth="1"/>
    <col min="4622" max="4622" width="12" style="313" customWidth="1"/>
    <col min="4623" max="4623" width="11.875" style="313" customWidth="1"/>
    <col min="4624" max="4867" width="9" style="313"/>
    <col min="4868" max="4868" width="14.375" style="313" customWidth="1"/>
    <col min="4869" max="4877" width="9.125" style="313" customWidth="1"/>
    <col min="4878" max="4878" width="12" style="313" customWidth="1"/>
    <col min="4879" max="4879" width="11.875" style="313" customWidth="1"/>
    <col min="4880" max="5123" width="9" style="313"/>
    <col min="5124" max="5124" width="14.375" style="313" customWidth="1"/>
    <col min="5125" max="5133" width="9.125" style="313" customWidth="1"/>
    <col min="5134" max="5134" width="12" style="313" customWidth="1"/>
    <col min="5135" max="5135" width="11.875" style="313" customWidth="1"/>
    <col min="5136" max="5379" width="9" style="313"/>
    <col min="5380" max="5380" width="14.375" style="313" customWidth="1"/>
    <col min="5381" max="5389" width="9.125" style="313" customWidth="1"/>
    <col min="5390" max="5390" width="12" style="313" customWidth="1"/>
    <col min="5391" max="5391" width="11.875" style="313" customWidth="1"/>
    <col min="5392" max="5635" width="9" style="313"/>
    <col min="5636" max="5636" width="14.375" style="313" customWidth="1"/>
    <col min="5637" max="5645" width="9.125" style="313" customWidth="1"/>
    <col min="5646" max="5646" width="12" style="313" customWidth="1"/>
    <col min="5647" max="5647" width="11.875" style="313" customWidth="1"/>
    <col min="5648" max="5891" width="9" style="313"/>
    <col min="5892" max="5892" width="14.375" style="313" customWidth="1"/>
    <col min="5893" max="5901" width="9.125" style="313" customWidth="1"/>
    <col min="5902" max="5902" width="12" style="313" customWidth="1"/>
    <col min="5903" max="5903" width="11.875" style="313" customWidth="1"/>
    <col min="5904" max="6147" width="9" style="313"/>
    <col min="6148" max="6148" width="14.375" style="313" customWidth="1"/>
    <col min="6149" max="6157" width="9.125" style="313" customWidth="1"/>
    <col min="6158" max="6158" width="12" style="313" customWidth="1"/>
    <col min="6159" max="6159" width="11.875" style="313" customWidth="1"/>
    <col min="6160" max="6403" width="9" style="313"/>
    <col min="6404" max="6404" width="14.375" style="313" customWidth="1"/>
    <col min="6405" max="6413" width="9.125" style="313" customWidth="1"/>
    <col min="6414" max="6414" width="12" style="313" customWidth="1"/>
    <col min="6415" max="6415" width="11.875" style="313" customWidth="1"/>
    <col min="6416" max="6659" width="9" style="313"/>
    <col min="6660" max="6660" width="14.375" style="313" customWidth="1"/>
    <col min="6661" max="6669" width="9.125" style="313" customWidth="1"/>
    <col min="6670" max="6670" width="12" style="313" customWidth="1"/>
    <col min="6671" max="6671" width="11.875" style="313" customWidth="1"/>
    <col min="6672" max="6915" width="9" style="313"/>
    <col min="6916" max="6916" width="14.375" style="313" customWidth="1"/>
    <col min="6917" max="6925" width="9.125" style="313" customWidth="1"/>
    <col min="6926" max="6926" width="12" style="313" customWidth="1"/>
    <col min="6927" max="6927" width="11.875" style="313" customWidth="1"/>
    <col min="6928" max="7171" width="9" style="313"/>
    <col min="7172" max="7172" width="14.375" style="313" customWidth="1"/>
    <col min="7173" max="7181" width="9.125" style="313" customWidth="1"/>
    <col min="7182" max="7182" width="12" style="313" customWidth="1"/>
    <col min="7183" max="7183" width="11.875" style="313" customWidth="1"/>
    <col min="7184" max="7427" width="9" style="313"/>
    <col min="7428" max="7428" width="14.375" style="313" customWidth="1"/>
    <col min="7429" max="7437" width="9.125" style="313" customWidth="1"/>
    <col min="7438" max="7438" width="12" style="313" customWidth="1"/>
    <col min="7439" max="7439" width="11.875" style="313" customWidth="1"/>
    <col min="7440" max="7683" width="9" style="313"/>
    <col min="7684" max="7684" width="14.375" style="313" customWidth="1"/>
    <col min="7685" max="7693" width="9.125" style="313" customWidth="1"/>
    <col min="7694" max="7694" width="12" style="313" customWidth="1"/>
    <col min="7695" max="7695" width="11.875" style="313" customWidth="1"/>
    <col min="7696" max="7939" width="9" style="313"/>
    <col min="7940" max="7940" width="14.375" style="313" customWidth="1"/>
    <col min="7941" max="7949" width="9.125" style="313" customWidth="1"/>
    <col min="7950" max="7950" width="12" style="313" customWidth="1"/>
    <col min="7951" max="7951" width="11.875" style="313" customWidth="1"/>
    <col min="7952" max="8195" width="9" style="313"/>
    <col min="8196" max="8196" width="14.375" style="313" customWidth="1"/>
    <col min="8197" max="8205" width="9.125" style="313" customWidth="1"/>
    <col min="8206" max="8206" width="12" style="313" customWidth="1"/>
    <col min="8207" max="8207" width="11.875" style="313" customWidth="1"/>
    <col min="8208" max="8451" width="9" style="313"/>
    <col min="8452" max="8452" width="14.375" style="313" customWidth="1"/>
    <col min="8453" max="8461" width="9.125" style="313" customWidth="1"/>
    <col min="8462" max="8462" width="12" style="313" customWidth="1"/>
    <col min="8463" max="8463" width="11.875" style="313" customWidth="1"/>
    <col min="8464" max="8707" width="9" style="313"/>
    <col min="8708" max="8708" width="14.375" style="313" customWidth="1"/>
    <col min="8709" max="8717" width="9.125" style="313" customWidth="1"/>
    <col min="8718" max="8718" width="12" style="313" customWidth="1"/>
    <col min="8719" max="8719" width="11.875" style="313" customWidth="1"/>
    <col min="8720" max="8963" width="9" style="313"/>
    <col min="8964" max="8964" width="14.375" style="313" customWidth="1"/>
    <col min="8965" max="8973" width="9.125" style="313" customWidth="1"/>
    <col min="8974" max="8974" width="12" style="313" customWidth="1"/>
    <col min="8975" max="8975" width="11.875" style="313" customWidth="1"/>
    <col min="8976" max="9219" width="9" style="313"/>
    <col min="9220" max="9220" width="14.375" style="313" customWidth="1"/>
    <col min="9221" max="9229" width="9.125" style="313" customWidth="1"/>
    <col min="9230" max="9230" width="12" style="313" customWidth="1"/>
    <col min="9231" max="9231" width="11.875" style="313" customWidth="1"/>
    <col min="9232" max="9475" width="9" style="313"/>
    <col min="9476" max="9476" width="14.375" style="313" customWidth="1"/>
    <col min="9477" max="9485" width="9.125" style="313" customWidth="1"/>
    <col min="9486" max="9486" width="12" style="313" customWidth="1"/>
    <col min="9487" max="9487" width="11.875" style="313" customWidth="1"/>
    <col min="9488" max="9731" width="9" style="313"/>
    <col min="9732" max="9732" width="14.375" style="313" customWidth="1"/>
    <col min="9733" max="9741" width="9.125" style="313" customWidth="1"/>
    <col min="9742" max="9742" width="12" style="313" customWidth="1"/>
    <col min="9743" max="9743" width="11.875" style="313" customWidth="1"/>
    <col min="9744" max="9987" width="9" style="313"/>
    <col min="9988" max="9988" width="14.375" style="313" customWidth="1"/>
    <col min="9989" max="9997" width="9.125" style="313" customWidth="1"/>
    <col min="9998" max="9998" width="12" style="313" customWidth="1"/>
    <col min="9999" max="9999" width="11.875" style="313" customWidth="1"/>
    <col min="10000" max="10243" width="9" style="313"/>
    <col min="10244" max="10244" width="14.375" style="313" customWidth="1"/>
    <col min="10245" max="10253" width="9.125" style="313" customWidth="1"/>
    <col min="10254" max="10254" width="12" style="313" customWidth="1"/>
    <col min="10255" max="10255" width="11.875" style="313" customWidth="1"/>
    <col min="10256" max="10499" width="9" style="313"/>
    <col min="10500" max="10500" width="14.375" style="313" customWidth="1"/>
    <col min="10501" max="10509" width="9.125" style="313" customWidth="1"/>
    <col min="10510" max="10510" width="12" style="313" customWidth="1"/>
    <col min="10511" max="10511" width="11.875" style="313" customWidth="1"/>
    <col min="10512" max="10755" width="9" style="313"/>
    <col min="10756" max="10756" width="14.375" style="313" customWidth="1"/>
    <col min="10757" max="10765" width="9.125" style="313" customWidth="1"/>
    <col min="10766" max="10766" width="12" style="313" customWidth="1"/>
    <col min="10767" max="10767" width="11.875" style="313" customWidth="1"/>
    <col min="10768" max="11011" width="9" style="313"/>
    <col min="11012" max="11012" width="14.375" style="313" customWidth="1"/>
    <col min="11013" max="11021" width="9.125" style="313" customWidth="1"/>
    <col min="11022" max="11022" width="12" style="313" customWidth="1"/>
    <col min="11023" max="11023" width="11.875" style="313" customWidth="1"/>
    <col min="11024" max="11267" width="9" style="313"/>
    <col min="11268" max="11268" width="14.375" style="313" customWidth="1"/>
    <col min="11269" max="11277" width="9.125" style="313" customWidth="1"/>
    <col min="11278" max="11278" width="12" style="313" customWidth="1"/>
    <col min="11279" max="11279" width="11.875" style="313" customWidth="1"/>
    <col min="11280" max="11523" width="9" style="313"/>
    <col min="11524" max="11524" width="14.375" style="313" customWidth="1"/>
    <col min="11525" max="11533" width="9.125" style="313" customWidth="1"/>
    <col min="11534" max="11534" width="12" style="313" customWidth="1"/>
    <col min="11535" max="11535" width="11.875" style="313" customWidth="1"/>
    <col min="11536" max="11779" width="9" style="313"/>
    <col min="11780" max="11780" width="14.375" style="313" customWidth="1"/>
    <col min="11781" max="11789" width="9.125" style="313" customWidth="1"/>
    <col min="11790" max="11790" width="12" style="313" customWidth="1"/>
    <col min="11791" max="11791" width="11.875" style="313" customWidth="1"/>
    <col min="11792" max="12035" width="9" style="313"/>
    <col min="12036" max="12036" width="14.375" style="313" customWidth="1"/>
    <col min="12037" max="12045" width="9.125" style="313" customWidth="1"/>
    <col min="12046" max="12046" width="12" style="313" customWidth="1"/>
    <col min="12047" max="12047" width="11.875" style="313" customWidth="1"/>
    <col min="12048" max="12291" width="9" style="313"/>
    <col min="12292" max="12292" width="14.375" style="313" customWidth="1"/>
    <col min="12293" max="12301" width="9.125" style="313" customWidth="1"/>
    <col min="12302" max="12302" width="12" style="313" customWidth="1"/>
    <col min="12303" max="12303" width="11.875" style="313" customWidth="1"/>
    <col min="12304" max="12547" width="9" style="313"/>
    <col min="12548" max="12548" width="14.375" style="313" customWidth="1"/>
    <col min="12549" max="12557" width="9.125" style="313" customWidth="1"/>
    <col min="12558" max="12558" width="12" style="313" customWidth="1"/>
    <col min="12559" max="12559" width="11.875" style="313" customWidth="1"/>
    <col min="12560" max="12803" width="9" style="313"/>
    <col min="12804" max="12804" width="14.375" style="313" customWidth="1"/>
    <col min="12805" max="12813" width="9.125" style="313" customWidth="1"/>
    <col min="12814" max="12814" width="12" style="313" customWidth="1"/>
    <col min="12815" max="12815" width="11.875" style="313" customWidth="1"/>
    <col min="12816" max="13059" width="9" style="313"/>
    <col min="13060" max="13060" width="14.375" style="313" customWidth="1"/>
    <col min="13061" max="13069" width="9.125" style="313" customWidth="1"/>
    <col min="13070" max="13070" width="12" style="313" customWidth="1"/>
    <col min="13071" max="13071" width="11.875" style="313" customWidth="1"/>
    <col min="13072" max="13315" width="9" style="313"/>
    <col min="13316" max="13316" width="14.375" style="313" customWidth="1"/>
    <col min="13317" max="13325" width="9.125" style="313" customWidth="1"/>
    <col min="13326" max="13326" width="12" style="313" customWidth="1"/>
    <col min="13327" max="13327" width="11.875" style="313" customWidth="1"/>
    <col min="13328" max="13571" width="9" style="313"/>
    <col min="13572" max="13572" width="14.375" style="313" customWidth="1"/>
    <col min="13573" max="13581" width="9.125" style="313" customWidth="1"/>
    <col min="13582" max="13582" width="12" style="313" customWidth="1"/>
    <col min="13583" max="13583" width="11.875" style="313" customWidth="1"/>
    <col min="13584" max="13827" width="9" style="313"/>
    <col min="13828" max="13828" width="14.375" style="313" customWidth="1"/>
    <col min="13829" max="13837" width="9.125" style="313" customWidth="1"/>
    <col min="13838" max="13838" width="12" style="313" customWidth="1"/>
    <col min="13839" max="13839" width="11.875" style="313" customWidth="1"/>
    <col min="13840" max="14083" width="9" style="313"/>
    <col min="14084" max="14084" width="14.375" style="313" customWidth="1"/>
    <col min="14085" max="14093" width="9.125" style="313" customWidth="1"/>
    <col min="14094" max="14094" width="12" style="313" customWidth="1"/>
    <col min="14095" max="14095" width="11.875" style="313" customWidth="1"/>
    <col min="14096" max="14339" width="9" style="313"/>
    <col min="14340" max="14340" width="14.375" style="313" customWidth="1"/>
    <col min="14341" max="14349" width="9.125" style="313" customWidth="1"/>
    <col min="14350" max="14350" width="12" style="313" customWidth="1"/>
    <col min="14351" max="14351" width="11.875" style="313" customWidth="1"/>
    <col min="14352" max="14595" width="9" style="313"/>
    <col min="14596" max="14596" width="14.375" style="313" customWidth="1"/>
    <col min="14597" max="14605" width="9.125" style="313" customWidth="1"/>
    <col min="14606" max="14606" width="12" style="313" customWidth="1"/>
    <col min="14607" max="14607" width="11.875" style="313" customWidth="1"/>
    <col min="14608" max="14851" width="9" style="313"/>
    <col min="14852" max="14852" width="14.375" style="313" customWidth="1"/>
    <col min="14853" max="14861" width="9.125" style="313" customWidth="1"/>
    <col min="14862" max="14862" width="12" style="313" customWidth="1"/>
    <col min="14863" max="14863" width="11.875" style="313" customWidth="1"/>
    <col min="14864" max="15107" width="9" style="313"/>
    <col min="15108" max="15108" width="14.375" style="313" customWidth="1"/>
    <col min="15109" max="15117" width="9.125" style="313" customWidth="1"/>
    <col min="15118" max="15118" width="12" style="313" customWidth="1"/>
    <col min="15119" max="15119" width="11.875" style="313" customWidth="1"/>
    <col min="15120" max="15363" width="9" style="313"/>
    <col min="15364" max="15364" width="14.375" style="313" customWidth="1"/>
    <col min="15365" max="15373" width="9.125" style="313" customWidth="1"/>
    <col min="15374" max="15374" width="12" style="313" customWidth="1"/>
    <col min="15375" max="15375" width="11.875" style="313" customWidth="1"/>
    <col min="15376" max="15619" width="9" style="313"/>
    <col min="15620" max="15620" width="14.375" style="313" customWidth="1"/>
    <col min="15621" max="15629" width="9.125" style="313" customWidth="1"/>
    <col min="15630" max="15630" width="12" style="313" customWidth="1"/>
    <col min="15631" max="15631" width="11.875" style="313" customWidth="1"/>
    <col min="15632" max="15875" width="9" style="313"/>
    <col min="15876" max="15876" width="14.375" style="313" customWidth="1"/>
    <col min="15877" max="15885" width="9.125" style="313" customWidth="1"/>
    <col min="15886" max="15886" width="12" style="313" customWidth="1"/>
    <col min="15887" max="15887" width="11.875" style="313" customWidth="1"/>
    <col min="15888" max="16131" width="9" style="313"/>
    <col min="16132" max="16132" width="14.375" style="313" customWidth="1"/>
    <col min="16133" max="16141" width="9.125" style="313" customWidth="1"/>
    <col min="16142" max="16142" width="12" style="313" customWidth="1"/>
    <col min="16143" max="16143" width="11.875" style="313" customWidth="1"/>
    <col min="16144" max="16384" width="9" style="313"/>
  </cols>
  <sheetData>
    <row r="1" spans="1:15" ht="16.5" customHeight="1">
      <c r="A1" s="311" t="str">
        <f>"別紙１"&amp;IF(第4号様式!L2="臨床研修事業","ー１","")</f>
        <v>別紙１ー１</v>
      </c>
    </row>
    <row r="2" spans="1:15" ht="13.5" customHeight="1"/>
    <row r="3" spans="1:15" ht="23.25" customHeight="1">
      <c r="A3" s="340" t="s">
        <v>722</v>
      </c>
      <c r="B3" s="314"/>
      <c r="C3" s="314"/>
      <c r="D3" s="314"/>
      <c r="E3" s="314"/>
      <c r="F3" s="314"/>
      <c r="G3" s="314"/>
      <c r="H3" s="314"/>
      <c r="I3" s="314"/>
      <c r="J3" s="314"/>
      <c r="K3" s="314"/>
      <c r="L3" s="314"/>
      <c r="M3" s="314"/>
      <c r="N3" s="314"/>
    </row>
    <row r="4" spans="1:15" ht="23.25" customHeight="1">
      <c r="A4" s="314"/>
      <c r="B4" s="314"/>
      <c r="C4" s="314"/>
      <c r="D4" s="314"/>
      <c r="E4" s="314"/>
      <c r="F4" s="314"/>
      <c r="G4" s="314"/>
      <c r="H4" s="314"/>
      <c r="I4" s="314"/>
      <c r="J4" s="314"/>
      <c r="K4" s="314"/>
      <c r="L4" s="314"/>
      <c r="M4" s="314"/>
      <c r="N4" s="314"/>
      <c r="O4" s="313" t="str">
        <f>第4号様式!L2</f>
        <v>臨床研修事業</v>
      </c>
    </row>
    <row r="5" spans="1:15" ht="23.25" customHeight="1">
      <c r="A5" s="313" t="str">
        <f>CONCATENATE(1,"　",第4号様式!L2,"所要額")</f>
        <v>1　臨床研修事業所要額</v>
      </c>
    </row>
    <row r="6" spans="1:15" ht="17.25" customHeight="1">
      <c r="A6" s="1397" t="s">
        <v>260</v>
      </c>
      <c r="B6" s="1399" t="s">
        <v>178</v>
      </c>
      <c r="C6" s="341" t="s">
        <v>723</v>
      </c>
      <c r="D6" s="1399" t="s">
        <v>724</v>
      </c>
      <c r="E6" s="341" t="s">
        <v>181</v>
      </c>
      <c r="F6" s="1399" t="s">
        <v>725</v>
      </c>
      <c r="G6" s="1399" t="s">
        <v>726</v>
      </c>
      <c r="H6" s="1395" t="s">
        <v>727</v>
      </c>
      <c r="I6" s="1395" t="s">
        <v>728</v>
      </c>
      <c r="J6" s="1395" t="s">
        <v>186</v>
      </c>
      <c r="K6" s="1395" t="s">
        <v>187</v>
      </c>
      <c r="L6" s="1400" t="s">
        <v>729</v>
      </c>
      <c r="M6" s="1395" t="s">
        <v>730</v>
      </c>
      <c r="N6" s="1395" t="s">
        <v>731</v>
      </c>
    </row>
    <row r="7" spans="1:15" ht="17.25" customHeight="1">
      <c r="A7" s="1398"/>
      <c r="B7" s="1396"/>
      <c r="C7" s="342" t="s">
        <v>732</v>
      </c>
      <c r="D7" s="1396"/>
      <c r="E7" s="342" t="s">
        <v>192</v>
      </c>
      <c r="F7" s="1396"/>
      <c r="G7" s="1396"/>
      <c r="H7" s="1396"/>
      <c r="I7" s="1396"/>
      <c r="J7" s="1402"/>
      <c r="K7" s="1402"/>
      <c r="L7" s="1401"/>
      <c r="M7" s="1396"/>
      <c r="N7" s="1396"/>
    </row>
    <row r="8" spans="1:15" ht="17.25" customHeight="1">
      <c r="A8" s="1398"/>
      <c r="B8" s="1396"/>
      <c r="C8" s="342" t="s">
        <v>733</v>
      </c>
      <c r="D8" s="1396"/>
      <c r="E8" s="342" t="s">
        <v>734</v>
      </c>
      <c r="F8" s="1396"/>
      <c r="G8" s="1396"/>
      <c r="H8" s="1396"/>
      <c r="I8" s="1396"/>
      <c r="J8" s="1402"/>
      <c r="K8" s="1402"/>
      <c r="L8" s="1401"/>
      <c r="M8" s="1396"/>
      <c r="N8" s="1396"/>
    </row>
    <row r="9" spans="1:15" ht="17.25" customHeight="1">
      <c r="A9" s="343"/>
      <c r="B9" s="344" t="s">
        <v>735</v>
      </c>
      <c r="C9" s="345" t="s">
        <v>736</v>
      </c>
      <c r="D9" s="345" t="s">
        <v>737</v>
      </c>
      <c r="E9" s="345" t="s">
        <v>738</v>
      </c>
      <c r="F9" s="344" t="s">
        <v>739</v>
      </c>
      <c r="G9" s="344" t="s">
        <v>200</v>
      </c>
      <c r="H9" s="344" t="s">
        <v>201</v>
      </c>
      <c r="I9" s="344" t="s">
        <v>316</v>
      </c>
      <c r="J9" s="344" t="s">
        <v>203</v>
      </c>
      <c r="K9" s="344" t="s">
        <v>204</v>
      </c>
      <c r="L9" s="344" t="s">
        <v>205</v>
      </c>
      <c r="M9" s="344" t="s">
        <v>206</v>
      </c>
      <c r="N9" s="344" t="s">
        <v>324</v>
      </c>
    </row>
    <row r="10" spans="1:15" ht="16.5" customHeight="1">
      <c r="A10" s="346"/>
      <c r="B10" s="346" t="s">
        <v>207</v>
      </c>
      <c r="C10" s="346" t="s">
        <v>207</v>
      </c>
      <c r="D10" s="346" t="s">
        <v>207</v>
      </c>
      <c r="E10" s="346" t="s">
        <v>207</v>
      </c>
      <c r="F10" s="346" t="s">
        <v>207</v>
      </c>
      <c r="G10" s="346" t="s">
        <v>207</v>
      </c>
      <c r="H10" s="346" t="s">
        <v>209</v>
      </c>
      <c r="I10" s="346" t="s">
        <v>207</v>
      </c>
      <c r="J10" s="346" t="s">
        <v>207</v>
      </c>
      <c r="K10" s="346" t="s">
        <v>207</v>
      </c>
      <c r="L10" s="346" t="s">
        <v>207</v>
      </c>
      <c r="M10" s="346" t="s">
        <v>207</v>
      </c>
      <c r="N10" s="346" t="s">
        <v>207</v>
      </c>
    </row>
    <row r="11" spans="1:15" ht="29.25" customHeight="1">
      <c r="A11" s="599" t="str">
        <f>IFERROR(VLOOKUP(第4号様式!$L$2,様式リスト!$B:$CC,O11,0),"")</f>
        <v>教育指導経費</v>
      </c>
      <c r="B11" s="869"/>
      <c r="C11" s="870"/>
      <c r="D11" s="365" t="str">
        <f>IF(B11="","",B11-C11)</f>
        <v/>
      </c>
      <c r="E11" s="870"/>
      <c r="F11" s="348" t="str">
        <f>IF(E11="","",VLOOKUP($O$4,#REF!,78,0))</f>
        <v/>
      </c>
      <c r="G11" s="367" t="str">
        <f>IF(F11="","",MIN(F11,D11))</f>
        <v/>
      </c>
      <c r="H11" s="367" t="str">
        <f>IF(G11="","",IF(OR($O$4=#REF!,$O$4=#REF!),MIN(G11,E11)*0.5,MIN(G11,E11)))</f>
        <v/>
      </c>
      <c r="I11" s="367" t="str">
        <f>IF(D11="","",ROUNDDOWN(MIN(D11,H11),-3))</f>
        <v/>
      </c>
      <c r="J11" s="427"/>
      <c r="K11" s="367"/>
      <c r="L11" s="347"/>
      <c r="M11" s="869"/>
      <c r="N11" s="367" t="str">
        <f>IF(L11="","",M11-(MIN(I11,L11)))</f>
        <v/>
      </c>
      <c r="O11" s="313">
        <v>76</v>
      </c>
    </row>
    <row r="12" spans="1:15" ht="29.25" customHeight="1">
      <c r="A12" s="599" t="str">
        <f>IFERROR(VLOOKUP(第4号様式!$L$2,様式リスト!$B:$CC,O12,0),"")</f>
        <v>地域協議会経費</v>
      </c>
      <c r="B12" s="871"/>
      <c r="C12" s="872"/>
      <c r="D12" s="366" t="str">
        <f>IF(B12="","",B12-C12)</f>
        <v/>
      </c>
      <c r="E12" s="872"/>
      <c r="F12" s="350" t="str">
        <f>IF(E12="","",VLOOKUP($O$4,#REF!,79,0))</f>
        <v/>
      </c>
      <c r="G12" s="368" t="str">
        <f>IF(F12="","",MIN(F12,D12))</f>
        <v/>
      </c>
      <c r="H12" s="368" t="str">
        <f>IF(G12="","",IF(OR($O$4=#REF!,$O$4=#REF!),MIN(G12,E12)*0.5,MIN(G12,E12)))</f>
        <v/>
      </c>
      <c r="I12" s="368" t="str">
        <f>IF(D12="","",ROUNDDOWN(MIN(D12,H12),-3))</f>
        <v/>
      </c>
      <c r="J12" s="428"/>
      <c r="K12" s="368"/>
      <c r="L12" s="349"/>
      <c r="M12" s="871"/>
      <c r="N12" s="368" t="str">
        <f>IF(L12="","",M12-(MIN(I12,L12)))</f>
        <v/>
      </c>
      <c r="O12" s="313">
        <v>77</v>
      </c>
    </row>
    <row r="13" spans="1:15" ht="24" customHeight="1">
      <c r="A13" s="172" t="s">
        <v>302</v>
      </c>
      <c r="B13" s="369" t="str">
        <f>IF(SUM(B11:B12)=0,"",SUM(B11:B12))</f>
        <v/>
      </c>
      <c r="C13" s="369" t="str">
        <f t="shared" ref="C13:N13" si="0">IF(SUM(C11:C12)=0,"",SUM(C11:C12))</f>
        <v/>
      </c>
      <c r="D13" s="369" t="str">
        <f t="shared" si="0"/>
        <v/>
      </c>
      <c r="E13" s="369" t="str">
        <f t="shared" si="0"/>
        <v/>
      </c>
      <c r="F13" s="369" t="str">
        <f t="shared" si="0"/>
        <v/>
      </c>
      <c r="G13" s="369" t="str">
        <f t="shared" si="0"/>
        <v/>
      </c>
      <c r="H13" s="369" t="str">
        <f t="shared" si="0"/>
        <v/>
      </c>
      <c r="I13" s="369" t="str">
        <f t="shared" si="0"/>
        <v/>
      </c>
      <c r="J13" s="369"/>
      <c r="K13" s="369"/>
      <c r="L13" s="369" t="str">
        <f t="shared" si="0"/>
        <v/>
      </c>
      <c r="M13" s="369" t="str">
        <f t="shared" si="0"/>
        <v/>
      </c>
      <c r="N13" s="369" t="str">
        <f t="shared" si="0"/>
        <v/>
      </c>
    </row>
    <row r="14" spans="1:15" ht="23.1" customHeight="1"/>
    <row r="15" spans="1:15" ht="23.25" customHeight="1">
      <c r="A15" s="313" t="s">
        <v>740</v>
      </c>
    </row>
    <row r="16" spans="1:15" ht="22.5" customHeight="1">
      <c r="A16" s="351" t="s">
        <v>212</v>
      </c>
      <c r="B16" s="352"/>
      <c r="C16" s="352"/>
      <c r="D16" s="351" t="s">
        <v>741</v>
      </c>
      <c r="E16" s="353"/>
      <c r="F16" s="351" t="s">
        <v>742</v>
      </c>
      <c r="G16" s="352"/>
      <c r="H16" s="352"/>
      <c r="I16" s="352"/>
      <c r="J16" s="352"/>
      <c r="K16" s="352"/>
      <c r="L16" s="352"/>
      <c r="M16" s="352"/>
      <c r="N16" s="354"/>
    </row>
    <row r="17" spans="1:15" ht="15.75" customHeight="1">
      <c r="A17" s="1392"/>
      <c r="B17" s="1393"/>
      <c r="C17" s="1394"/>
      <c r="D17" s="358"/>
      <c r="E17" s="359" t="s">
        <v>207</v>
      </c>
      <c r="F17" s="356"/>
      <c r="G17" s="356"/>
      <c r="H17" s="356"/>
      <c r="I17" s="356"/>
      <c r="J17" s="356"/>
      <c r="K17" s="356"/>
      <c r="L17" s="356"/>
      <c r="M17" s="356"/>
      <c r="N17" s="360"/>
    </row>
    <row r="18" spans="1:15" ht="15.75" customHeight="1">
      <c r="A18" s="899" t="str">
        <f>IFERROR(VLOOKUP(第4号様式!$L$2,様式リスト!$B:$CC,O18,0),"")</f>
        <v>（Ⅰ　教育指導経費）</v>
      </c>
      <c r="B18" s="900"/>
      <c r="C18" s="901"/>
      <c r="D18" s="362"/>
      <c r="E18" s="873"/>
      <c r="F18" s="874"/>
      <c r="G18" s="874"/>
      <c r="H18" s="874"/>
      <c r="I18" s="874"/>
      <c r="J18" s="874"/>
      <c r="K18" s="874"/>
      <c r="L18" s="874"/>
      <c r="M18" s="874"/>
      <c r="N18" s="875"/>
      <c r="O18" s="313">
        <v>4</v>
      </c>
    </row>
    <row r="19" spans="1:15" ht="15.75" customHeight="1">
      <c r="A19" s="899" t="str">
        <f>IFERROR(VLOOKUP(第4号様式!$L$2,様式リスト!$B:$CC,O19,0),"")</f>
        <v>１　研修管理委員会等経費</v>
      </c>
      <c r="B19" s="900"/>
      <c r="C19" s="901"/>
      <c r="D19" s="362"/>
      <c r="E19" s="873"/>
      <c r="F19" s="874"/>
      <c r="G19" s="874"/>
      <c r="H19" s="874"/>
      <c r="I19" s="874"/>
      <c r="J19" s="874"/>
      <c r="K19" s="874"/>
      <c r="L19" s="874"/>
      <c r="M19" s="874"/>
      <c r="N19" s="875"/>
      <c r="O19" s="313">
        <v>5</v>
      </c>
    </row>
    <row r="20" spans="1:15" ht="15.75" customHeight="1">
      <c r="A20" s="899" t="str">
        <f>IFERROR(VLOOKUP(第4号様式!$L$2,様式リスト!$B:$CC,O20,0),"")</f>
        <v>諸謝金</v>
      </c>
      <c r="B20" s="900"/>
      <c r="C20" s="901"/>
      <c r="D20" s="362"/>
      <c r="E20" s="875"/>
      <c r="F20" s="874"/>
      <c r="G20" s="874"/>
      <c r="H20" s="874"/>
      <c r="I20" s="874"/>
      <c r="J20" s="874"/>
      <c r="K20" s="874"/>
      <c r="L20" s="874"/>
      <c r="M20" s="874"/>
      <c r="N20" s="875"/>
      <c r="O20" s="313">
        <v>6</v>
      </c>
    </row>
    <row r="21" spans="1:15" ht="15.75" customHeight="1">
      <c r="A21" s="899" t="str">
        <f>IFERROR(VLOOKUP(第4号様式!$L$2,様式リスト!$B:$CC,O21,0),"")</f>
        <v>旅費</v>
      </c>
      <c r="B21" s="900"/>
      <c r="C21" s="901"/>
      <c r="D21" s="362"/>
      <c r="E21" s="875"/>
      <c r="F21" s="874"/>
      <c r="G21" s="874"/>
      <c r="H21" s="874"/>
      <c r="I21" s="874"/>
      <c r="J21" s="874"/>
      <c r="K21" s="874"/>
      <c r="L21" s="874"/>
      <c r="M21" s="874"/>
      <c r="N21" s="875"/>
      <c r="O21" s="313">
        <v>7</v>
      </c>
    </row>
    <row r="22" spans="1:15" ht="15.75" customHeight="1">
      <c r="A22" s="899" t="str">
        <f>IFERROR(VLOOKUP(第4号様式!$L$2,様式リスト!$B:$CC,O22,0),"")</f>
        <v>消耗品費</v>
      </c>
      <c r="B22" s="900"/>
      <c r="C22" s="901"/>
      <c r="D22" s="362"/>
      <c r="E22" s="875"/>
      <c r="F22" s="874"/>
      <c r="G22" s="874"/>
      <c r="H22" s="874"/>
      <c r="I22" s="874"/>
      <c r="J22" s="874"/>
      <c r="K22" s="874"/>
      <c r="L22" s="874"/>
      <c r="M22" s="874"/>
      <c r="N22" s="875"/>
      <c r="O22" s="313">
        <v>8</v>
      </c>
    </row>
    <row r="23" spans="1:15" ht="15.75" customHeight="1">
      <c r="A23" s="899" t="str">
        <f>IFERROR(VLOOKUP(第4号様式!$L$2,様式リスト!$B:$CC,O23,0),"")</f>
        <v>印刷製本費</v>
      </c>
      <c r="B23" s="900"/>
      <c r="C23" s="901"/>
      <c r="D23" s="362"/>
      <c r="E23" s="875"/>
      <c r="F23" s="874"/>
      <c r="G23" s="874"/>
      <c r="H23" s="874"/>
      <c r="I23" s="874"/>
      <c r="J23" s="874"/>
      <c r="K23" s="874"/>
      <c r="L23" s="874"/>
      <c r="M23" s="874"/>
      <c r="N23" s="875"/>
      <c r="O23" s="313">
        <v>9</v>
      </c>
    </row>
    <row r="24" spans="1:15" ht="15.75" customHeight="1">
      <c r="A24" s="899" t="str">
        <f>IFERROR(VLOOKUP(第4号様式!$L$2,様式リスト!$B:$CC,O24,0),"")</f>
        <v>通信運搬費</v>
      </c>
      <c r="B24" s="900"/>
      <c r="C24" s="901"/>
      <c r="D24" s="362"/>
      <c r="E24" s="875"/>
      <c r="F24" s="874"/>
      <c r="G24" s="874"/>
      <c r="H24" s="874"/>
      <c r="I24" s="874"/>
      <c r="J24" s="874"/>
      <c r="K24" s="874"/>
      <c r="L24" s="874"/>
      <c r="M24" s="874"/>
      <c r="N24" s="875"/>
      <c r="O24" s="313">
        <v>10</v>
      </c>
    </row>
    <row r="25" spans="1:15" ht="15.75" customHeight="1">
      <c r="A25" s="899" t="str">
        <f>IFERROR(VLOOKUP(第4号様式!$L$2,様式リスト!$B:$CC,O25,0),"")</f>
        <v>会議費</v>
      </c>
      <c r="B25" s="900"/>
      <c r="C25" s="901"/>
      <c r="D25" s="362"/>
      <c r="E25" s="875"/>
      <c r="F25" s="874"/>
      <c r="G25" s="874"/>
      <c r="H25" s="874"/>
      <c r="I25" s="874"/>
      <c r="J25" s="874"/>
      <c r="K25" s="874"/>
      <c r="L25" s="874"/>
      <c r="M25" s="874"/>
      <c r="N25" s="875"/>
      <c r="O25" s="313">
        <v>11</v>
      </c>
    </row>
    <row r="26" spans="1:15" ht="15.75" customHeight="1">
      <c r="A26" s="899" t="str">
        <f>IFERROR(VLOOKUP(第4号様式!$L$2,様式リスト!$B:$CC,O26,0),"")</f>
        <v xml:space="preserve"> </v>
      </c>
      <c r="B26" s="900"/>
      <c r="C26" s="901"/>
      <c r="D26" s="362"/>
      <c r="E26" s="875"/>
      <c r="F26" s="874"/>
      <c r="G26" s="874"/>
      <c r="H26" s="874"/>
      <c r="I26" s="874"/>
      <c r="J26" s="874"/>
      <c r="K26" s="874"/>
      <c r="L26" s="874"/>
      <c r="M26" s="874"/>
      <c r="N26" s="875"/>
      <c r="O26" s="313">
        <v>12</v>
      </c>
    </row>
    <row r="27" spans="1:15" ht="15.75" customHeight="1">
      <c r="A27" s="899" t="str">
        <f>IFERROR(VLOOKUP(第4号様式!$L$2,様式リスト!$B:$CC,O27,0),"")</f>
        <v>２　プログラム責任者人件費（プログラム管理に係るもの）</v>
      </c>
      <c r="B27" s="900"/>
      <c r="C27" s="901"/>
      <c r="D27" s="362"/>
      <c r="E27" s="875"/>
      <c r="F27" s="874"/>
      <c r="G27" s="874"/>
      <c r="H27" s="874"/>
      <c r="I27" s="874"/>
      <c r="J27" s="874"/>
      <c r="K27" s="874"/>
      <c r="L27" s="874"/>
      <c r="M27" s="874"/>
      <c r="N27" s="875"/>
      <c r="O27" s="313">
        <v>13</v>
      </c>
    </row>
    <row r="28" spans="1:15" ht="15.75" customHeight="1">
      <c r="A28" s="899" t="str">
        <f>IFERROR(VLOOKUP(第4号様式!$L$2,様式リスト!$B:$CC,O28,0),"")</f>
        <v>職員基本給</v>
      </c>
      <c r="B28" s="900"/>
      <c r="C28" s="901"/>
      <c r="D28" s="362"/>
      <c r="E28" s="875"/>
      <c r="F28" s="874"/>
      <c r="G28" s="874"/>
      <c r="H28" s="874"/>
      <c r="I28" s="874"/>
      <c r="J28" s="874"/>
      <c r="K28" s="874"/>
      <c r="L28" s="874"/>
      <c r="M28" s="874"/>
      <c r="N28" s="875"/>
      <c r="O28" s="313">
        <v>14</v>
      </c>
    </row>
    <row r="29" spans="1:15" ht="15.75" customHeight="1">
      <c r="A29" s="899" t="str">
        <f>IFERROR(VLOOKUP(第4号様式!$L$2,様式リスト!$B:$CC,O29,0),"")</f>
        <v>職員諸手当</v>
      </c>
      <c r="B29" s="900"/>
      <c r="C29" s="901"/>
      <c r="D29" s="362"/>
      <c r="E29" s="875"/>
      <c r="F29" s="874"/>
      <c r="G29" s="874"/>
      <c r="H29" s="874"/>
      <c r="I29" s="874"/>
      <c r="J29" s="874"/>
      <c r="K29" s="874"/>
      <c r="L29" s="874"/>
      <c r="M29" s="874"/>
      <c r="N29" s="875"/>
      <c r="O29" s="313">
        <v>15</v>
      </c>
    </row>
    <row r="30" spans="1:15" ht="15.75" customHeight="1">
      <c r="A30" s="899" t="str">
        <f>IFERROR(VLOOKUP(第4号様式!$L$2,様式リスト!$B:$CC,O30,0),"")</f>
        <v>　</v>
      </c>
      <c r="B30" s="900"/>
      <c r="C30" s="901"/>
      <c r="D30" s="362"/>
      <c r="E30" s="875"/>
      <c r="F30" s="874"/>
      <c r="G30" s="874"/>
      <c r="H30" s="874"/>
      <c r="I30" s="874"/>
      <c r="J30" s="874"/>
      <c r="K30" s="874"/>
      <c r="L30" s="874"/>
      <c r="M30" s="874"/>
      <c r="N30" s="875"/>
      <c r="O30" s="313">
        <v>16</v>
      </c>
    </row>
    <row r="31" spans="1:15" ht="15.75" customHeight="1">
      <c r="A31" s="899" t="str">
        <f>IFERROR(VLOOKUP(第4号様式!$L$2,様式リスト!$B:$CC,O31,0),"")</f>
        <v>３　指導医及びプログラム責任者の補助者雇上経費</v>
      </c>
      <c r="B31" s="900"/>
      <c r="C31" s="901"/>
      <c r="D31" s="362"/>
      <c r="E31" s="875"/>
      <c r="F31" s="874"/>
      <c r="G31" s="874"/>
      <c r="H31" s="874"/>
      <c r="I31" s="874"/>
      <c r="J31" s="874"/>
      <c r="K31" s="874"/>
      <c r="L31" s="874"/>
      <c r="M31" s="874"/>
      <c r="N31" s="875"/>
      <c r="O31" s="313">
        <v>17</v>
      </c>
    </row>
    <row r="32" spans="1:15" ht="15.75" customHeight="1">
      <c r="A32" s="899" t="str">
        <f>IFERROR(VLOOKUP(第4号様式!$L$2,様式リスト!$B:$CC,O32,0),"")</f>
        <v>職員諸手当（非常勤）</v>
      </c>
      <c r="B32" s="900"/>
      <c r="C32" s="901"/>
      <c r="D32" s="362"/>
      <c r="E32" s="875"/>
      <c r="F32" s="874"/>
      <c r="G32" s="874"/>
      <c r="H32" s="874"/>
      <c r="I32" s="874"/>
      <c r="J32" s="874"/>
      <c r="K32" s="874"/>
      <c r="L32" s="874"/>
      <c r="M32" s="874"/>
      <c r="N32" s="875"/>
      <c r="O32" s="313">
        <v>18</v>
      </c>
    </row>
    <row r="33" spans="1:15" ht="15.75" customHeight="1">
      <c r="A33" s="899" t="str">
        <f>IFERROR(VLOOKUP(第4号様式!$L$2,様式リスト!$B:$CC,O33,0),"")</f>
        <v>非常勤職員手当</v>
      </c>
      <c r="B33" s="900"/>
      <c r="C33" s="901"/>
      <c r="D33" s="362"/>
      <c r="E33" s="875"/>
      <c r="F33" s="874"/>
      <c r="G33" s="874"/>
      <c r="H33" s="874"/>
      <c r="I33" s="874"/>
      <c r="J33" s="874"/>
      <c r="K33" s="874"/>
      <c r="L33" s="874"/>
      <c r="M33" s="874"/>
      <c r="N33" s="875"/>
      <c r="O33" s="313">
        <v>19</v>
      </c>
    </row>
    <row r="34" spans="1:15" ht="15.75" customHeight="1">
      <c r="A34" s="899" t="str">
        <f>IFERROR(VLOOKUP(第4号様式!$L$2,様式リスト!$B:$CC,O34,0),"")</f>
        <v>　</v>
      </c>
      <c r="B34" s="900"/>
      <c r="C34" s="901"/>
      <c r="D34" s="362"/>
      <c r="E34" s="875"/>
      <c r="F34" s="874"/>
      <c r="G34" s="874"/>
      <c r="H34" s="874"/>
      <c r="I34" s="874"/>
      <c r="J34" s="874"/>
      <c r="K34" s="874"/>
      <c r="L34" s="874"/>
      <c r="M34" s="874"/>
      <c r="N34" s="875"/>
      <c r="O34" s="313">
        <v>20</v>
      </c>
    </row>
    <row r="35" spans="1:15" ht="15.75" customHeight="1">
      <c r="A35" s="899" t="str">
        <f>IFERROR(VLOOKUP(第4号様式!$L$2,様式リスト!$B:$CC,O35,0),"")</f>
        <v>４　通信運搬費</v>
      </c>
      <c r="B35" s="900"/>
      <c r="C35" s="901"/>
      <c r="D35" s="362"/>
      <c r="E35" s="875"/>
      <c r="F35" s="874"/>
      <c r="G35" s="874"/>
      <c r="H35" s="874"/>
      <c r="I35" s="874"/>
      <c r="J35" s="874"/>
      <c r="K35" s="874"/>
      <c r="L35" s="874"/>
      <c r="M35" s="874"/>
      <c r="N35" s="875"/>
      <c r="O35" s="313">
        <v>21</v>
      </c>
    </row>
    <row r="36" spans="1:15" ht="15.75" customHeight="1">
      <c r="A36" s="899" t="str">
        <f>IFERROR(VLOOKUP(第4号様式!$L$2,様式リスト!$B:$CC,O36,0),"")</f>
        <v>　</v>
      </c>
      <c r="B36" s="900"/>
      <c r="C36" s="901"/>
      <c r="D36" s="362"/>
      <c r="E36" s="875"/>
      <c r="F36" s="874"/>
      <c r="G36" s="874"/>
      <c r="H36" s="874"/>
      <c r="I36" s="874"/>
      <c r="J36" s="874"/>
      <c r="K36" s="874"/>
      <c r="L36" s="874"/>
      <c r="M36" s="874"/>
      <c r="N36" s="875"/>
      <c r="O36" s="313">
        <v>22</v>
      </c>
    </row>
    <row r="37" spans="1:15" ht="15.75" customHeight="1">
      <c r="A37" s="899" t="str">
        <f>IFERROR(VLOOKUP(第4号様式!$L$2,様式リスト!$B:$CC,O37,0),"")</f>
        <v>５　指導医、プログラム責任者（研修医指導分）にかかる経費</v>
      </c>
      <c r="B37" s="900"/>
      <c r="C37" s="901"/>
      <c r="D37" s="362"/>
      <c r="E37" s="875"/>
      <c r="F37" s="874"/>
      <c r="G37" s="874"/>
      <c r="H37" s="874"/>
      <c r="I37" s="874"/>
      <c r="J37" s="874"/>
      <c r="K37" s="874"/>
      <c r="L37" s="874"/>
      <c r="M37" s="874"/>
      <c r="N37" s="875"/>
      <c r="O37" s="313">
        <v>23</v>
      </c>
    </row>
    <row r="38" spans="1:15" ht="15.75" customHeight="1">
      <c r="A38" s="899" t="str">
        <f>IFERROR(VLOOKUP(第4号様式!$L$2,様式リスト!$B:$CC,O38,0),"")</f>
        <v>職員基本給</v>
      </c>
      <c r="B38" s="900"/>
      <c r="C38" s="901"/>
      <c r="D38" s="362"/>
      <c r="E38" s="875"/>
      <c r="F38" s="874"/>
      <c r="G38" s="874"/>
      <c r="H38" s="874"/>
      <c r="I38" s="874"/>
      <c r="J38" s="874"/>
      <c r="K38" s="874"/>
      <c r="L38" s="874"/>
      <c r="M38" s="874"/>
      <c r="N38" s="875"/>
      <c r="O38" s="313">
        <v>24</v>
      </c>
    </row>
    <row r="39" spans="1:15" ht="15.75" customHeight="1">
      <c r="A39" s="899" t="str">
        <f>IFERROR(VLOOKUP(第4号様式!$L$2,様式リスト!$B:$CC,O39,0),"")</f>
        <v>職員諸手当</v>
      </c>
      <c r="B39" s="900"/>
      <c r="C39" s="901"/>
      <c r="D39" s="362"/>
      <c r="E39" s="875"/>
      <c r="F39" s="874"/>
      <c r="G39" s="874"/>
      <c r="H39" s="874"/>
      <c r="I39" s="874"/>
      <c r="J39" s="874"/>
      <c r="K39" s="874"/>
      <c r="L39" s="874"/>
      <c r="M39" s="874"/>
      <c r="N39" s="875"/>
      <c r="O39" s="313">
        <v>25</v>
      </c>
    </row>
    <row r="40" spans="1:15" ht="15.75" customHeight="1">
      <c r="A40" s="899" t="str">
        <f>IFERROR(VLOOKUP(第4号様式!$L$2,様式リスト!$B:$CC,O40,0),"")</f>
        <v>非常勤職員手当</v>
      </c>
      <c r="B40" s="900"/>
      <c r="C40" s="901"/>
      <c r="D40" s="362"/>
      <c r="E40" s="875"/>
      <c r="F40" s="874"/>
      <c r="G40" s="874"/>
      <c r="H40" s="874"/>
      <c r="I40" s="874"/>
      <c r="J40" s="874"/>
      <c r="K40" s="874"/>
      <c r="L40" s="874"/>
      <c r="M40" s="874"/>
      <c r="N40" s="875"/>
      <c r="O40" s="313">
        <v>26</v>
      </c>
    </row>
    <row r="41" spans="1:15" ht="15.75" customHeight="1">
      <c r="A41" s="899" t="str">
        <f>IFERROR(VLOOKUP(第4号様式!$L$2,様式リスト!$B:$CC,O41,0),"")</f>
        <v>諸謝金</v>
      </c>
      <c r="B41" s="900"/>
      <c r="C41" s="901"/>
      <c r="D41" s="362"/>
      <c r="E41" s="875"/>
      <c r="F41" s="874"/>
      <c r="G41" s="874"/>
      <c r="H41" s="874"/>
      <c r="I41" s="874"/>
      <c r="J41" s="874"/>
      <c r="K41" s="874"/>
      <c r="L41" s="874"/>
      <c r="M41" s="874"/>
      <c r="N41" s="875"/>
      <c r="O41" s="313">
        <v>27</v>
      </c>
    </row>
    <row r="42" spans="1:15" ht="15.75" customHeight="1">
      <c r="A42" s="899" t="str">
        <f>IFERROR(VLOOKUP(第4号様式!$L$2,様式リスト!$B:$CC,O42,0),"")</f>
        <v>　</v>
      </c>
      <c r="B42" s="900"/>
      <c r="C42" s="901"/>
      <c r="D42" s="362"/>
      <c r="E42" s="875"/>
      <c r="F42" s="874"/>
      <c r="G42" s="874"/>
      <c r="H42" s="874"/>
      <c r="I42" s="874"/>
      <c r="J42" s="874"/>
      <c r="K42" s="874"/>
      <c r="L42" s="874"/>
      <c r="M42" s="874"/>
      <c r="N42" s="875"/>
      <c r="O42" s="313">
        <v>28</v>
      </c>
    </row>
    <row r="43" spans="1:15" ht="15.75" customHeight="1">
      <c r="A43" s="899" t="str">
        <f>IFERROR(VLOOKUP(第4号様式!$L$2,様式リスト!$B:$CC,O43,0),"")</f>
        <v>６　情報収集及び学会等出席経費</v>
      </c>
      <c r="B43" s="900"/>
      <c r="C43" s="901"/>
      <c r="D43" s="362"/>
      <c r="E43" s="875"/>
      <c r="F43" s="874"/>
      <c r="G43" s="874"/>
      <c r="H43" s="874"/>
      <c r="I43" s="874"/>
      <c r="J43" s="874"/>
      <c r="K43" s="874"/>
      <c r="L43" s="874"/>
      <c r="M43" s="874"/>
      <c r="N43" s="875"/>
      <c r="O43" s="313">
        <v>29</v>
      </c>
    </row>
    <row r="44" spans="1:15" ht="15.75" customHeight="1">
      <c r="A44" s="899" t="str">
        <f>IFERROR(VLOOKUP(第4号様式!$L$2,様式リスト!$B:$CC,O44,0),"")</f>
        <v>旅費</v>
      </c>
      <c r="B44" s="900"/>
      <c r="C44" s="901"/>
      <c r="D44" s="362"/>
      <c r="E44" s="875"/>
      <c r="F44" s="874"/>
      <c r="G44" s="874"/>
      <c r="H44" s="874"/>
      <c r="I44" s="874"/>
      <c r="J44" s="874"/>
      <c r="K44" s="874"/>
      <c r="L44" s="874"/>
      <c r="M44" s="874"/>
      <c r="N44" s="875"/>
      <c r="O44" s="313">
        <v>30</v>
      </c>
    </row>
    <row r="45" spans="1:15" ht="15.75" customHeight="1">
      <c r="A45" s="899" t="str">
        <f>IFERROR(VLOOKUP(第4号様式!$L$2,様式リスト!$B:$CC,O45,0),"")</f>
        <v>備品費（図書）</v>
      </c>
      <c r="B45" s="900"/>
      <c r="C45" s="901"/>
      <c r="D45" s="362"/>
      <c r="E45" s="875"/>
      <c r="F45" s="874"/>
      <c r="G45" s="874"/>
      <c r="H45" s="874"/>
      <c r="I45" s="874"/>
      <c r="J45" s="874"/>
      <c r="K45" s="874"/>
      <c r="L45" s="874"/>
      <c r="M45" s="874"/>
      <c r="N45" s="875"/>
      <c r="O45" s="313">
        <v>31</v>
      </c>
    </row>
    <row r="46" spans="1:15" ht="15.75" customHeight="1">
      <c r="A46" s="899" t="str">
        <f>IFERROR(VLOOKUP(第4号様式!$L$2,様式リスト!$B:$CC,O46,0),"")</f>
        <v>消耗品（教材等材料費を含む）</v>
      </c>
      <c r="B46" s="900"/>
      <c r="C46" s="901"/>
      <c r="D46" s="362"/>
      <c r="E46" s="875"/>
      <c r="F46" s="874"/>
      <c r="G46" s="874"/>
      <c r="H46" s="874"/>
      <c r="I46" s="874"/>
      <c r="J46" s="874"/>
      <c r="K46" s="874"/>
      <c r="L46" s="874"/>
      <c r="M46" s="874"/>
      <c r="N46" s="875"/>
      <c r="O46" s="313">
        <v>32</v>
      </c>
    </row>
    <row r="47" spans="1:15" ht="15.75" customHeight="1">
      <c r="A47" s="899" t="str">
        <f>IFERROR(VLOOKUP(第4号様式!$L$2,様式リスト!$B:$CC,O47,0),"")</f>
        <v>　</v>
      </c>
      <c r="B47" s="900"/>
      <c r="C47" s="901"/>
      <c r="D47" s="362"/>
      <c r="E47" s="875"/>
      <c r="F47" s="874"/>
      <c r="G47" s="874"/>
      <c r="H47" s="874"/>
      <c r="I47" s="874"/>
      <c r="J47" s="874"/>
      <c r="K47" s="874"/>
      <c r="L47" s="874"/>
      <c r="M47" s="874"/>
      <c r="N47" s="875"/>
      <c r="O47" s="313">
        <v>33</v>
      </c>
    </row>
    <row r="48" spans="1:15" ht="15.75" customHeight="1">
      <c r="A48" s="899" t="str">
        <f>IFERROR(VLOOKUP(第4号様式!$L$2,様式リスト!$B:$CC,O48,0),"")</f>
        <v>７　剖検経費</v>
      </c>
      <c r="B48" s="900"/>
      <c r="C48" s="901"/>
      <c r="D48" s="362"/>
      <c r="E48" s="875"/>
      <c r="F48" s="874"/>
      <c r="G48" s="874"/>
      <c r="H48" s="874"/>
      <c r="I48" s="874"/>
      <c r="J48" s="874"/>
      <c r="K48" s="874"/>
      <c r="L48" s="874"/>
      <c r="M48" s="874"/>
      <c r="N48" s="875"/>
      <c r="O48" s="313">
        <v>34</v>
      </c>
    </row>
    <row r="49" spans="1:15" ht="15.75" customHeight="1">
      <c r="A49" s="899" t="str">
        <f>IFERROR(VLOOKUP(第4号様式!$L$2,様式リスト!$B:$CC,O49,0),"")</f>
        <v>諸謝金（臨床研修病院のみ）</v>
      </c>
      <c r="B49" s="900"/>
      <c r="C49" s="901"/>
      <c r="D49" s="362"/>
      <c r="E49" s="875"/>
      <c r="F49" s="874"/>
      <c r="G49" s="874"/>
      <c r="H49" s="874"/>
      <c r="I49" s="874"/>
      <c r="J49" s="874"/>
      <c r="K49" s="874"/>
      <c r="L49" s="874"/>
      <c r="M49" s="874"/>
      <c r="N49" s="875"/>
      <c r="O49" s="313">
        <v>35</v>
      </c>
    </row>
    <row r="50" spans="1:15" ht="15.75" customHeight="1">
      <c r="A50" s="899" t="str">
        <f>IFERROR(VLOOKUP(第4号様式!$L$2,様式リスト!$B:$CC,O50,0),"")</f>
        <v>旅費（臨床研修病院のみ）</v>
      </c>
      <c r="B50" s="900"/>
      <c r="C50" s="901"/>
      <c r="D50" s="362"/>
      <c r="E50" s="875"/>
      <c r="F50" s="874"/>
      <c r="G50" s="874"/>
      <c r="H50" s="874"/>
      <c r="I50" s="874"/>
      <c r="J50" s="874"/>
      <c r="K50" s="874"/>
      <c r="L50" s="874"/>
      <c r="M50" s="874"/>
      <c r="N50" s="875"/>
      <c r="O50" s="313">
        <v>36</v>
      </c>
    </row>
    <row r="51" spans="1:15" ht="15.75" customHeight="1">
      <c r="A51" s="899" t="str">
        <f>IFERROR(VLOOKUP(第4号様式!$L$2,様式リスト!$B:$CC,O51,0),"")</f>
        <v>消耗品費</v>
      </c>
      <c r="B51" s="900"/>
      <c r="C51" s="901"/>
      <c r="D51" s="362"/>
      <c r="E51" s="875"/>
      <c r="F51" s="874"/>
      <c r="G51" s="874"/>
      <c r="H51" s="874"/>
      <c r="I51" s="874"/>
      <c r="J51" s="874"/>
      <c r="K51" s="874"/>
      <c r="L51" s="874"/>
      <c r="M51" s="874"/>
      <c r="N51" s="875"/>
      <c r="O51" s="313">
        <v>37</v>
      </c>
    </row>
    <row r="52" spans="1:15" ht="15.75" customHeight="1">
      <c r="A52" s="899" t="str">
        <f>IFERROR(VLOOKUP(第4号様式!$L$2,様式リスト!$B:$CC,O52,0),"")</f>
        <v>　</v>
      </c>
      <c r="B52" s="900"/>
      <c r="C52" s="901"/>
      <c r="D52" s="362"/>
      <c r="E52" s="875"/>
      <c r="F52" s="874"/>
      <c r="G52" s="874"/>
      <c r="H52" s="874"/>
      <c r="I52" s="874"/>
      <c r="J52" s="874"/>
      <c r="K52" s="874"/>
      <c r="L52" s="874"/>
      <c r="M52" s="874"/>
      <c r="N52" s="875"/>
      <c r="O52" s="313">
        <v>38</v>
      </c>
    </row>
    <row r="53" spans="1:15" ht="15.75" customHeight="1">
      <c r="A53" s="899" t="str">
        <f>IFERROR(VLOOKUP(第4号様式!$L$2,様式リスト!$B:$CC,O53,0),"")</f>
        <v>８へき地診療所等の研修経費</v>
      </c>
      <c r="B53" s="900"/>
      <c r="C53" s="901"/>
      <c r="D53" s="362"/>
      <c r="E53" s="875"/>
      <c r="F53" s="874"/>
      <c r="G53" s="874"/>
      <c r="H53" s="874"/>
      <c r="I53" s="874"/>
      <c r="J53" s="874"/>
      <c r="K53" s="874"/>
      <c r="L53" s="874"/>
      <c r="M53" s="874"/>
      <c r="N53" s="875"/>
      <c r="O53" s="313">
        <v>39</v>
      </c>
    </row>
    <row r="54" spans="1:15" ht="15.75" customHeight="1">
      <c r="A54" s="899" t="str">
        <f>IFERROR(VLOOKUP(第4号様式!$L$2,様式リスト!$B:$CC,O54,0),"")</f>
        <v>旅費</v>
      </c>
      <c r="B54" s="900"/>
      <c r="C54" s="901"/>
      <c r="D54" s="362"/>
      <c r="E54" s="875"/>
      <c r="F54" s="874"/>
      <c r="G54" s="874"/>
      <c r="H54" s="874"/>
      <c r="I54" s="874"/>
      <c r="J54" s="874"/>
      <c r="K54" s="874"/>
      <c r="L54" s="874"/>
      <c r="M54" s="874"/>
      <c r="N54" s="875"/>
      <c r="O54" s="313">
        <v>40</v>
      </c>
    </row>
    <row r="55" spans="1:15" ht="15.75" customHeight="1">
      <c r="A55" s="899" t="str">
        <f>IFERROR(VLOOKUP(第4号様式!$L$2,様式リスト!$B:$CC,O55,0),"")</f>
        <v>　</v>
      </c>
      <c r="B55" s="900"/>
      <c r="C55" s="901"/>
      <c r="D55" s="362"/>
      <c r="E55" s="875"/>
      <c r="F55" s="874"/>
      <c r="G55" s="874"/>
      <c r="H55" s="874"/>
      <c r="I55" s="874"/>
      <c r="J55" s="874"/>
      <c r="K55" s="874"/>
      <c r="L55" s="874"/>
      <c r="M55" s="874"/>
      <c r="N55" s="875"/>
      <c r="O55" s="313">
        <v>41</v>
      </c>
    </row>
    <row r="56" spans="1:15" ht="15.75" customHeight="1">
      <c r="A56" s="899" t="str">
        <f>IFERROR(VLOOKUP(第4号様式!$L$2,様式リスト!$B:$CC,O56,0),"")</f>
        <v>９　産婦人科宿日直研修事業費、小児科宿日直研修事業費</v>
      </c>
      <c r="B56" s="900"/>
      <c r="C56" s="901"/>
      <c r="D56" s="362"/>
      <c r="E56" s="875"/>
      <c r="F56" s="874"/>
      <c r="G56" s="874"/>
      <c r="H56" s="874"/>
      <c r="I56" s="874"/>
      <c r="J56" s="874"/>
      <c r="K56" s="874"/>
      <c r="L56" s="874"/>
      <c r="M56" s="874"/>
      <c r="N56" s="875"/>
      <c r="O56" s="313">
        <v>42</v>
      </c>
    </row>
    <row r="57" spans="1:15" ht="15.75" customHeight="1">
      <c r="A57" s="899" t="str">
        <f>IFERROR(VLOOKUP(第4号様式!$L$2,様式リスト!$B:$CC,O57,0),"")</f>
        <v>宿日直手当</v>
      </c>
      <c r="B57" s="900"/>
      <c r="C57" s="901"/>
      <c r="D57" s="362"/>
      <c r="E57" s="875"/>
      <c r="F57" s="874"/>
      <c r="G57" s="874"/>
      <c r="H57" s="874"/>
      <c r="I57" s="874"/>
      <c r="J57" s="874"/>
      <c r="K57" s="874"/>
      <c r="L57" s="874"/>
      <c r="M57" s="874"/>
      <c r="N57" s="875"/>
      <c r="O57" s="313">
        <v>43</v>
      </c>
    </row>
    <row r="58" spans="1:15" ht="15.75" customHeight="1">
      <c r="A58" s="899" t="str">
        <f>IFERROR(VLOOKUP(第4号様式!$L$2,様式リスト!$B:$CC,O58,0),"")</f>
        <v>（１）産婦人科</v>
      </c>
      <c r="B58" s="900"/>
      <c r="C58" s="901"/>
      <c r="D58" s="362"/>
      <c r="E58" s="875"/>
      <c r="F58" s="874"/>
      <c r="G58" s="874"/>
      <c r="H58" s="874"/>
      <c r="I58" s="874"/>
      <c r="J58" s="874"/>
      <c r="K58" s="874"/>
      <c r="L58" s="874"/>
      <c r="M58" s="874"/>
      <c r="N58" s="875"/>
      <c r="O58" s="313">
        <v>44</v>
      </c>
    </row>
    <row r="59" spans="1:15" ht="15.75" customHeight="1">
      <c r="A59" s="899" t="str">
        <f>IFERROR(VLOOKUP(第4号様式!$L$2,様式リスト!$B:$CC,O59,0),"")</f>
        <v>（２）小児科</v>
      </c>
      <c r="B59" s="900"/>
      <c r="C59" s="901"/>
      <c r="D59" s="362"/>
      <c r="E59" s="875"/>
      <c r="F59" s="874"/>
      <c r="G59" s="874"/>
      <c r="H59" s="874"/>
      <c r="I59" s="874"/>
      <c r="J59" s="874"/>
      <c r="K59" s="874"/>
      <c r="L59" s="874"/>
      <c r="M59" s="874"/>
      <c r="N59" s="875"/>
      <c r="O59" s="313">
        <v>45</v>
      </c>
    </row>
    <row r="60" spans="1:15" ht="15.75" customHeight="1">
      <c r="A60" s="899" t="str">
        <f>IFERROR(VLOOKUP(第4号様式!$L$2,様式リスト!$B:$CC,O60,0),"")</f>
        <v>【オンコール手当】</v>
      </c>
      <c r="B60" s="900"/>
      <c r="C60" s="901"/>
      <c r="D60" s="362"/>
      <c r="E60" s="875"/>
      <c r="F60" s="874"/>
      <c r="G60" s="874"/>
      <c r="H60" s="874"/>
      <c r="I60" s="874"/>
      <c r="J60" s="874"/>
      <c r="K60" s="874"/>
      <c r="L60" s="874"/>
      <c r="M60" s="874"/>
      <c r="N60" s="875"/>
      <c r="O60" s="313">
        <v>46</v>
      </c>
    </row>
    <row r="61" spans="1:15" ht="15.75" customHeight="1">
      <c r="A61" s="899" t="str">
        <f>IFERROR(VLOOKUP(第4号様式!$L$2,様式リスト!$B:$CC,O61,0),"")</f>
        <v>　</v>
      </c>
      <c r="B61" s="900"/>
      <c r="C61" s="901"/>
      <c r="D61" s="362"/>
      <c r="E61" s="875"/>
      <c r="F61" s="874"/>
      <c r="G61" s="874"/>
      <c r="H61" s="874"/>
      <c r="I61" s="874"/>
      <c r="J61" s="874"/>
      <c r="K61" s="874"/>
      <c r="L61" s="874"/>
      <c r="M61" s="874"/>
      <c r="N61" s="875"/>
      <c r="O61" s="313">
        <v>47</v>
      </c>
    </row>
    <row r="62" spans="1:15" ht="15.75" customHeight="1">
      <c r="A62" s="899" t="str">
        <f>IFERROR(VLOOKUP(第4号様式!$L$2,様式リスト!$B:$CC,O62,0),"")</f>
        <v>　</v>
      </c>
      <c r="B62" s="900"/>
      <c r="C62" s="901"/>
      <c r="D62" s="362"/>
      <c r="E62" s="875"/>
      <c r="F62" s="874"/>
      <c r="G62" s="874"/>
      <c r="H62" s="874"/>
      <c r="I62" s="874"/>
      <c r="J62" s="874"/>
      <c r="K62" s="874"/>
      <c r="L62" s="874"/>
      <c r="M62" s="874"/>
      <c r="N62" s="875"/>
      <c r="O62" s="313">
        <v>48</v>
      </c>
    </row>
    <row r="63" spans="1:15" ht="15.75" customHeight="1">
      <c r="A63" s="899" t="str">
        <f>IFERROR(VLOOKUP(第4号様式!$L$2,様式リスト!$B:$CC,O63,0),"")</f>
        <v>（Ⅱ　協議会開催経費）</v>
      </c>
      <c r="B63" s="900"/>
      <c r="C63" s="901"/>
      <c r="D63" s="362"/>
      <c r="E63" s="875"/>
      <c r="F63" s="874"/>
      <c r="G63" s="874"/>
      <c r="H63" s="874"/>
      <c r="I63" s="874"/>
      <c r="J63" s="874"/>
      <c r="K63" s="874"/>
      <c r="L63" s="874"/>
      <c r="M63" s="874"/>
      <c r="N63" s="875"/>
      <c r="O63" s="313">
        <v>49</v>
      </c>
    </row>
    <row r="64" spans="1:15" ht="15.75" customHeight="1">
      <c r="A64" s="899" t="str">
        <f>IFERROR(VLOOKUP(第4号様式!$L$2,様式リスト!$B:$CC,O64,0),"")</f>
        <v>職員諸手当（非常勤）</v>
      </c>
      <c r="B64" s="900"/>
      <c r="C64" s="901"/>
      <c r="D64" s="362"/>
      <c r="E64" s="875"/>
      <c r="F64" s="874"/>
      <c r="G64" s="874"/>
      <c r="H64" s="874"/>
      <c r="I64" s="874"/>
      <c r="J64" s="874"/>
      <c r="K64" s="874"/>
      <c r="L64" s="874"/>
      <c r="M64" s="874"/>
      <c r="N64" s="875"/>
      <c r="O64" s="313">
        <v>50</v>
      </c>
    </row>
    <row r="65" spans="1:15" ht="15.75" customHeight="1">
      <c r="A65" s="899" t="str">
        <f>IFERROR(VLOOKUP(第4号様式!$L$2,様式リスト!$B:$CC,O65,0),"")</f>
        <v>非常勤職員手当</v>
      </c>
      <c r="B65" s="900"/>
      <c r="C65" s="901"/>
      <c r="D65" s="362"/>
      <c r="E65" s="875"/>
      <c r="F65" s="874"/>
      <c r="G65" s="874"/>
      <c r="H65" s="874"/>
      <c r="I65" s="874"/>
      <c r="J65" s="874"/>
      <c r="K65" s="874"/>
      <c r="L65" s="874"/>
      <c r="M65" s="874"/>
      <c r="N65" s="875"/>
      <c r="O65" s="313">
        <v>51</v>
      </c>
    </row>
    <row r="66" spans="1:15" ht="15.75" customHeight="1">
      <c r="A66" s="899" t="str">
        <f>IFERROR(VLOOKUP(第4号様式!$L$2,様式リスト!$B:$CC,O66,0),"")</f>
        <v>（事務補助者雇上経費）</v>
      </c>
      <c r="B66" s="900"/>
      <c r="C66" s="901"/>
      <c r="D66" s="362"/>
      <c r="E66" s="875"/>
      <c r="F66" s="874"/>
      <c r="G66" s="874"/>
      <c r="H66" s="874"/>
      <c r="I66" s="874"/>
      <c r="J66" s="874"/>
      <c r="K66" s="874"/>
      <c r="L66" s="874"/>
      <c r="M66" s="874"/>
      <c r="N66" s="875"/>
      <c r="O66" s="313">
        <v>52</v>
      </c>
    </row>
    <row r="67" spans="1:15" ht="15.75" customHeight="1">
      <c r="A67" s="899" t="str">
        <f>IFERROR(VLOOKUP(第4号様式!$L$2,様式リスト!$B:$CC,O67,0),"")</f>
        <v>諸謝金</v>
      </c>
      <c r="B67" s="900"/>
      <c r="C67" s="901"/>
      <c r="D67" s="362"/>
      <c r="E67" s="875"/>
      <c r="F67" s="874"/>
      <c r="G67" s="874"/>
      <c r="H67" s="874"/>
      <c r="I67" s="874"/>
      <c r="J67" s="874"/>
      <c r="K67" s="874"/>
      <c r="L67" s="874"/>
      <c r="M67" s="874"/>
      <c r="N67" s="875"/>
      <c r="O67" s="313">
        <v>53</v>
      </c>
    </row>
    <row r="68" spans="1:15" ht="15.75" customHeight="1">
      <c r="A68" s="899" t="str">
        <f>IFERROR(VLOOKUP(第4号様式!$L$2,様式リスト!$B:$CC,O68,0),"")</f>
        <v>旅費</v>
      </c>
      <c r="B68" s="900"/>
      <c r="C68" s="901"/>
      <c r="D68" s="362"/>
      <c r="E68" s="875"/>
      <c r="F68" s="874"/>
      <c r="G68" s="874"/>
      <c r="H68" s="874"/>
      <c r="I68" s="874"/>
      <c r="J68" s="874"/>
      <c r="K68" s="874"/>
      <c r="L68" s="874"/>
      <c r="M68" s="874"/>
      <c r="N68" s="875"/>
      <c r="O68" s="313">
        <v>54</v>
      </c>
    </row>
    <row r="69" spans="1:15" ht="15.75" customHeight="1">
      <c r="A69" s="899" t="str">
        <f>IFERROR(VLOOKUP(第4号様式!$L$2,様式リスト!$B:$CC,O69,0),"")</f>
        <v>会議費</v>
      </c>
      <c r="B69" s="900"/>
      <c r="C69" s="901"/>
      <c r="D69" s="362"/>
      <c r="E69" s="875"/>
      <c r="F69" s="874"/>
      <c r="G69" s="874"/>
      <c r="H69" s="874"/>
      <c r="I69" s="874"/>
      <c r="J69" s="874"/>
      <c r="K69" s="874"/>
      <c r="L69" s="874"/>
      <c r="M69" s="874"/>
      <c r="N69" s="875"/>
      <c r="O69" s="313">
        <v>55</v>
      </c>
    </row>
    <row r="70" spans="1:15" ht="15.75" customHeight="1">
      <c r="A70" s="899" t="str">
        <f>IFERROR(VLOOKUP(第4号様式!$L$2,様式リスト!$B:$CC,O70,0),"")</f>
        <v>　</v>
      </c>
      <c r="B70" s="900"/>
      <c r="C70" s="901"/>
      <c r="D70" s="362"/>
      <c r="E70" s="875"/>
      <c r="F70" s="874"/>
      <c r="G70" s="874"/>
      <c r="H70" s="874"/>
      <c r="I70" s="874"/>
      <c r="J70" s="874"/>
      <c r="K70" s="874"/>
      <c r="L70" s="874"/>
      <c r="M70" s="874"/>
      <c r="N70" s="875"/>
      <c r="O70" s="313">
        <v>56</v>
      </c>
    </row>
    <row r="71" spans="1:15" ht="15.75" customHeight="1">
      <c r="A71" s="899" t="str">
        <f>IFERROR(VLOOKUP(第4号様式!$L$2,様式リスト!$B:$CC,O71,0),"")</f>
        <v>　</v>
      </c>
      <c r="B71" s="900"/>
      <c r="C71" s="901"/>
      <c r="D71" s="362"/>
      <c r="E71" s="875"/>
      <c r="F71" s="874"/>
      <c r="G71" s="874"/>
      <c r="H71" s="874"/>
      <c r="I71" s="874"/>
      <c r="J71" s="874"/>
      <c r="K71" s="874"/>
      <c r="L71" s="874"/>
      <c r="M71" s="874"/>
      <c r="N71" s="875"/>
      <c r="O71" s="313">
        <v>57</v>
      </c>
    </row>
    <row r="72" spans="1:15" ht="15.75" customHeight="1">
      <c r="A72" s="899" t="str">
        <f>IFERROR(VLOOKUP(第4号様式!$L$2,様式リスト!$B:$CC,O72,0),"")</f>
        <v>１　広域連携型プログラム作成経費</v>
      </c>
      <c r="B72" s="900"/>
      <c r="C72" s="901"/>
      <c r="D72" s="362"/>
      <c r="E72" s="875"/>
      <c r="F72" s="874"/>
      <c r="G72" s="874"/>
      <c r="H72" s="874"/>
      <c r="I72" s="874"/>
      <c r="J72" s="874"/>
      <c r="K72" s="874"/>
      <c r="L72" s="874"/>
      <c r="M72" s="874"/>
      <c r="N72" s="875"/>
      <c r="O72" s="313">
        <v>58</v>
      </c>
    </row>
    <row r="73" spans="1:15" ht="15.75" customHeight="1">
      <c r="A73" s="899" t="str">
        <f>IFERROR(VLOOKUP(第4号様式!$L$2,様式リスト!$B:$CC,O73,0),"")</f>
        <v>　職員基本給</v>
      </c>
      <c r="B73" s="900"/>
      <c r="C73" s="901"/>
      <c r="D73" s="362"/>
      <c r="E73" s="875"/>
      <c r="F73" s="874"/>
      <c r="G73" s="874"/>
      <c r="H73" s="874"/>
      <c r="I73" s="874"/>
      <c r="J73" s="874"/>
      <c r="K73" s="874"/>
      <c r="L73" s="874"/>
      <c r="M73" s="874"/>
      <c r="N73" s="875"/>
      <c r="O73" s="313">
        <v>59</v>
      </c>
    </row>
    <row r="74" spans="1:15" ht="15.75" customHeight="1">
      <c r="A74" s="899" t="str">
        <f>IFERROR(VLOOKUP(第4号様式!$L$2,様式リスト!$B:$CC,O74,0),"")</f>
        <v>職員諸手当（非常勤含む）</v>
      </c>
      <c r="B74" s="900"/>
      <c r="C74" s="901"/>
      <c r="D74" s="362"/>
      <c r="E74" s="875"/>
      <c r="F74" s="874"/>
      <c r="G74" s="874"/>
      <c r="H74" s="874"/>
      <c r="I74" s="874"/>
      <c r="J74" s="874"/>
      <c r="K74" s="874"/>
      <c r="L74" s="874"/>
      <c r="M74" s="874"/>
      <c r="N74" s="875"/>
      <c r="O74" s="313">
        <v>60</v>
      </c>
    </row>
    <row r="75" spans="1:15" ht="15.75" customHeight="1">
      <c r="A75" s="899" t="str">
        <f>IFERROR(VLOOKUP(第4号様式!$L$2,様式リスト!$B:$CC,O75,0),"")</f>
        <v>非常勤職員諸手当（事務補助者雇上経費）</v>
      </c>
      <c r="B75" s="900"/>
      <c r="C75" s="901"/>
      <c r="D75" s="362"/>
      <c r="E75" s="875"/>
      <c r="F75" s="874"/>
      <c r="G75" s="874"/>
      <c r="H75" s="874"/>
      <c r="I75" s="874"/>
      <c r="J75" s="874"/>
      <c r="K75" s="874"/>
      <c r="L75" s="874"/>
      <c r="M75" s="874"/>
      <c r="N75" s="875"/>
      <c r="O75" s="313">
        <v>61</v>
      </c>
    </row>
    <row r="76" spans="1:15" ht="15.75" customHeight="1">
      <c r="A76" s="899" t="str">
        <f>IFERROR(VLOOKUP(第4号様式!$L$2,様式リスト!$B:$CC,O76,0),"")</f>
        <v>諸謝金</v>
      </c>
      <c r="B76" s="900"/>
      <c r="C76" s="901"/>
      <c r="D76" s="362"/>
      <c r="E76" s="875"/>
      <c r="F76" s="874"/>
      <c r="G76" s="874"/>
      <c r="H76" s="874"/>
      <c r="I76" s="874"/>
      <c r="J76" s="874"/>
      <c r="K76" s="874"/>
      <c r="L76" s="874"/>
      <c r="M76" s="874"/>
      <c r="N76" s="875"/>
      <c r="O76" s="313">
        <v>62</v>
      </c>
    </row>
    <row r="77" spans="1:15" ht="15.75" customHeight="1">
      <c r="A77" s="899" t="str">
        <f>IFERROR(VLOOKUP(第4号様式!$L$2,様式リスト!$B:$CC,O77,0),"")</f>
        <v>旅費</v>
      </c>
      <c r="B77" s="900"/>
      <c r="C77" s="901"/>
      <c r="D77" s="362"/>
      <c r="E77" s="875"/>
      <c r="F77" s="874"/>
      <c r="G77" s="874"/>
      <c r="H77" s="874"/>
      <c r="I77" s="874"/>
      <c r="J77" s="874"/>
      <c r="K77" s="874"/>
      <c r="L77" s="874"/>
      <c r="M77" s="874"/>
      <c r="N77" s="875"/>
      <c r="O77" s="313">
        <v>63</v>
      </c>
    </row>
    <row r="78" spans="1:15" ht="15.75" customHeight="1">
      <c r="A78" s="899" t="str">
        <f>IFERROR(VLOOKUP(第4号様式!$L$2,様式リスト!$B:$CC,O78,0),"")</f>
        <v>消耗品費</v>
      </c>
      <c r="B78" s="900"/>
      <c r="C78" s="901"/>
      <c r="D78" s="362"/>
      <c r="E78" s="875"/>
      <c r="F78" s="874"/>
      <c r="G78" s="874"/>
      <c r="H78" s="874"/>
      <c r="I78" s="874"/>
      <c r="J78" s="874"/>
      <c r="K78" s="874"/>
      <c r="L78" s="874"/>
      <c r="M78" s="874"/>
      <c r="N78" s="875"/>
      <c r="O78" s="313">
        <v>64</v>
      </c>
    </row>
    <row r="79" spans="1:15" ht="15.75" customHeight="1">
      <c r="A79" s="899" t="str">
        <f>IFERROR(VLOOKUP(第4号様式!$L$2,様式リスト!$B:$CC,O79,0),"")</f>
        <v>印刷製本費</v>
      </c>
      <c r="B79" s="900"/>
      <c r="C79" s="901"/>
      <c r="D79" s="362"/>
      <c r="E79" s="875"/>
      <c r="F79" s="874"/>
      <c r="G79" s="874"/>
      <c r="H79" s="874"/>
      <c r="I79" s="874"/>
      <c r="J79" s="874"/>
      <c r="K79" s="874"/>
      <c r="L79" s="874"/>
      <c r="M79" s="874"/>
      <c r="N79" s="875"/>
      <c r="O79" s="313">
        <v>65</v>
      </c>
    </row>
    <row r="80" spans="1:15" ht="15.75" customHeight="1">
      <c r="A80" s="899" t="str">
        <f>IFERROR(VLOOKUP(第4号様式!$L$2,様式リスト!$B:$CC,O80,0),"")</f>
        <v>通信運搬費</v>
      </c>
      <c r="B80" s="900"/>
      <c r="C80" s="901"/>
      <c r="D80" s="362"/>
      <c r="E80" s="875"/>
      <c r="F80" s="874"/>
      <c r="G80" s="874"/>
      <c r="H80" s="874"/>
      <c r="I80" s="874"/>
      <c r="J80" s="874"/>
      <c r="K80" s="874"/>
      <c r="L80" s="874"/>
      <c r="M80" s="874"/>
      <c r="N80" s="875"/>
      <c r="O80" s="313">
        <v>66</v>
      </c>
    </row>
    <row r="81" spans="1:15" ht="15.75" customHeight="1">
      <c r="A81" s="899" t="str">
        <f>IFERROR(VLOOKUP(第4号様式!$L$2,様式リスト!$B:$CC,O81,0),"")</f>
        <v>会議費</v>
      </c>
      <c r="B81" s="900"/>
      <c r="C81" s="901"/>
      <c r="D81" s="362"/>
      <c r="E81" s="875"/>
      <c r="F81" s="874"/>
      <c r="G81" s="874"/>
      <c r="H81" s="874"/>
      <c r="I81" s="874"/>
      <c r="J81" s="874"/>
      <c r="K81" s="874"/>
      <c r="L81" s="874"/>
      <c r="M81" s="874"/>
      <c r="N81" s="875"/>
      <c r="O81" s="313">
        <v>67</v>
      </c>
    </row>
    <row r="82" spans="1:15" ht="15.75" customHeight="1">
      <c r="A82" s="899" t="str">
        <f>IFERROR(VLOOKUP(第4号様式!$L$2,様式リスト!$B:$CC,O82,0),"")</f>
        <v>２　第三者評価受審経費</v>
      </c>
      <c r="B82" s="900"/>
      <c r="C82" s="901"/>
      <c r="D82" s="362"/>
      <c r="E82" s="875"/>
      <c r="F82" s="874"/>
      <c r="G82" s="874"/>
      <c r="H82" s="874"/>
      <c r="I82" s="874"/>
      <c r="J82" s="874"/>
      <c r="K82" s="874"/>
      <c r="L82" s="874"/>
      <c r="M82" s="874"/>
      <c r="N82" s="875"/>
      <c r="O82" s="313">
        <v>68</v>
      </c>
    </row>
    <row r="83" spans="1:15" ht="15.75" customHeight="1">
      <c r="A83" s="899" t="str">
        <f>IFERROR(VLOOKUP(第4号様式!$L$2,様式リスト!$B:$CC,O83,0),"")</f>
        <v>雑役務費（手数料等）</v>
      </c>
      <c r="B83" s="900"/>
      <c r="C83" s="901"/>
      <c r="D83" s="362"/>
      <c r="E83" s="875"/>
      <c r="F83" s="874"/>
      <c r="G83" s="874"/>
      <c r="H83" s="874"/>
      <c r="I83" s="874"/>
      <c r="J83" s="874"/>
      <c r="K83" s="874"/>
      <c r="L83" s="874"/>
      <c r="M83" s="874"/>
      <c r="N83" s="875"/>
      <c r="O83" s="313">
        <v>69</v>
      </c>
    </row>
    <row r="84" spans="1:15" ht="15.75" customHeight="1">
      <c r="A84" s="899" t="str">
        <f>IFERROR(VLOOKUP(第4号様式!$L$2,様式リスト!$B:$CC,O84,0),"")</f>
        <v>　</v>
      </c>
      <c r="B84" s="900"/>
      <c r="C84" s="901"/>
      <c r="D84" s="362"/>
      <c r="E84" s="875"/>
      <c r="F84" s="874"/>
      <c r="G84" s="874"/>
      <c r="H84" s="874"/>
      <c r="I84" s="874"/>
      <c r="J84" s="874"/>
      <c r="K84" s="874"/>
      <c r="L84" s="874"/>
      <c r="M84" s="874"/>
      <c r="N84" s="875"/>
      <c r="O84" s="313">
        <v>70</v>
      </c>
    </row>
    <row r="85" spans="1:15" ht="15.75" customHeight="1">
      <c r="A85" s="899" t="str">
        <f>IFERROR(VLOOKUP(第4号様式!$L$2,様式リスト!$B:$CC,O85,0),"")</f>
        <v xml:space="preserve"> </v>
      </c>
      <c r="B85" s="900"/>
      <c r="C85" s="901"/>
      <c r="D85" s="362"/>
      <c r="E85" s="875"/>
      <c r="F85" s="874"/>
      <c r="G85" s="874"/>
      <c r="H85" s="874"/>
      <c r="I85" s="874"/>
      <c r="J85" s="874"/>
      <c r="K85" s="874"/>
      <c r="L85" s="874"/>
      <c r="M85" s="874"/>
      <c r="N85" s="875"/>
      <c r="O85" s="313">
        <v>71</v>
      </c>
    </row>
    <row r="86" spans="1:15" ht="15.75" customHeight="1">
      <c r="A86" s="899">
        <f>IFERROR(VLOOKUP(第4号様式!$L$2,様式リスト!$B:$CC,O86,0),"")</f>
        <v>0</v>
      </c>
      <c r="B86" s="900"/>
      <c r="C86" s="901"/>
      <c r="D86" s="362"/>
      <c r="E86" s="875"/>
      <c r="F86" s="874"/>
      <c r="G86" s="874"/>
      <c r="H86" s="874"/>
      <c r="I86" s="874"/>
      <c r="J86" s="874"/>
      <c r="K86" s="874"/>
      <c r="L86" s="874"/>
      <c r="M86" s="874"/>
      <c r="N86" s="875"/>
      <c r="O86" s="313">
        <v>72</v>
      </c>
    </row>
    <row r="87" spans="1:15" ht="15.75" customHeight="1">
      <c r="A87" s="899">
        <f>IFERROR(VLOOKUP(第4号様式!$L$2,様式リスト!$B:$CC,O87,0),"")</f>
        <v>0</v>
      </c>
      <c r="B87" s="900"/>
      <c r="C87" s="901"/>
      <c r="D87" s="362"/>
      <c r="E87" s="875"/>
      <c r="F87" s="874"/>
      <c r="G87" s="874"/>
      <c r="H87" s="874"/>
      <c r="I87" s="874"/>
      <c r="J87" s="874"/>
      <c r="K87" s="874"/>
      <c r="L87" s="874"/>
      <c r="M87" s="874"/>
      <c r="N87" s="875"/>
      <c r="O87" s="313">
        <v>73</v>
      </c>
    </row>
    <row r="88" spans="1:15" ht="15.75" customHeight="1">
      <c r="A88" s="899">
        <f>IFERROR(VLOOKUP(第4号様式!$L$2,様式リスト!$B:$CC,O88,0),"")</f>
        <v>0</v>
      </c>
      <c r="B88" s="900"/>
      <c r="C88" s="901"/>
      <c r="D88" s="362"/>
      <c r="E88" s="875"/>
      <c r="F88" s="874"/>
      <c r="G88" s="874"/>
      <c r="H88" s="874"/>
      <c r="I88" s="874"/>
      <c r="J88" s="874"/>
      <c r="K88" s="874"/>
      <c r="L88" s="874"/>
      <c r="M88" s="874"/>
      <c r="N88" s="875"/>
      <c r="O88" s="313">
        <v>74</v>
      </c>
    </row>
    <row r="89" spans="1:15" ht="15.75" customHeight="1">
      <c r="A89" s="899" t="str">
        <f>IFERROR(VLOOKUP(第4号様式!$L$2,様式リスト!$B:$CC,O89,0),"")</f>
        <v xml:space="preserve"> </v>
      </c>
      <c r="B89" s="900"/>
      <c r="C89" s="901"/>
      <c r="D89" s="362"/>
      <c r="E89" s="875"/>
      <c r="F89" s="874"/>
      <c r="G89" s="874"/>
      <c r="H89" s="874"/>
      <c r="I89" s="874"/>
      <c r="J89" s="874"/>
      <c r="K89" s="874"/>
      <c r="L89" s="874"/>
      <c r="M89" s="874"/>
      <c r="N89" s="875"/>
      <c r="O89" s="313">
        <v>75</v>
      </c>
    </row>
    <row r="90" spans="1:15" ht="24" customHeight="1">
      <c r="A90" s="351" t="s">
        <v>743</v>
      </c>
      <c r="B90" s="352"/>
      <c r="C90" s="352"/>
      <c r="D90" s="363"/>
      <c r="E90" s="354">
        <f>SUM(E18:E89)</f>
        <v>0</v>
      </c>
      <c r="F90" s="364"/>
      <c r="G90" s="364"/>
      <c r="H90" s="364"/>
      <c r="I90" s="364"/>
      <c r="J90" s="364"/>
      <c r="K90" s="364"/>
      <c r="L90" s="364"/>
      <c r="M90" s="364"/>
      <c r="N90" s="354"/>
    </row>
  </sheetData>
  <sheetProtection formatCells="0" formatColumns="0" formatRows="0" insertColumns="0" insertRows="0" insertHyperlinks="0" deleteColumns="0" deleteRows="0" sort="0" autoFilter="0" pivotTables="0"/>
  <mergeCells count="85">
    <mergeCell ref="N6:N8"/>
    <mergeCell ref="A6:A8"/>
    <mergeCell ref="B6:B8"/>
    <mergeCell ref="D6:D8"/>
    <mergeCell ref="F6:F8"/>
    <mergeCell ref="G6:G8"/>
    <mergeCell ref="I6:I8"/>
    <mergeCell ref="M6:M8"/>
    <mergeCell ref="L6:L8"/>
    <mergeCell ref="H6:H8"/>
    <mergeCell ref="J6:J8"/>
    <mergeCell ref="K6:K8"/>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7:C87"/>
    <mergeCell ref="A88:C88"/>
    <mergeCell ref="A89:C89"/>
    <mergeCell ref="A82:C82"/>
    <mergeCell ref="A83:C83"/>
    <mergeCell ref="A84:C84"/>
    <mergeCell ref="A85:C85"/>
    <mergeCell ref="A86:C86"/>
  </mergeCells>
  <phoneticPr fontId="4"/>
  <printOptions horizontalCentered="1"/>
  <pageMargins left="0.7" right="0.7" top="0.75" bottom="0.75" header="0.3" footer="0.3"/>
  <pageSetup paperSize="9" scale="46" orientation="portrait" blackAndWhite="1" errors="blank"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0F7B-BFB5-4C70-9878-7E4EA03AAB22}">
  <sheetPr>
    <tabColor rgb="FFFFC000"/>
    <pageSetUpPr fitToPage="1"/>
  </sheetPr>
  <dimension ref="B1:T95"/>
  <sheetViews>
    <sheetView view="pageBreakPreview" zoomScale="70" zoomScaleNormal="90" zoomScaleSheetLayoutView="70" workbookViewId="0"/>
  </sheetViews>
  <sheetFormatPr defaultRowHeight="13.15" outlineLevelCol="1"/>
  <cols>
    <col min="1" max="1" width="3.625" style="313" customWidth="1"/>
    <col min="2" max="2" width="25.5" style="313" customWidth="1"/>
    <col min="3" max="6" width="22.5" style="313" customWidth="1"/>
    <col min="7" max="7" width="20" style="313" customWidth="1"/>
    <col min="8" max="8" width="20.625" style="313" customWidth="1"/>
    <col min="9" max="9" width="29" style="313" customWidth="1"/>
    <col min="10" max="11" width="22.5" style="313" customWidth="1"/>
    <col min="12" max="17" width="20.75" style="313" customWidth="1"/>
    <col min="18" max="18" width="5.625" style="313" customWidth="1" outlineLevel="1"/>
    <col min="19" max="20" width="9" style="313" customWidth="1" outlineLevel="1"/>
    <col min="21" max="266" width="9" style="313"/>
    <col min="267" max="267" width="15.75" style="313" customWidth="1"/>
    <col min="268" max="273" width="12.125" style="313" customWidth="1"/>
    <col min="274" max="274" width="11.875" style="313" customWidth="1"/>
    <col min="275" max="522" width="9" style="313"/>
    <col min="523" max="523" width="15.75" style="313" customWidth="1"/>
    <col min="524" max="529" width="12.125" style="313" customWidth="1"/>
    <col min="530" max="530" width="11.875" style="313" customWidth="1"/>
    <col min="531" max="778" width="9" style="313"/>
    <col min="779" max="779" width="15.75" style="313" customWidth="1"/>
    <col min="780" max="785" width="12.125" style="313" customWidth="1"/>
    <col min="786" max="786" width="11.875" style="313" customWidth="1"/>
    <col min="787" max="1034" width="9" style="313"/>
    <col min="1035" max="1035" width="15.75" style="313" customWidth="1"/>
    <col min="1036" max="1041" width="12.125" style="313" customWidth="1"/>
    <col min="1042" max="1042" width="11.875" style="313" customWidth="1"/>
    <col min="1043" max="1290" width="9" style="313"/>
    <col min="1291" max="1291" width="15.75" style="313" customWidth="1"/>
    <col min="1292" max="1297" width="12.125" style="313" customWidth="1"/>
    <col min="1298" max="1298" width="11.875" style="313" customWidth="1"/>
    <col min="1299" max="1546" width="9" style="313"/>
    <col min="1547" max="1547" width="15.75" style="313" customWidth="1"/>
    <col min="1548" max="1553" width="12.125" style="313" customWidth="1"/>
    <col min="1554" max="1554" width="11.875" style="313" customWidth="1"/>
    <col min="1555" max="1802" width="9" style="313"/>
    <col min="1803" max="1803" width="15.75" style="313" customWidth="1"/>
    <col min="1804" max="1809" width="12.125" style="313" customWidth="1"/>
    <col min="1810" max="1810" width="11.875" style="313" customWidth="1"/>
    <col min="1811" max="2058" width="9" style="313"/>
    <col min="2059" max="2059" width="15.75" style="313" customWidth="1"/>
    <col min="2060" max="2065" width="12.125" style="313" customWidth="1"/>
    <col min="2066" max="2066" width="11.875" style="313" customWidth="1"/>
    <col min="2067" max="2314" width="9" style="313"/>
    <col min="2315" max="2315" width="15.75" style="313" customWidth="1"/>
    <col min="2316" max="2321" width="12.125" style="313" customWidth="1"/>
    <col min="2322" max="2322" width="11.875" style="313" customWidth="1"/>
    <col min="2323" max="2570" width="9" style="313"/>
    <col min="2571" max="2571" width="15.75" style="313" customWidth="1"/>
    <col min="2572" max="2577" width="12.125" style="313" customWidth="1"/>
    <col min="2578" max="2578" width="11.875" style="313" customWidth="1"/>
    <col min="2579" max="2826" width="9" style="313"/>
    <col min="2827" max="2827" width="15.75" style="313" customWidth="1"/>
    <col min="2828" max="2833" width="12.125" style="313" customWidth="1"/>
    <col min="2834" max="2834" width="11.875" style="313" customWidth="1"/>
    <col min="2835" max="3082" width="9" style="313"/>
    <col min="3083" max="3083" width="15.75" style="313" customWidth="1"/>
    <col min="3084" max="3089" width="12.125" style="313" customWidth="1"/>
    <col min="3090" max="3090" width="11.875" style="313" customWidth="1"/>
    <col min="3091" max="3338" width="9" style="313"/>
    <col min="3339" max="3339" width="15.75" style="313" customWidth="1"/>
    <col min="3340" max="3345" width="12.125" style="313" customWidth="1"/>
    <col min="3346" max="3346" width="11.875" style="313" customWidth="1"/>
    <col min="3347" max="3594" width="9" style="313"/>
    <col min="3595" max="3595" width="15.75" style="313" customWidth="1"/>
    <col min="3596" max="3601" width="12.125" style="313" customWidth="1"/>
    <col min="3602" max="3602" width="11.875" style="313" customWidth="1"/>
    <col min="3603" max="3850" width="9" style="313"/>
    <col min="3851" max="3851" width="15.75" style="313" customWidth="1"/>
    <col min="3852" max="3857" width="12.125" style="313" customWidth="1"/>
    <col min="3858" max="3858" width="11.875" style="313" customWidth="1"/>
    <col min="3859" max="4106" width="9" style="313"/>
    <col min="4107" max="4107" width="15.75" style="313" customWidth="1"/>
    <col min="4108" max="4113" width="12.125" style="313" customWidth="1"/>
    <col min="4114" max="4114" width="11.875" style="313" customWidth="1"/>
    <col min="4115" max="4362" width="9" style="313"/>
    <col min="4363" max="4363" width="15.75" style="313" customWidth="1"/>
    <col min="4364" max="4369" width="12.125" style="313" customWidth="1"/>
    <col min="4370" max="4370" width="11.875" style="313" customWidth="1"/>
    <col min="4371" max="4618" width="9" style="313"/>
    <col min="4619" max="4619" width="15.75" style="313" customWidth="1"/>
    <col min="4620" max="4625" width="12.125" style="313" customWidth="1"/>
    <col min="4626" max="4626" width="11.875" style="313" customWidth="1"/>
    <col min="4627" max="4874" width="9" style="313"/>
    <col min="4875" max="4875" width="15.75" style="313" customWidth="1"/>
    <col min="4876" max="4881" width="12.125" style="313" customWidth="1"/>
    <col min="4882" max="4882" width="11.875" style="313" customWidth="1"/>
    <col min="4883" max="5130" width="9" style="313"/>
    <col min="5131" max="5131" width="15.75" style="313" customWidth="1"/>
    <col min="5132" max="5137" width="12.125" style="313" customWidth="1"/>
    <col min="5138" max="5138" width="11.875" style="313" customWidth="1"/>
    <col min="5139" max="5386" width="9" style="313"/>
    <col min="5387" max="5387" width="15.75" style="313" customWidth="1"/>
    <col min="5388" max="5393" width="12.125" style="313" customWidth="1"/>
    <col min="5394" max="5394" width="11.875" style="313" customWidth="1"/>
    <col min="5395" max="5642" width="9" style="313"/>
    <col min="5643" max="5643" width="15.75" style="313" customWidth="1"/>
    <col min="5644" max="5649" width="12.125" style="313" customWidth="1"/>
    <col min="5650" max="5650" width="11.875" style="313" customWidth="1"/>
    <col min="5651" max="5898" width="9" style="313"/>
    <col min="5899" max="5899" width="15.75" style="313" customWidth="1"/>
    <col min="5900" max="5905" width="12.125" style="313" customWidth="1"/>
    <col min="5906" max="5906" width="11.875" style="313" customWidth="1"/>
    <col min="5907" max="6154" width="9" style="313"/>
    <col min="6155" max="6155" width="15.75" style="313" customWidth="1"/>
    <col min="6156" max="6161" width="12.125" style="313" customWidth="1"/>
    <col min="6162" max="6162" width="11.875" style="313" customWidth="1"/>
    <col min="6163" max="6410" width="9" style="313"/>
    <col min="6411" max="6411" width="15.75" style="313" customWidth="1"/>
    <col min="6412" max="6417" width="12.125" style="313" customWidth="1"/>
    <col min="6418" max="6418" width="11.875" style="313" customWidth="1"/>
    <col min="6419" max="6666" width="9" style="313"/>
    <col min="6667" max="6667" width="15.75" style="313" customWidth="1"/>
    <col min="6668" max="6673" width="12.125" style="313" customWidth="1"/>
    <col min="6674" max="6674" width="11.875" style="313" customWidth="1"/>
    <col min="6675" max="6922" width="9" style="313"/>
    <col min="6923" max="6923" width="15.75" style="313" customWidth="1"/>
    <col min="6924" max="6929" width="12.125" style="313" customWidth="1"/>
    <col min="6930" max="6930" width="11.875" style="313" customWidth="1"/>
    <col min="6931" max="7178" width="9" style="313"/>
    <col min="7179" max="7179" width="15.75" style="313" customWidth="1"/>
    <col min="7180" max="7185" width="12.125" style="313" customWidth="1"/>
    <col min="7186" max="7186" width="11.875" style="313" customWidth="1"/>
    <col min="7187" max="7434" width="9" style="313"/>
    <col min="7435" max="7435" width="15.75" style="313" customWidth="1"/>
    <col min="7436" max="7441" width="12.125" style="313" customWidth="1"/>
    <col min="7442" max="7442" width="11.875" style="313" customWidth="1"/>
    <col min="7443" max="7690" width="9" style="313"/>
    <col min="7691" max="7691" width="15.75" style="313" customWidth="1"/>
    <col min="7692" max="7697" width="12.125" style="313" customWidth="1"/>
    <col min="7698" max="7698" width="11.875" style="313" customWidth="1"/>
    <col min="7699" max="7946" width="9" style="313"/>
    <col min="7947" max="7947" width="15.75" style="313" customWidth="1"/>
    <col min="7948" max="7953" width="12.125" style="313" customWidth="1"/>
    <col min="7954" max="7954" width="11.875" style="313" customWidth="1"/>
    <col min="7955" max="8202" width="9" style="313"/>
    <col min="8203" max="8203" width="15.75" style="313" customWidth="1"/>
    <col min="8204" max="8209" width="12.125" style="313" customWidth="1"/>
    <col min="8210" max="8210" width="11.875" style="313" customWidth="1"/>
    <col min="8211" max="8458" width="9" style="313"/>
    <col min="8459" max="8459" width="15.75" style="313" customWidth="1"/>
    <col min="8460" max="8465" width="12.125" style="313" customWidth="1"/>
    <col min="8466" max="8466" width="11.875" style="313" customWidth="1"/>
    <col min="8467" max="8714" width="9" style="313"/>
    <col min="8715" max="8715" width="15.75" style="313" customWidth="1"/>
    <col min="8716" max="8721" width="12.125" style="313" customWidth="1"/>
    <col min="8722" max="8722" width="11.875" style="313" customWidth="1"/>
    <col min="8723" max="8970" width="9" style="313"/>
    <col min="8971" max="8971" width="15.75" style="313" customWidth="1"/>
    <col min="8972" max="8977" width="12.125" style="313" customWidth="1"/>
    <col min="8978" max="8978" width="11.875" style="313" customWidth="1"/>
    <col min="8979" max="9226" width="9" style="313"/>
    <col min="9227" max="9227" width="15.75" style="313" customWidth="1"/>
    <col min="9228" max="9233" width="12.125" style="313" customWidth="1"/>
    <col min="9234" max="9234" width="11.875" style="313" customWidth="1"/>
    <col min="9235" max="9482" width="9" style="313"/>
    <col min="9483" max="9483" width="15.75" style="313" customWidth="1"/>
    <col min="9484" max="9489" width="12.125" style="313" customWidth="1"/>
    <col min="9490" max="9490" width="11.875" style="313" customWidth="1"/>
    <col min="9491" max="9738" width="9" style="313"/>
    <col min="9739" max="9739" width="15.75" style="313" customWidth="1"/>
    <col min="9740" max="9745" width="12.125" style="313" customWidth="1"/>
    <col min="9746" max="9746" width="11.875" style="313" customWidth="1"/>
    <col min="9747" max="9994" width="9" style="313"/>
    <col min="9995" max="9995" width="15.75" style="313" customWidth="1"/>
    <col min="9996" max="10001" width="12.125" style="313" customWidth="1"/>
    <col min="10002" max="10002" width="11.875" style="313" customWidth="1"/>
    <col min="10003" max="10250" width="9" style="313"/>
    <col min="10251" max="10251" width="15.75" style="313" customWidth="1"/>
    <col min="10252" max="10257" width="12.125" style="313" customWidth="1"/>
    <col min="10258" max="10258" width="11.875" style="313" customWidth="1"/>
    <col min="10259" max="10506" width="9" style="313"/>
    <col min="10507" max="10507" width="15.75" style="313" customWidth="1"/>
    <col min="10508" max="10513" width="12.125" style="313" customWidth="1"/>
    <col min="10514" max="10514" width="11.875" style="313" customWidth="1"/>
    <col min="10515" max="10762" width="9" style="313"/>
    <col min="10763" max="10763" width="15.75" style="313" customWidth="1"/>
    <col min="10764" max="10769" width="12.125" style="313" customWidth="1"/>
    <col min="10770" max="10770" width="11.875" style="313" customWidth="1"/>
    <col min="10771" max="11018" width="9" style="313"/>
    <col min="11019" max="11019" width="15.75" style="313" customWidth="1"/>
    <col min="11020" max="11025" width="12.125" style="313" customWidth="1"/>
    <col min="11026" max="11026" width="11.875" style="313" customWidth="1"/>
    <col min="11027" max="11274" width="9" style="313"/>
    <col min="11275" max="11275" width="15.75" style="313" customWidth="1"/>
    <col min="11276" max="11281" width="12.125" style="313" customWidth="1"/>
    <col min="11282" max="11282" width="11.875" style="313" customWidth="1"/>
    <col min="11283" max="11530" width="9" style="313"/>
    <col min="11531" max="11531" width="15.75" style="313" customWidth="1"/>
    <col min="11532" max="11537" width="12.125" style="313" customWidth="1"/>
    <col min="11538" max="11538" width="11.875" style="313" customWidth="1"/>
    <col min="11539" max="11786" width="9" style="313"/>
    <col min="11787" max="11787" width="15.75" style="313" customWidth="1"/>
    <col min="11788" max="11793" width="12.125" style="313" customWidth="1"/>
    <col min="11794" max="11794" width="11.875" style="313" customWidth="1"/>
    <col min="11795" max="12042" width="9" style="313"/>
    <col min="12043" max="12043" width="15.75" style="313" customWidth="1"/>
    <col min="12044" max="12049" width="12.125" style="313" customWidth="1"/>
    <col min="12050" max="12050" width="11.875" style="313" customWidth="1"/>
    <col min="12051" max="12298" width="9" style="313"/>
    <col min="12299" max="12299" width="15.75" style="313" customWidth="1"/>
    <col min="12300" max="12305" width="12.125" style="313" customWidth="1"/>
    <col min="12306" max="12306" width="11.875" style="313" customWidth="1"/>
    <col min="12307" max="12554" width="9" style="313"/>
    <col min="12555" max="12555" width="15.75" style="313" customWidth="1"/>
    <col min="12556" max="12561" width="12.125" style="313" customWidth="1"/>
    <col min="12562" max="12562" width="11.875" style="313" customWidth="1"/>
    <col min="12563" max="12810" width="9" style="313"/>
    <col min="12811" max="12811" width="15.75" style="313" customWidth="1"/>
    <col min="12812" max="12817" width="12.125" style="313" customWidth="1"/>
    <col min="12818" max="12818" width="11.875" style="313" customWidth="1"/>
    <col min="12819" max="13066" width="9" style="313"/>
    <col min="13067" max="13067" width="15.75" style="313" customWidth="1"/>
    <col min="13068" max="13073" width="12.125" style="313" customWidth="1"/>
    <col min="13074" max="13074" width="11.875" style="313" customWidth="1"/>
    <col min="13075" max="13322" width="9" style="313"/>
    <col min="13323" max="13323" width="15.75" style="313" customWidth="1"/>
    <col min="13324" max="13329" width="12.125" style="313" customWidth="1"/>
    <col min="13330" max="13330" width="11.875" style="313" customWidth="1"/>
    <col min="13331" max="13578" width="9" style="313"/>
    <col min="13579" max="13579" width="15.75" style="313" customWidth="1"/>
    <col min="13580" max="13585" width="12.125" style="313" customWidth="1"/>
    <col min="13586" max="13586" width="11.875" style="313" customWidth="1"/>
    <col min="13587" max="13834" width="9" style="313"/>
    <col min="13835" max="13835" width="15.75" style="313" customWidth="1"/>
    <col min="13836" max="13841" width="12.125" style="313" customWidth="1"/>
    <col min="13842" max="13842" width="11.875" style="313" customWidth="1"/>
    <col min="13843" max="14090" width="9" style="313"/>
    <col min="14091" max="14091" width="15.75" style="313" customWidth="1"/>
    <col min="14092" max="14097" width="12.125" style="313" customWidth="1"/>
    <col min="14098" max="14098" width="11.875" style="313" customWidth="1"/>
    <col min="14099" max="14346" width="9" style="313"/>
    <col min="14347" max="14347" width="15.75" style="313" customWidth="1"/>
    <col min="14348" max="14353" width="12.125" style="313" customWidth="1"/>
    <col min="14354" max="14354" width="11.875" style="313" customWidth="1"/>
    <col min="14355" max="14602" width="9" style="313"/>
    <col min="14603" max="14603" width="15.75" style="313" customWidth="1"/>
    <col min="14604" max="14609" width="12.125" style="313" customWidth="1"/>
    <col min="14610" max="14610" width="11.875" style="313" customWidth="1"/>
    <col min="14611" max="14858" width="9" style="313"/>
    <col min="14859" max="14859" width="15.75" style="313" customWidth="1"/>
    <col min="14860" max="14865" width="12.125" style="313" customWidth="1"/>
    <col min="14866" max="14866" width="11.875" style="313" customWidth="1"/>
    <col min="14867" max="15114" width="9" style="313"/>
    <col min="15115" max="15115" width="15.75" style="313" customWidth="1"/>
    <col min="15116" max="15121" width="12.125" style="313" customWidth="1"/>
    <col min="15122" max="15122" width="11.875" style="313" customWidth="1"/>
    <col min="15123" max="15370" width="9" style="313"/>
    <col min="15371" max="15371" width="15.75" style="313" customWidth="1"/>
    <col min="15372" max="15377" width="12.125" style="313" customWidth="1"/>
    <col min="15378" max="15378" width="11.875" style="313" customWidth="1"/>
    <col min="15379" max="15626" width="9" style="313"/>
    <col min="15627" max="15627" width="15.75" style="313" customWidth="1"/>
    <col min="15628" max="15633" width="12.125" style="313" customWidth="1"/>
    <col min="15634" max="15634" width="11.875" style="313" customWidth="1"/>
    <col min="15635" max="15882" width="9" style="313"/>
    <col min="15883" max="15883" width="15.75" style="313" customWidth="1"/>
    <col min="15884" max="15889" width="12.125" style="313" customWidth="1"/>
    <col min="15890" max="15890" width="11.875" style="313" customWidth="1"/>
    <col min="15891" max="16138" width="9" style="313"/>
    <col min="16139" max="16139" width="15.75" style="313" customWidth="1"/>
    <col min="16140" max="16145" width="12.125" style="313" customWidth="1"/>
    <col min="16146" max="16146" width="11.875" style="313" customWidth="1"/>
    <col min="16147" max="16384" width="9" style="313"/>
  </cols>
  <sheetData>
    <row r="1" spans="2:20" ht="16.5" customHeight="1">
      <c r="B1" s="311" t="s">
        <v>217</v>
      </c>
      <c r="C1" s="312"/>
    </row>
    <row r="2" spans="2:20" ht="13.5" customHeight="1"/>
    <row r="3" spans="2:20" ht="23.25" customHeight="1">
      <c r="B3" s="848" t="s">
        <v>177</v>
      </c>
      <c r="C3" s="848"/>
      <c r="D3" s="848"/>
      <c r="E3" s="848"/>
      <c r="F3" s="848"/>
      <c r="G3" s="848"/>
      <c r="H3" s="848"/>
      <c r="I3" s="848"/>
      <c r="J3" s="848"/>
      <c r="K3" s="848"/>
      <c r="L3" s="848"/>
      <c r="M3" s="848"/>
      <c r="N3" s="848"/>
      <c r="O3" s="848"/>
      <c r="P3" s="848"/>
      <c r="Q3" s="848"/>
    </row>
    <row r="4" spans="2:20" ht="13.5" customHeight="1">
      <c r="C4" s="314"/>
      <c r="D4" s="314"/>
      <c r="E4" s="314"/>
      <c r="F4" s="314"/>
      <c r="G4" s="314"/>
      <c r="H4" s="314"/>
      <c r="I4" s="314"/>
      <c r="J4" s="314"/>
      <c r="K4" s="314"/>
      <c r="L4" s="314"/>
      <c r="M4" s="314"/>
      <c r="N4" s="314"/>
      <c r="O4" s="314"/>
      <c r="P4" s="314"/>
      <c r="Q4" s="314"/>
    </row>
    <row r="5" spans="2:20" ht="23.25" customHeight="1">
      <c r="B5" s="311" t="s">
        <v>218</v>
      </c>
      <c r="C5" s="311"/>
    </row>
    <row r="6" spans="2:20" ht="17.25" customHeight="1">
      <c r="B6" s="315"/>
      <c r="C6" s="907" t="s">
        <v>178</v>
      </c>
      <c r="D6" s="316" t="s">
        <v>179</v>
      </c>
      <c r="E6" s="909" t="s">
        <v>180</v>
      </c>
      <c r="F6" s="586" t="s">
        <v>181</v>
      </c>
      <c r="G6" s="918" t="s">
        <v>182</v>
      </c>
      <c r="H6" s="919"/>
      <c r="I6" s="920"/>
      <c r="J6" s="907" t="s">
        <v>183</v>
      </c>
      <c r="K6" s="907" t="s">
        <v>184</v>
      </c>
      <c r="L6" s="911" t="s">
        <v>185</v>
      </c>
      <c r="M6" s="907" t="s">
        <v>188</v>
      </c>
      <c r="N6" s="913" t="s">
        <v>219</v>
      </c>
      <c r="O6" s="913" t="s">
        <v>220</v>
      </c>
      <c r="P6" s="913" t="s">
        <v>744</v>
      </c>
      <c r="Q6" s="1403" t="s">
        <v>731</v>
      </c>
      <c r="T6" s="313" t="str">
        <f>第2号様式!L2</f>
        <v>臨床研修事業</v>
      </c>
    </row>
    <row r="7" spans="2:20" ht="17.25" customHeight="1">
      <c r="B7" s="317" t="s">
        <v>190</v>
      </c>
      <c r="C7" s="908"/>
      <c r="D7" s="318" t="s">
        <v>191</v>
      </c>
      <c r="E7" s="910"/>
      <c r="F7" s="587" t="s">
        <v>192</v>
      </c>
      <c r="G7" s="915"/>
      <c r="H7" s="916"/>
      <c r="I7" s="917"/>
      <c r="J7" s="908"/>
      <c r="K7" s="908"/>
      <c r="L7" s="912"/>
      <c r="M7" s="908"/>
      <c r="N7" s="912"/>
      <c r="O7" s="912"/>
      <c r="P7" s="912"/>
      <c r="Q7" s="1403"/>
    </row>
    <row r="8" spans="2:20" ht="17.25" customHeight="1">
      <c r="B8" s="319"/>
      <c r="C8" s="908"/>
      <c r="D8" s="318" t="s">
        <v>193</v>
      </c>
      <c r="E8" s="910"/>
      <c r="F8" s="587" t="s">
        <v>194</v>
      </c>
      <c r="G8" s="915"/>
      <c r="H8" s="916"/>
      <c r="I8" s="917"/>
      <c r="J8" s="908"/>
      <c r="K8" s="908"/>
      <c r="L8" s="912"/>
      <c r="M8" s="908"/>
      <c r="N8" s="912"/>
      <c r="O8" s="912"/>
      <c r="P8" s="912"/>
      <c r="Q8" s="913"/>
    </row>
    <row r="9" spans="2:20" ht="17.25" customHeight="1">
      <c r="B9" s="319"/>
      <c r="C9" s="587" t="s">
        <v>195</v>
      </c>
      <c r="D9" s="587" t="s">
        <v>196</v>
      </c>
      <c r="E9" s="318" t="s">
        <v>197</v>
      </c>
      <c r="F9" s="587" t="s">
        <v>198</v>
      </c>
      <c r="G9" s="915" t="s">
        <v>199</v>
      </c>
      <c r="H9" s="916"/>
      <c r="I9" s="917"/>
      <c r="J9" s="587" t="s">
        <v>200</v>
      </c>
      <c r="K9" s="587" t="s">
        <v>201</v>
      </c>
      <c r="L9" s="587" t="s">
        <v>202</v>
      </c>
      <c r="M9" s="587" t="s">
        <v>221</v>
      </c>
      <c r="N9" s="587" t="s">
        <v>221</v>
      </c>
      <c r="O9" s="587" t="s">
        <v>222</v>
      </c>
      <c r="P9" s="587" t="s">
        <v>205</v>
      </c>
      <c r="Q9" s="830" t="s">
        <v>206</v>
      </c>
    </row>
    <row r="10" spans="2:20" ht="17.25" customHeight="1">
      <c r="B10" s="319"/>
      <c r="C10" s="587"/>
      <c r="D10" s="318"/>
      <c r="E10" s="321"/>
      <c r="F10" s="321"/>
      <c r="G10" s="603" t="s">
        <v>223</v>
      </c>
      <c r="H10" s="604" t="s">
        <v>224</v>
      </c>
      <c r="I10" s="603" t="s">
        <v>225</v>
      </c>
      <c r="J10" s="587"/>
      <c r="K10" s="587"/>
      <c r="L10" s="587"/>
      <c r="M10" s="321"/>
      <c r="N10" s="587"/>
      <c r="O10" s="587"/>
      <c r="P10" s="587"/>
      <c r="Q10" s="321"/>
      <c r="R10" s="326"/>
      <c r="S10" s="587"/>
    </row>
    <row r="11" spans="2:20" ht="16.5" customHeight="1">
      <c r="B11" s="323"/>
      <c r="C11" s="324" t="s">
        <v>207</v>
      </c>
      <c r="D11" s="324" t="s">
        <v>207</v>
      </c>
      <c r="E11" s="325" t="s">
        <v>207</v>
      </c>
      <c r="F11" s="324" t="s">
        <v>207</v>
      </c>
      <c r="G11" s="324"/>
      <c r="H11" s="324"/>
      <c r="I11" s="324" t="s">
        <v>208</v>
      </c>
      <c r="J11" s="324" t="s">
        <v>207</v>
      </c>
      <c r="K11" s="324" t="s">
        <v>209</v>
      </c>
      <c r="L11" s="324" t="s">
        <v>207</v>
      </c>
      <c r="M11" s="324" t="s">
        <v>209</v>
      </c>
      <c r="N11" s="324" t="s">
        <v>207</v>
      </c>
      <c r="O11" s="324" t="s">
        <v>207</v>
      </c>
      <c r="P11" s="324" t="s">
        <v>207</v>
      </c>
      <c r="Q11" s="324" t="s">
        <v>209</v>
      </c>
    </row>
    <row r="12" spans="2:20" ht="26.25" customHeight="1">
      <c r="B12" s="831" t="s">
        <v>226</v>
      </c>
      <c r="C12" s="852"/>
      <c r="D12" s="853"/>
      <c r="E12" s="334" t="str">
        <f>IF(C12="","",C12-D12)</f>
        <v/>
      </c>
      <c r="F12" s="853">
        <f>F91</f>
        <v>0</v>
      </c>
      <c r="G12" s="333">
        <v>538000</v>
      </c>
      <c r="H12" s="853"/>
      <c r="I12" s="333">
        <f>G12*H12</f>
        <v>0</v>
      </c>
      <c r="J12" s="335">
        <f>IF(I12="","",MIN(F12:I12))</f>
        <v>0</v>
      </c>
      <c r="K12" s="335" t="str">
        <f>IF(E12="","",IF(OR($T$6=#REF!,$T$6=#REF!),MIN(E12,J12)*0.5,MIN(E12,J12)))</f>
        <v/>
      </c>
      <c r="L12" s="335" t="str">
        <f>IFERROR(ROUNDDOWN(K12,-3),"")</f>
        <v/>
      </c>
      <c r="M12" s="833"/>
      <c r="N12" s="876"/>
      <c r="O12" s="833"/>
      <c r="P12" s="876"/>
      <c r="Q12" s="836"/>
      <c r="R12" s="313">
        <v>78</v>
      </c>
    </row>
    <row r="13" spans="2:20" ht="26.25" customHeight="1">
      <c r="B13" s="601" t="s">
        <v>227</v>
      </c>
      <c r="C13" s="854"/>
      <c r="D13" s="855"/>
      <c r="E13" s="337" t="str">
        <f>IF(C13="","",C13-D13)</f>
        <v/>
      </c>
      <c r="F13" s="855"/>
      <c r="G13" s="336">
        <v>250000</v>
      </c>
      <c r="H13" s="605"/>
      <c r="I13" s="336">
        <v>250000</v>
      </c>
      <c r="J13" s="338">
        <f>IF(I13="","",MIN(F13:I13))</f>
        <v>250000</v>
      </c>
      <c r="K13" s="338" t="str">
        <f>IF(E13="","",IF(OR($T$6=#REF!,$T$6=#REF!),MIN(E13,J13)*0.5,MIN(E13,J13)))</f>
        <v/>
      </c>
      <c r="L13" s="338" t="str">
        <f>IFERROR(ROUNDDOWN(K13,-3),"")</f>
        <v/>
      </c>
      <c r="M13" s="834"/>
      <c r="N13" s="877"/>
      <c r="O13" s="834"/>
      <c r="P13" s="877"/>
      <c r="Q13" s="835"/>
      <c r="R13" s="313" t="s">
        <v>228</v>
      </c>
    </row>
    <row r="14" spans="2:20" ht="24" customHeight="1">
      <c r="B14" s="172" t="s">
        <v>210</v>
      </c>
      <c r="C14" s="832" t="str">
        <f>IF(SUM(C12:C13)=0,"",SUM(C12:C13))</f>
        <v/>
      </c>
      <c r="D14" s="832" t="str">
        <f t="shared" ref="D14:K14" si="0">IF(SUM(D12:D13)=0,"",SUM(D12:D13))</f>
        <v/>
      </c>
      <c r="E14" s="832" t="str">
        <f t="shared" si="0"/>
        <v/>
      </c>
      <c r="F14" s="832" t="str">
        <f>IF(SUM(F12:F13)=0,"",SUM(F12:F13))</f>
        <v/>
      </c>
      <c r="G14" s="832"/>
      <c r="H14" s="832"/>
      <c r="I14" s="832">
        <f>IF(SUM(I12:I13)=0,"",SUM(I12:I13))</f>
        <v>250000</v>
      </c>
      <c r="J14" s="832">
        <f>IF(SUM(J12:J13)=0,"",SUM(J12:J13))</f>
        <v>250000</v>
      </c>
      <c r="K14" s="832" t="str">
        <f t="shared" si="0"/>
        <v/>
      </c>
      <c r="L14" s="832" t="str">
        <f>IF(SUM(L12:L13)=0,"",SUM(L12:L13))</f>
        <v/>
      </c>
      <c r="M14" s="832" t="str">
        <f>IF(SUM(M12:M12)=0,"",SUM(M12:M12))</f>
        <v/>
      </c>
      <c r="N14" s="832"/>
      <c r="O14" s="832"/>
      <c r="P14" s="832" t="str">
        <f>IF(SUM(P12:P12)=0,"",SUM(P12:P12))</f>
        <v/>
      </c>
      <c r="Q14" s="832">
        <f>SUM(Q12:Q13)</f>
        <v>0</v>
      </c>
    </row>
    <row r="15" spans="2:20" ht="16.5" customHeight="1">
      <c r="C15" s="602"/>
      <c r="D15" s="602"/>
    </row>
    <row r="16" spans="2:20" ht="23.25" customHeight="1">
      <c r="B16" s="311" t="s">
        <v>211</v>
      </c>
    </row>
    <row r="17" spans="2:18" ht="18" customHeight="1">
      <c r="B17" s="896" t="s">
        <v>212</v>
      </c>
      <c r="C17" s="897"/>
      <c r="D17" s="898"/>
      <c r="E17" s="896" t="s">
        <v>213</v>
      </c>
      <c r="F17" s="898"/>
      <c r="G17" s="1404" t="s">
        <v>214</v>
      </c>
      <c r="H17" s="1404"/>
      <c r="I17" s="1404"/>
      <c r="J17" s="1404"/>
      <c r="K17" s="1404"/>
      <c r="L17" s="1404"/>
      <c r="M17" s="1404"/>
      <c r="N17" s="1404"/>
      <c r="O17" s="1404"/>
      <c r="P17" s="1404"/>
      <c r="Q17" s="1404"/>
    </row>
    <row r="18" spans="2:18" ht="18" customHeight="1">
      <c r="B18" s="904"/>
      <c r="C18" s="905"/>
      <c r="D18" s="906"/>
      <c r="E18" s="327"/>
      <c r="F18" s="328" t="s">
        <v>209</v>
      </c>
      <c r="G18" s="606"/>
      <c r="H18" s="606"/>
      <c r="I18" s="606"/>
      <c r="J18" s="311"/>
      <c r="K18" s="311"/>
      <c r="L18" s="311"/>
      <c r="M18" s="311"/>
      <c r="N18" s="311"/>
      <c r="O18" s="311"/>
      <c r="P18" s="311"/>
      <c r="Q18" s="579"/>
    </row>
    <row r="19" spans="2:18" ht="18" customHeight="1">
      <c r="B19" s="899" t="s">
        <v>745</v>
      </c>
      <c r="C19" s="900"/>
      <c r="D19" s="901"/>
      <c r="E19" s="327"/>
      <c r="F19" s="858"/>
      <c r="G19" s="863"/>
      <c r="H19" s="863"/>
      <c r="I19" s="864"/>
      <c r="J19" s="860"/>
      <c r="K19" s="860"/>
      <c r="L19" s="860"/>
      <c r="M19" s="860"/>
      <c r="N19" s="860"/>
      <c r="O19" s="860"/>
      <c r="P19" s="860"/>
      <c r="Q19" s="861"/>
      <c r="R19" s="313">
        <v>58</v>
      </c>
    </row>
    <row r="20" spans="2:18" ht="18" customHeight="1">
      <c r="B20" s="899" t="s">
        <v>746</v>
      </c>
      <c r="C20" s="900"/>
      <c r="D20" s="901"/>
      <c r="E20" s="327"/>
      <c r="F20" s="858"/>
      <c r="G20" s="863"/>
      <c r="H20" s="863"/>
      <c r="I20" s="864"/>
      <c r="J20" s="860"/>
      <c r="K20" s="860"/>
      <c r="L20" s="860"/>
      <c r="M20" s="860"/>
      <c r="N20" s="860"/>
      <c r="O20" s="860"/>
      <c r="P20" s="860"/>
      <c r="Q20" s="861"/>
      <c r="R20" s="313">
        <v>59</v>
      </c>
    </row>
    <row r="21" spans="2:18" ht="18" customHeight="1">
      <c r="B21" s="899" t="s">
        <v>747</v>
      </c>
      <c r="C21" s="900"/>
      <c r="D21" s="901"/>
      <c r="E21" s="327"/>
      <c r="F21" s="858"/>
      <c r="G21" s="863"/>
      <c r="H21" s="863"/>
      <c r="I21" s="860"/>
      <c r="J21" s="860"/>
      <c r="K21" s="860"/>
      <c r="L21" s="860"/>
      <c r="M21" s="860"/>
      <c r="N21" s="860"/>
      <c r="O21" s="860"/>
      <c r="P21" s="860"/>
      <c r="Q21" s="861"/>
      <c r="R21" s="313">
        <v>60</v>
      </c>
    </row>
    <row r="22" spans="2:18" ht="18" customHeight="1">
      <c r="B22" s="899" t="s">
        <v>748</v>
      </c>
      <c r="C22" s="900"/>
      <c r="D22" s="901"/>
      <c r="E22" s="327"/>
      <c r="F22" s="858"/>
      <c r="G22" s="863"/>
      <c r="H22" s="863"/>
      <c r="I22" s="860"/>
      <c r="J22" s="860"/>
      <c r="K22" s="860"/>
      <c r="L22" s="860"/>
      <c r="M22" s="860"/>
      <c r="N22" s="860"/>
      <c r="O22" s="860"/>
      <c r="P22" s="860"/>
      <c r="Q22" s="861"/>
      <c r="R22" s="313">
        <v>61</v>
      </c>
    </row>
    <row r="23" spans="2:18" ht="18" customHeight="1">
      <c r="B23" s="899" t="s">
        <v>236</v>
      </c>
      <c r="C23" s="900"/>
      <c r="D23" s="901"/>
      <c r="E23" s="327"/>
      <c r="F23" s="858"/>
      <c r="G23" s="863"/>
      <c r="H23" s="863"/>
      <c r="I23" s="860"/>
      <c r="J23" s="860"/>
      <c r="K23" s="860"/>
      <c r="L23" s="860"/>
      <c r="M23" s="860"/>
      <c r="N23" s="860"/>
      <c r="O23" s="860"/>
      <c r="P23" s="860"/>
      <c r="Q23" s="861"/>
      <c r="R23" s="313">
        <v>62</v>
      </c>
    </row>
    <row r="24" spans="2:18" ht="18" customHeight="1">
      <c r="B24" s="899" t="s">
        <v>239</v>
      </c>
      <c r="C24" s="900"/>
      <c r="D24" s="901"/>
      <c r="E24" s="327"/>
      <c r="F24" s="858"/>
      <c r="G24" s="863"/>
      <c r="H24" s="863"/>
      <c r="I24" s="860"/>
      <c r="J24" s="860"/>
      <c r="K24" s="860"/>
      <c r="L24" s="860"/>
      <c r="M24" s="860"/>
      <c r="N24" s="860"/>
      <c r="O24" s="860"/>
      <c r="P24" s="860"/>
      <c r="Q24" s="861"/>
      <c r="R24" s="313">
        <v>63</v>
      </c>
    </row>
    <row r="25" spans="2:18" ht="18" customHeight="1">
      <c r="B25" s="899" t="s">
        <v>243</v>
      </c>
      <c r="C25" s="900"/>
      <c r="D25" s="901"/>
      <c r="E25" s="327"/>
      <c r="F25" s="858"/>
      <c r="G25" s="863"/>
      <c r="H25" s="863"/>
      <c r="I25" s="860"/>
      <c r="J25" s="860"/>
      <c r="K25" s="860"/>
      <c r="L25" s="860"/>
      <c r="M25" s="860"/>
      <c r="N25" s="860"/>
      <c r="O25" s="860"/>
      <c r="P25" s="860"/>
      <c r="Q25" s="861"/>
      <c r="R25" s="313">
        <v>64</v>
      </c>
    </row>
    <row r="26" spans="2:18" ht="18" customHeight="1">
      <c r="B26" s="899" t="s">
        <v>245</v>
      </c>
      <c r="C26" s="900"/>
      <c r="D26" s="901"/>
      <c r="E26" s="327"/>
      <c r="F26" s="858"/>
      <c r="G26" s="863"/>
      <c r="H26" s="863"/>
      <c r="I26" s="860"/>
      <c r="J26" s="860"/>
      <c r="K26" s="860"/>
      <c r="L26" s="860"/>
      <c r="M26" s="860"/>
      <c r="N26" s="860"/>
      <c r="O26" s="860"/>
      <c r="P26" s="860"/>
      <c r="Q26" s="861"/>
      <c r="R26" s="313">
        <v>65</v>
      </c>
    </row>
    <row r="27" spans="2:18" ht="18" customHeight="1">
      <c r="B27" s="899" t="s">
        <v>247</v>
      </c>
      <c r="C27" s="900"/>
      <c r="D27" s="901"/>
      <c r="E27" s="327"/>
      <c r="F27" s="858"/>
      <c r="G27" s="863"/>
      <c r="H27" s="863"/>
      <c r="I27" s="860"/>
      <c r="J27" s="860"/>
      <c r="K27" s="860"/>
      <c r="L27" s="860"/>
      <c r="M27" s="860"/>
      <c r="N27" s="860"/>
      <c r="O27" s="860"/>
      <c r="P27" s="860"/>
      <c r="Q27" s="861"/>
      <c r="R27" s="313">
        <v>66</v>
      </c>
    </row>
    <row r="28" spans="2:18" ht="18" customHeight="1">
      <c r="B28" s="899" t="s">
        <v>251</v>
      </c>
      <c r="C28" s="900"/>
      <c r="D28" s="901"/>
      <c r="E28" s="327"/>
      <c r="F28" s="858"/>
      <c r="G28" s="863"/>
      <c r="H28" s="863"/>
      <c r="I28" s="860"/>
      <c r="J28" s="860"/>
      <c r="K28" s="860"/>
      <c r="L28" s="860"/>
      <c r="M28" s="860"/>
      <c r="N28" s="860"/>
      <c r="O28" s="860"/>
      <c r="P28" s="860"/>
      <c r="Q28" s="861"/>
      <c r="R28" s="313">
        <v>67</v>
      </c>
    </row>
    <row r="29" spans="2:18" ht="18" customHeight="1">
      <c r="B29" s="899" t="s">
        <v>232</v>
      </c>
      <c r="C29" s="900"/>
      <c r="D29" s="901"/>
      <c r="E29" s="327"/>
      <c r="F29" s="858"/>
      <c r="G29" s="863"/>
      <c r="H29" s="863"/>
      <c r="I29" s="860"/>
      <c r="J29" s="860"/>
      <c r="K29" s="860"/>
      <c r="L29" s="860"/>
      <c r="M29" s="860"/>
      <c r="N29" s="860"/>
      <c r="O29" s="860"/>
      <c r="P29" s="860"/>
      <c r="Q29" s="861"/>
    </row>
    <row r="30" spans="2:18" ht="18" customHeight="1">
      <c r="B30" s="899" t="s">
        <v>749</v>
      </c>
      <c r="C30" s="900"/>
      <c r="D30" s="901"/>
      <c r="E30" s="327"/>
      <c r="F30" s="858"/>
      <c r="G30" s="863"/>
      <c r="H30" s="863"/>
      <c r="I30" s="860"/>
      <c r="J30" s="860"/>
      <c r="K30" s="860"/>
      <c r="L30" s="860"/>
      <c r="M30" s="860"/>
      <c r="N30" s="860"/>
      <c r="O30" s="860"/>
      <c r="P30" s="860"/>
      <c r="Q30" s="861"/>
      <c r="R30" s="313">
        <v>68</v>
      </c>
    </row>
    <row r="31" spans="2:18" ht="18" customHeight="1">
      <c r="B31" s="899" t="s">
        <v>750</v>
      </c>
      <c r="C31" s="900"/>
      <c r="D31" s="901"/>
      <c r="E31" s="327"/>
      <c r="F31" s="858"/>
      <c r="G31" s="863"/>
      <c r="H31" s="863"/>
      <c r="I31" s="860"/>
      <c r="J31" s="860"/>
      <c r="K31" s="860"/>
      <c r="L31" s="860"/>
      <c r="M31" s="860"/>
      <c r="N31" s="860"/>
      <c r="O31" s="860"/>
      <c r="P31" s="860"/>
      <c r="Q31" s="861"/>
      <c r="R31" s="313">
        <v>69</v>
      </c>
    </row>
    <row r="32" spans="2:18" ht="18" customHeight="1">
      <c r="B32" s="899"/>
      <c r="C32" s="900"/>
      <c r="D32" s="901"/>
      <c r="E32" s="327"/>
      <c r="F32" s="858"/>
      <c r="G32" s="863"/>
      <c r="H32" s="863"/>
      <c r="I32" s="860"/>
      <c r="J32" s="860"/>
      <c r="K32" s="860"/>
      <c r="L32" s="860"/>
      <c r="M32" s="860"/>
      <c r="N32" s="860"/>
      <c r="O32" s="860"/>
      <c r="P32" s="860"/>
      <c r="Q32" s="861"/>
    </row>
    <row r="33" spans="2:17" ht="18" customHeight="1">
      <c r="B33" s="899"/>
      <c r="C33" s="900"/>
      <c r="D33" s="901"/>
      <c r="E33" s="327"/>
      <c r="F33" s="858"/>
      <c r="G33" s="863"/>
      <c r="H33" s="863"/>
      <c r="I33" s="860"/>
      <c r="J33" s="860"/>
      <c r="K33" s="860"/>
      <c r="L33" s="860"/>
      <c r="M33" s="860"/>
      <c r="N33" s="860"/>
      <c r="O33" s="860"/>
      <c r="P33" s="860"/>
      <c r="Q33" s="861"/>
    </row>
    <row r="34" spans="2:17" ht="18" customHeight="1">
      <c r="B34" s="899"/>
      <c r="C34" s="900"/>
      <c r="D34" s="901"/>
      <c r="E34" s="327"/>
      <c r="F34" s="858"/>
      <c r="G34" s="863"/>
      <c r="H34" s="863"/>
      <c r="I34" s="860"/>
      <c r="J34" s="860"/>
      <c r="K34" s="860"/>
      <c r="L34" s="860"/>
      <c r="M34" s="860"/>
      <c r="N34" s="860"/>
      <c r="O34" s="860"/>
      <c r="P34" s="860"/>
      <c r="Q34" s="861"/>
    </row>
    <row r="35" spans="2:17" ht="18" customHeight="1">
      <c r="B35" s="899"/>
      <c r="C35" s="900"/>
      <c r="D35" s="901"/>
      <c r="E35" s="327"/>
      <c r="F35" s="858"/>
      <c r="G35" s="863"/>
      <c r="H35" s="863"/>
      <c r="I35" s="860"/>
      <c r="J35" s="860"/>
      <c r="K35" s="860"/>
      <c r="L35" s="860"/>
      <c r="M35" s="860"/>
      <c r="N35" s="860"/>
      <c r="O35" s="860"/>
      <c r="P35" s="860"/>
      <c r="Q35" s="861"/>
    </row>
    <row r="36" spans="2:17" ht="18" customHeight="1">
      <c r="B36" s="899"/>
      <c r="C36" s="900"/>
      <c r="D36" s="901"/>
      <c r="E36" s="327"/>
      <c r="F36" s="858"/>
      <c r="G36" s="863"/>
      <c r="H36" s="863"/>
      <c r="I36" s="860"/>
      <c r="J36" s="860"/>
      <c r="K36" s="860"/>
      <c r="L36" s="860"/>
      <c r="M36" s="860"/>
      <c r="N36" s="860"/>
      <c r="O36" s="860"/>
      <c r="P36" s="860"/>
      <c r="Q36" s="861"/>
    </row>
    <row r="37" spans="2:17" ht="18" customHeight="1">
      <c r="B37" s="899"/>
      <c r="C37" s="900"/>
      <c r="D37" s="901"/>
      <c r="E37" s="327"/>
      <c r="F37" s="858"/>
      <c r="G37" s="863"/>
      <c r="H37" s="863"/>
      <c r="I37" s="860"/>
      <c r="J37" s="860"/>
      <c r="K37" s="860"/>
      <c r="L37" s="860"/>
      <c r="M37" s="860"/>
      <c r="N37" s="860"/>
      <c r="O37" s="860"/>
      <c r="P37" s="860"/>
      <c r="Q37" s="861"/>
    </row>
    <row r="38" spans="2:17" ht="18" customHeight="1">
      <c r="B38" s="899"/>
      <c r="C38" s="900"/>
      <c r="D38" s="901"/>
      <c r="E38" s="327"/>
      <c r="F38" s="858"/>
      <c r="G38" s="863"/>
      <c r="H38" s="863"/>
      <c r="I38" s="860"/>
      <c r="J38" s="860"/>
      <c r="K38" s="860"/>
      <c r="L38" s="860"/>
      <c r="M38" s="860"/>
      <c r="N38" s="860"/>
      <c r="O38" s="860"/>
      <c r="P38" s="860"/>
      <c r="Q38" s="861"/>
    </row>
    <row r="39" spans="2:17" ht="18" customHeight="1">
      <c r="B39" s="899"/>
      <c r="C39" s="900"/>
      <c r="D39" s="901"/>
      <c r="E39" s="327"/>
      <c r="F39" s="858"/>
      <c r="G39" s="863"/>
      <c r="H39" s="863"/>
      <c r="I39" s="860"/>
      <c r="J39" s="860"/>
      <c r="K39" s="860"/>
      <c r="L39" s="860"/>
      <c r="M39" s="860"/>
      <c r="N39" s="860"/>
      <c r="O39" s="860"/>
      <c r="P39" s="860"/>
      <c r="Q39" s="861"/>
    </row>
    <row r="40" spans="2:17" ht="18" customHeight="1">
      <c r="B40" s="899"/>
      <c r="C40" s="900"/>
      <c r="D40" s="901"/>
      <c r="E40" s="327"/>
      <c r="F40" s="858"/>
      <c r="G40" s="863"/>
      <c r="H40" s="863"/>
      <c r="I40" s="860"/>
      <c r="J40" s="860"/>
      <c r="K40" s="860"/>
      <c r="L40" s="860"/>
      <c r="M40" s="860"/>
      <c r="N40" s="860"/>
      <c r="O40" s="860"/>
      <c r="P40" s="860"/>
      <c r="Q40" s="861"/>
    </row>
    <row r="41" spans="2:17" ht="18" customHeight="1">
      <c r="B41" s="899"/>
      <c r="C41" s="900"/>
      <c r="D41" s="901"/>
      <c r="E41" s="327"/>
      <c r="F41" s="858"/>
      <c r="G41" s="863"/>
      <c r="H41" s="863"/>
      <c r="I41" s="860"/>
      <c r="J41" s="860"/>
      <c r="K41" s="860"/>
      <c r="L41" s="860"/>
      <c r="M41" s="860"/>
      <c r="N41" s="860"/>
      <c r="O41" s="860"/>
      <c r="P41" s="860"/>
      <c r="Q41" s="861"/>
    </row>
    <row r="42" spans="2:17" ht="18" customHeight="1">
      <c r="B42" s="899"/>
      <c r="C42" s="900"/>
      <c r="D42" s="901"/>
      <c r="E42" s="327"/>
      <c r="F42" s="858"/>
      <c r="G42" s="863"/>
      <c r="H42" s="863"/>
      <c r="I42" s="860"/>
      <c r="J42" s="860"/>
      <c r="K42" s="860"/>
      <c r="L42" s="860"/>
      <c r="M42" s="860"/>
      <c r="N42" s="860"/>
      <c r="O42" s="860"/>
      <c r="P42" s="860"/>
      <c r="Q42" s="861"/>
    </row>
    <row r="43" spans="2:17" ht="18" customHeight="1">
      <c r="B43" s="899"/>
      <c r="C43" s="900"/>
      <c r="D43" s="901"/>
      <c r="E43" s="327"/>
      <c r="F43" s="858"/>
      <c r="G43" s="863"/>
      <c r="H43" s="863"/>
      <c r="I43" s="860"/>
      <c r="J43" s="860"/>
      <c r="K43" s="860"/>
      <c r="L43" s="860"/>
      <c r="M43" s="860"/>
      <c r="N43" s="860"/>
      <c r="O43" s="860"/>
      <c r="P43" s="860"/>
      <c r="Q43" s="861"/>
    </row>
    <row r="44" spans="2:17" ht="18" customHeight="1">
      <c r="B44" s="899"/>
      <c r="C44" s="900"/>
      <c r="D44" s="901"/>
      <c r="E44" s="327"/>
      <c r="F44" s="858"/>
      <c r="G44" s="863"/>
      <c r="H44" s="863"/>
      <c r="I44" s="860"/>
      <c r="J44" s="860"/>
      <c r="K44" s="860"/>
      <c r="L44" s="860"/>
      <c r="M44" s="860"/>
      <c r="N44" s="860"/>
      <c r="O44" s="860"/>
      <c r="P44" s="860"/>
      <c r="Q44" s="861"/>
    </row>
    <row r="45" spans="2:17" ht="18" customHeight="1">
      <c r="B45" s="899"/>
      <c r="C45" s="900"/>
      <c r="D45" s="901"/>
      <c r="E45" s="327"/>
      <c r="F45" s="858"/>
      <c r="G45" s="863"/>
      <c r="H45" s="863"/>
      <c r="I45" s="860"/>
      <c r="J45" s="860"/>
      <c r="K45" s="860"/>
      <c r="L45" s="860"/>
      <c r="M45" s="860"/>
      <c r="N45" s="860"/>
      <c r="O45" s="860"/>
      <c r="P45" s="860"/>
      <c r="Q45" s="861"/>
    </row>
    <row r="46" spans="2:17" ht="18" customHeight="1">
      <c r="B46" s="899"/>
      <c r="C46" s="900"/>
      <c r="D46" s="901"/>
      <c r="E46" s="327"/>
      <c r="F46" s="858"/>
      <c r="G46" s="863"/>
      <c r="H46" s="863"/>
      <c r="I46" s="860"/>
      <c r="J46" s="860"/>
      <c r="K46" s="860"/>
      <c r="L46" s="860"/>
      <c r="M46" s="860"/>
      <c r="N46" s="860"/>
      <c r="O46" s="860"/>
      <c r="P46" s="860"/>
      <c r="Q46" s="861"/>
    </row>
    <row r="47" spans="2:17" ht="18" customHeight="1">
      <c r="B47" s="899"/>
      <c r="C47" s="900"/>
      <c r="D47" s="901"/>
      <c r="E47" s="327"/>
      <c r="F47" s="858"/>
      <c r="G47" s="863"/>
      <c r="H47" s="863"/>
      <c r="I47" s="860"/>
      <c r="J47" s="860"/>
      <c r="K47" s="860"/>
      <c r="L47" s="860"/>
      <c r="M47" s="860"/>
      <c r="N47" s="860"/>
      <c r="O47" s="860"/>
      <c r="P47" s="860"/>
      <c r="Q47" s="861"/>
    </row>
    <row r="48" spans="2:17" ht="18" customHeight="1">
      <c r="B48" s="899"/>
      <c r="C48" s="900"/>
      <c r="D48" s="901"/>
      <c r="E48" s="327"/>
      <c r="F48" s="858"/>
      <c r="G48" s="863"/>
      <c r="H48" s="863"/>
      <c r="I48" s="860"/>
      <c r="J48" s="860"/>
      <c r="K48" s="860"/>
      <c r="L48" s="860"/>
      <c r="M48" s="860"/>
      <c r="N48" s="860"/>
      <c r="O48" s="860"/>
      <c r="P48" s="860"/>
      <c r="Q48" s="861"/>
    </row>
    <row r="49" spans="2:17" ht="18" customHeight="1">
      <c r="B49" s="899"/>
      <c r="C49" s="900"/>
      <c r="D49" s="901"/>
      <c r="E49" s="327"/>
      <c r="F49" s="858"/>
      <c r="G49" s="863"/>
      <c r="H49" s="863"/>
      <c r="I49" s="860"/>
      <c r="J49" s="860"/>
      <c r="K49" s="860"/>
      <c r="L49" s="860"/>
      <c r="M49" s="860"/>
      <c r="N49" s="860"/>
      <c r="O49" s="860"/>
      <c r="P49" s="860"/>
      <c r="Q49" s="861"/>
    </row>
    <row r="50" spans="2:17" ht="18" customHeight="1">
      <c r="B50" s="899"/>
      <c r="C50" s="900"/>
      <c r="D50" s="901"/>
      <c r="E50" s="327"/>
      <c r="F50" s="858"/>
      <c r="G50" s="863"/>
      <c r="H50" s="863"/>
      <c r="I50" s="860"/>
      <c r="J50" s="860"/>
      <c r="K50" s="860"/>
      <c r="L50" s="860"/>
      <c r="M50" s="860"/>
      <c r="N50" s="860"/>
      <c r="O50" s="860"/>
      <c r="P50" s="860"/>
      <c r="Q50" s="861"/>
    </row>
    <row r="51" spans="2:17" ht="18" customHeight="1">
      <c r="B51" s="899"/>
      <c r="C51" s="900"/>
      <c r="D51" s="901"/>
      <c r="E51" s="327"/>
      <c r="F51" s="858"/>
      <c r="G51" s="863"/>
      <c r="H51" s="863"/>
      <c r="I51" s="860"/>
      <c r="J51" s="860"/>
      <c r="K51" s="860"/>
      <c r="L51" s="860"/>
      <c r="M51" s="860"/>
      <c r="N51" s="860"/>
      <c r="O51" s="860"/>
      <c r="P51" s="860"/>
      <c r="Q51" s="861"/>
    </row>
    <row r="52" spans="2:17" ht="18" customHeight="1">
      <c r="B52" s="899"/>
      <c r="C52" s="900"/>
      <c r="D52" s="901"/>
      <c r="E52" s="327"/>
      <c r="F52" s="858"/>
      <c r="G52" s="863"/>
      <c r="H52" s="863"/>
      <c r="I52" s="860"/>
      <c r="J52" s="860"/>
      <c r="K52" s="860"/>
      <c r="L52" s="860"/>
      <c r="M52" s="860"/>
      <c r="N52" s="860"/>
      <c r="O52" s="860"/>
      <c r="P52" s="860"/>
      <c r="Q52" s="861"/>
    </row>
    <row r="53" spans="2:17" ht="18" customHeight="1">
      <c r="B53" s="899"/>
      <c r="C53" s="900"/>
      <c r="D53" s="901"/>
      <c r="E53" s="327"/>
      <c r="F53" s="858"/>
      <c r="G53" s="863"/>
      <c r="H53" s="863"/>
      <c r="I53" s="860"/>
      <c r="J53" s="860"/>
      <c r="K53" s="860"/>
      <c r="L53" s="860"/>
      <c r="M53" s="860"/>
      <c r="N53" s="860"/>
      <c r="O53" s="860"/>
      <c r="P53" s="860"/>
      <c r="Q53" s="861"/>
    </row>
    <row r="54" spans="2:17" ht="18" customHeight="1">
      <c r="B54" s="899"/>
      <c r="C54" s="900"/>
      <c r="D54" s="901"/>
      <c r="E54" s="327"/>
      <c r="F54" s="858"/>
      <c r="G54" s="863"/>
      <c r="H54" s="863"/>
      <c r="I54" s="860"/>
      <c r="J54" s="860"/>
      <c r="K54" s="860"/>
      <c r="L54" s="860"/>
      <c r="M54" s="860"/>
      <c r="N54" s="860"/>
      <c r="O54" s="860"/>
      <c r="P54" s="860"/>
      <c r="Q54" s="861"/>
    </row>
    <row r="55" spans="2:17" ht="18" customHeight="1">
      <c r="B55" s="899"/>
      <c r="C55" s="900"/>
      <c r="D55" s="901"/>
      <c r="E55" s="327"/>
      <c r="F55" s="858"/>
      <c r="G55" s="863"/>
      <c r="H55" s="863"/>
      <c r="I55" s="860"/>
      <c r="J55" s="860"/>
      <c r="K55" s="860"/>
      <c r="L55" s="860"/>
      <c r="M55" s="860"/>
      <c r="N55" s="860"/>
      <c r="O55" s="860"/>
      <c r="P55" s="860"/>
      <c r="Q55" s="861"/>
    </row>
    <row r="56" spans="2:17" ht="18" customHeight="1">
      <c r="B56" s="899"/>
      <c r="C56" s="900"/>
      <c r="D56" s="901"/>
      <c r="E56" s="327"/>
      <c r="F56" s="858"/>
      <c r="G56" s="863"/>
      <c r="H56" s="863"/>
      <c r="I56" s="860"/>
      <c r="J56" s="860"/>
      <c r="K56" s="860"/>
      <c r="L56" s="860"/>
      <c r="M56" s="860"/>
      <c r="N56" s="860"/>
      <c r="O56" s="860"/>
      <c r="P56" s="860"/>
      <c r="Q56" s="861"/>
    </row>
    <row r="57" spans="2:17" ht="18" customHeight="1">
      <c r="B57" s="899"/>
      <c r="C57" s="900"/>
      <c r="D57" s="901"/>
      <c r="E57" s="327"/>
      <c r="F57" s="858"/>
      <c r="G57" s="863"/>
      <c r="H57" s="863"/>
      <c r="I57" s="860"/>
      <c r="J57" s="860"/>
      <c r="K57" s="860"/>
      <c r="L57" s="860"/>
      <c r="M57" s="860"/>
      <c r="N57" s="860"/>
      <c r="O57" s="860"/>
      <c r="P57" s="860"/>
      <c r="Q57" s="861"/>
    </row>
    <row r="58" spans="2:17" ht="18" customHeight="1">
      <c r="B58" s="899"/>
      <c r="C58" s="900"/>
      <c r="D58" s="901"/>
      <c r="E58" s="327"/>
      <c r="F58" s="858"/>
      <c r="G58" s="863"/>
      <c r="H58" s="863"/>
      <c r="I58" s="860"/>
      <c r="J58" s="860"/>
      <c r="K58" s="860"/>
      <c r="L58" s="860"/>
      <c r="M58" s="860"/>
      <c r="N58" s="860"/>
      <c r="O58" s="860"/>
      <c r="P58" s="860"/>
      <c r="Q58" s="861"/>
    </row>
    <row r="59" spans="2:17" ht="18" customHeight="1">
      <c r="B59" s="899"/>
      <c r="C59" s="900"/>
      <c r="D59" s="901"/>
      <c r="E59" s="327"/>
      <c r="F59" s="858"/>
      <c r="G59" s="863"/>
      <c r="H59" s="863"/>
      <c r="I59" s="860"/>
      <c r="J59" s="860"/>
      <c r="K59" s="860"/>
      <c r="L59" s="860"/>
      <c r="M59" s="860"/>
      <c r="N59" s="860"/>
      <c r="O59" s="860"/>
      <c r="P59" s="860"/>
      <c r="Q59" s="861"/>
    </row>
    <row r="60" spans="2:17" ht="18" customHeight="1">
      <c r="B60" s="899"/>
      <c r="C60" s="900"/>
      <c r="D60" s="901"/>
      <c r="E60" s="327"/>
      <c r="F60" s="858"/>
      <c r="G60" s="863"/>
      <c r="H60" s="863"/>
      <c r="I60" s="860"/>
      <c r="J60" s="860"/>
      <c r="K60" s="860"/>
      <c r="L60" s="860"/>
      <c r="M60" s="860"/>
      <c r="N60" s="860"/>
      <c r="O60" s="860"/>
      <c r="P60" s="860"/>
      <c r="Q60" s="861"/>
    </row>
    <row r="61" spans="2:17" ht="18" customHeight="1">
      <c r="B61" s="899"/>
      <c r="C61" s="900"/>
      <c r="D61" s="901"/>
      <c r="E61" s="327"/>
      <c r="F61" s="858"/>
      <c r="G61" s="863"/>
      <c r="H61" s="863"/>
      <c r="I61" s="860"/>
      <c r="J61" s="860"/>
      <c r="K61" s="860"/>
      <c r="L61" s="860"/>
      <c r="M61" s="860"/>
      <c r="N61" s="860"/>
      <c r="O61" s="860"/>
      <c r="P61" s="860"/>
      <c r="Q61" s="861"/>
    </row>
    <row r="62" spans="2:17" ht="18" customHeight="1">
      <c r="B62" s="899"/>
      <c r="C62" s="900"/>
      <c r="D62" s="901"/>
      <c r="E62" s="327"/>
      <c r="F62" s="858"/>
      <c r="G62" s="863"/>
      <c r="H62" s="863"/>
      <c r="I62" s="860"/>
      <c r="J62" s="860"/>
      <c r="K62" s="860"/>
      <c r="L62" s="860"/>
      <c r="M62" s="860"/>
      <c r="N62" s="860"/>
      <c r="O62" s="860"/>
      <c r="P62" s="860"/>
      <c r="Q62" s="861"/>
    </row>
    <row r="63" spans="2:17" ht="18" customHeight="1">
      <c r="B63" s="899"/>
      <c r="C63" s="900"/>
      <c r="D63" s="901"/>
      <c r="E63" s="327"/>
      <c r="F63" s="858"/>
      <c r="G63" s="863"/>
      <c r="H63" s="863"/>
      <c r="I63" s="860"/>
      <c r="J63" s="860"/>
      <c r="K63" s="860"/>
      <c r="L63" s="860"/>
      <c r="M63" s="860"/>
      <c r="N63" s="860"/>
      <c r="O63" s="860"/>
      <c r="P63" s="860"/>
      <c r="Q63" s="861"/>
    </row>
    <row r="64" spans="2:17" ht="18" customHeight="1">
      <c r="B64" s="899"/>
      <c r="C64" s="900"/>
      <c r="D64" s="901"/>
      <c r="E64" s="327"/>
      <c r="F64" s="858"/>
      <c r="G64" s="863"/>
      <c r="H64" s="863"/>
      <c r="I64" s="860"/>
      <c r="J64" s="860"/>
      <c r="K64" s="860"/>
      <c r="L64" s="860"/>
      <c r="M64" s="860"/>
      <c r="N64" s="860"/>
      <c r="O64" s="860"/>
      <c r="P64" s="860"/>
      <c r="Q64" s="861"/>
    </row>
    <row r="65" spans="2:17" ht="18" customHeight="1">
      <c r="B65" s="899"/>
      <c r="C65" s="900"/>
      <c r="D65" s="901"/>
      <c r="E65" s="327"/>
      <c r="F65" s="858"/>
      <c r="G65" s="863"/>
      <c r="H65" s="863"/>
      <c r="I65" s="860"/>
      <c r="J65" s="860"/>
      <c r="K65" s="860"/>
      <c r="L65" s="860"/>
      <c r="M65" s="860"/>
      <c r="N65" s="860"/>
      <c r="O65" s="860"/>
      <c r="P65" s="860"/>
      <c r="Q65" s="861"/>
    </row>
    <row r="66" spans="2:17" ht="18" customHeight="1">
      <c r="B66" s="899"/>
      <c r="C66" s="900"/>
      <c r="D66" s="901"/>
      <c r="E66" s="327"/>
      <c r="F66" s="858"/>
      <c r="G66" s="863"/>
      <c r="H66" s="863"/>
      <c r="I66" s="860"/>
      <c r="J66" s="860"/>
      <c r="K66" s="860"/>
      <c r="L66" s="860"/>
      <c r="M66" s="860"/>
      <c r="N66" s="860"/>
      <c r="O66" s="860"/>
      <c r="P66" s="860"/>
      <c r="Q66" s="861"/>
    </row>
    <row r="67" spans="2:17" ht="18" customHeight="1">
      <c r="B67" s="899"/>
      <c r="C67" s="900"/>
      <c r="D67" s="901"/>
      <c r="E67" s="327"/>
      <c r="F67" s="858"/>
      <c r="G67" s="863"/>
      <c r="H67" s="863"/>
      <c r="I67" s="860"/>
      <c r="J67" s="860"/>
      <c r="K67" s="860"/>
      <c r="L67" s="860"/>
      <c r="M67" s="860"/>
      <c r="N67" s="860"/>
      <c r="O67" s="860"/>
      <c r="P67" s="860"/>
      <c r="Q67" s="861"/>
    </row>
    <row r="68" spans="2:17" ht="18" customHeight="1">
      <c r="B68" s="899"/>
      <c r="C68" s="900"/>
      <c r="D68" s="901"/>
      <c r="E68" s="327"/>
      <c r="F68" s="858"/>
      <c r="G68" s="863"/>
      <c r="H68" s="863"/>
      <c r="I68" s="860"/>
      <c r="J68" s="860"/>
      <c r="K68" s="860"/>
      <c r="L68" s="860"/>
      <c r="M68" s="860"/>
      <c r="N68" s="860"/>
      <c r="O68" s="860"/>
      <c r="P68" s="860"/>
      <c r="Q68" s="861"/>
    </row>
    <row r="69" spans="2:17" ht="18" customHeight="1">
      <c r="B69" s="899"/>
      <c r="C69" s="900"/>
      <c r="D69" s="901"/>
      <c r="E69" s="327"/>
      <c r="F69" s="858"/>
      <c r="G69" s="863"/>
      <c r="H69" s="863"/>
      <c r="I69" s="860"/>
      <c r="J69" s="860"/>
      <c r="K69" s="860"/>
      <c r="L69" s="860"/>
      <c r="M69" s="860"/>
      <c r="N69" s="860"/>
      <c r="O69" s="860"/>
      <c r="P69" s="860"/>
      <c r="Q69" s="861"/>
    </row>
    <row r="70" spans="2:17" ht="18" customHeight="1">
      <c r="B70" s="899"/>
      <c r="C70" s="900"/>
      <c r="D70" s="901"/>
      <c r="E70" s="327"/>
      <c r="F70" s="858"/>
      <c r="G70" s="863"/>
      <c r="H70" s="863"/>
      <c r="I70" s="860"/>
      <c r="J70" s="860"/>
      <c r="K70" s="860"/>
      <c r="L70" s="860"/>
      <c r="M70" s="860"/>
      <c r="N70" s="860"/>
      <c r="O70" s="860"/>
      <c r="P70" s="860"/>
      <c r="Q70" s="861"/>
    </row>
    <row r="71" spans="2:17" ht="18" customHeight="1">
      <c r="B71" s="899"/>
      <c r="C71" s="900"/>
      <c r="D71" s="901"/>
      <c r="E71" s="327"/>
      <c r="F71" s="858"/>
      <c r="G71" s="863"/>
      <c r="H71" s="863"/>
      <c r="I71" s="860"/>
      <c r="J71" s="860"/>
      <c r="K71" s="860"/>
      <c r="L71" s="860"/>
      <c r="M71" s="860"/>
      <c r="N71" s="860"/>
      <c r="O71" s="860"/>
      <c r="P71" s="860"/>
      <c r="Q71" s="861"/>
    </row>
    <row r="72" spans="2:17" ht="18" customHeight="1">
      <c r="B72" s="899"/>
      <c r="C72" s="900"/>
      <c r="D72" s="901"/>
      <c r="E72" s="327"/>
      <c r="F72" s="858"/>
      <c r="G72" s="863"/>
      <c r="H72" s="863"/>
      <c r="I72" s="860"/>
      <c r="J72" s="860"/>
      <c r="K72" s="860"/>
      <c r="L72" s="860"/>
      <c r="M72" s="860"/>
      <c r="N72" s="860"/>
      <c r="O72" s="860"/>
      <c r="P72" s="860"/>
      <c r="Q72" s="861"/>
    </row>
    <row r="73" spans="2:17" ht="18" customHeight="1">
      <c r="B73" s="899"/>
      <c r="C73" s="900"/>
      <c r="D73" s="901"/>
      <c r="E73" s="327"/>
      <c r="F73" s="858"/>
      <c r="G73" s="863"/>
      <c r="H73" s="863"/>
      <c r="I73" s="860"/>
      <c r="J73" s="860"/>
      <c r="K73" s="860"/>
      <c r="L73" s="860"/>
      <c r="M73" s="860"/>
      <c r="N73" s="860"/>
      <c r="O73" s="860"/>
      <c r="P73" s="860"/>
      <c r="Q73" s="861"/>
    </row>
    <row r="74" spans="2:17" ht="18" customHeight="1">
      <c r="B74" s="899"/>
      <c r="C74" s="900"/>
      <c r="D74" s="901"/>
      <c r="E74" s="327"/>
      <c r="F74" s="858"/>
      <c r="G74" s="863"/>
      <c r="H74" s="863"/>
      <c r="I74" s="860"/>
      <c r="J74" s="860"/>
      <c r="K74" s="860"/>
      <c r="L74" s="860"/>
      <c r="M74" s="860"/>
      <c r="N74" s="860"/>
      <c r="O74" s="860"/>
      <c r="P74" s="860"/>
      <c r="Q74" s="861"/>
    </row>
    <row r="75" spans="2:17" ht="18" customHeight="1">
      <c r="B75" s="899"/>
      <c r="C75" s="900"/>
      <c r="D75" s="901"/>
      <c r="E75" s="327"/>
      <c r="F75" s="858"/>
      <c r="G75" s="863"/>
      <c r="H75" s="863"/>
      <c r="I75" s="860"/>
      <c r="J75" s="860"/>
      <c r="K75" s="860"/>
      <c r="L75" s="860"/>
      <c r="M75" s="860"/>
      <c r="N75" s="860"/>
      <c r="O75" s="860"/>
      <c r="P75" s="860"/>
      <c r="Q75" s="861"/>
    </row>
    <row r="76" spans="2:17" ht="18" customHeight="1">
      <c r="B76" s="899"/>
      <c r="C76" s="900"/>
      <c r="D76" s="901"/>
      <c r="E76" s="327"/>
      <c r="F76" s="858"/>
      <c r="G76" s="863"/>
      <c r="H76" s="863"/>
      <c r="I76" s="860"/>
      <c r="J76" s="860"/>
      <c r="K76" s="860"/>
      <c r="L76" s="860"/>
      <c r="M76" s="860"/>
      <c r="N76" s="860"/>
      <c r="O76" s="860"/>
      <c r="P76" s="860"/>
      <c r="Q76" s="861"/>
    </row>
    <row r="77" spans="2:17" ht="18" customHeight="1">
      <c r="B77" s="899"/>
      <c r="C77" s="900"/>
      <c r="D77" s="901"/>
      <c r="E77" s="327"/>
      <c r="F77" s="858"/>
      <c r="G77" s="863"/>
      <c r="H77" s="863"/>
      <c r="I77" s="860"/>
      <c r="J77" s="860"/>
      <c r="K77" s="860"/>
      <c r="L77" s="860"/>
      <c r="M77" s="860"/>
      <c r="N77" s="860"/>
      <c r="O77" s="860"/>
      <c r="P77" s="860"/>
      <c r="Q77" s="861"/>
    </row>
    <row r="78" spans="2:17" ht="18" customHeight="1">
      <c r="B78" s="899"/>
      <c r="C78" s="900"/>
      <c r="D78" s="901"/>
      <c r="E78" s="327"/>
      <c r="F78" s="858"/>
      <c r="G78" s="863"/>
      <c r="H78" s="863"/>
      <c r="I78" s="860"/>
      <c r="J78" s="860"/>
      <c r="K78" s="860"/>
      <c r="L78" s="860"/>
      <c r="M78" s="860"/>
      <c r="N78" s="860"/>
      <c r="O78" s="860"/>
      <c r="P78" s="860"/>
      <c r="Q78" s="861"/>
    </row>
    <row r="79" spans="2:17" ht="18" customHeight="1">
      <c r="B79" s="899"/>
      <c r="C79" s="900"/>
      <c r="D79" s="901"/>
      <c r="E79" s="327"/>
      <c r="F79" s="858"/>
      <c r="G79" s="863"/>
      <c r="H79" s="863"/>
      <c r="I79" s="860"/>
      <c r="J79" s="860"/>
      <c r="K79" s="860"/>
      <c r="L79" s="860"/>
      <c r="M79" s="860"/>
      <c r="N79" s="860"/>
      <c r="O79" s="860"/>
      <c r="P79" s="860"/>
      <c r="Q79" s="861"/>
    </row>
    <row r="80" spans="2:17" ht="18" customHeight="1">
      <c r="B80" s="899"/>
      <c r="C80" s="900"/>
      <c r="D80" s="901"/>
      <c r="E80" s="327"/>
      <c r="F80" s="858"/>
      <c r="G80" s="863"/>
      <c r="H80" s="863"/>
      <c r="I80" s="860"/>
      <c r="J80" s="860"/>
      <c r="K80" s="860"/>
      <c r="L80" s="860"/>
      <c r="M80" s="860"/>
      <c r="N80" s="860"/>
      <c r="O80" s="860"/>
      <c r="P80" s="860"/>
      <c r="Q80" s="861"/>
    </row>
    <row r="81" spans="2:17" ht="18" customHeight="1">
      <c r="B81" s="899"/>
      <c r="C81" s="900"/>
      <c r="D81" s="901"/>
      <c r="E81" s="327"/>
      <c r="F81" s="858"/>
      <c r="G81" s="863"/>
      <c r="H81" s="863"/>
      <c r="I81" s="860"/>
      <c r="J81" s="860"/>
      <c r="K81" s="860"/>
      <c r="L81" s="860"/>
      <c r="M81" s="860"/>
      <c r="N81" s="860"/>
      <c r="O81" s="860"/>
      <c r="P81" s="860"/>
      <c r="Q81" s="861"/>
    </row>
    <row r="82" spans="2:17" ht="18" customHeight="1">
      <c r="B82" s="899"/>
      <c r="C82" s="900"/>
      <c r="D82" s="901"/>
      <c r="E82" s="327"/>
      <c r="F82" s="858"/>
      <c r="G82" s="863"/>
      <c r="H82" s="863"/>
      <c r="I82" s="860"/>
      <c r="J82" s="860"/>
      <c r="K82" s="860"/>
      <c r="L82" s="860"/>
      <c r="M82" s="860"/>
      <c r="N82" s="860"/>
      <c r="O82" s="860"/>
      <c r="P82" s="860"/>
      <c r="Q82" s="861"/>
    </row>
    <row r="83" spans="2:17" ht="18" customHeight="1">
      <c r="B83" s="899"/>
      <c r="C83" s="900"/>
      <c r="D83" s="901"/>
      <c r="E83" s="327"/>
      <c r="F83" s="858"/>
      <c r="G83" s="863"/>
      <c r="H83" s="863"/>
      <c r="I83" s="860"/>
      <c r="J83" s="860"/>
      <c r="K83" s="860"/>
      <c r="L83" s="860"/>
      <c r="M83" s="860"/>
      <c r="N83" s="860"/>
      <c r="O83" s="860"/>
      <c r="P83" s="860"/>
      <c r="Q83" s="861"/>
    </row>
    <row r="84" spans="2:17" ht="18" customHeight="1">
      <c r="B84" s="899"/>
      <c r="C84" s="900"/>
      <c r="D84" s="901"/>
      <c r="E84" s="327"/>
      <c r="F84" s="858"/>
      <c r="G84" s="863"/>
      <c r="H84" s="863"/>
      <c r="I84" s="860"/>
      <c r="J84" s="860"/>
      <c r="K84" s="860"/>
      <c r="L84" s="860"/>
      <c r="M84" s="860"/>
      <c r="N84" s="860"/>
      <c r="O84" s="860"/>
      <c r="P84" s="860"/>
      <c r="Q84" s="861"/>
    </row>
    <row r="85" spans="2:17" ht="18" customHeight="1">
      <c r="B85" s="899"/>
      <c r="C85" s="900"/>
      <c r="D85" s="901"/>
      <c r="E85" s="327"/>
      <c r="F85" s="858"/>
      <c r="G85" s="863"/>
      <c r="H85" s="863"/>
      <c r="I85" s="860"/>
      <c r="J85" s="860"/>
      <c r="K85" s="860"/>
      <c r="L85" s="860"/>
      <c r="M85" s="860"/>
      <c r="N85" s="860"/>
      <c r="O85" s="860"/>
      <c r="P85" s="860"/>
      <c r="Q85" s="861"/>
    </row>
    <row r="86" spans="2:17" ht="18" customHeight="1">
      <c r="B86" s="899"/>
      <c r="C86" s="900"/>
      <c r="D86" s="901"/>
      <c r="E86" s="327"/>
      <c r="F86" s="858"/>
      <c r="G86" s="863"/>
      <c r="H86" s="863"/>
      <c r="I86" s="860"/>
      <c r="J86" s="860"/>
      <c r="K86" s="860"/>
      <c r="L86" s="860"/>
      <c r="M86" s="860"/>
      <c r="N86" s="860"/>
      <c r="O86" s="860"/>
      <c r="P86" s="860"/>
      <c r="Q86" s="861"/>
    </row>
    <row r="87" spans="2:17" ht="18" customHeight="1">
      <c r="B87" s="899"/>
      <c r="C87" s="900"/>
      <c r="D87" s="901"/>
      <c r="E87" s="327"/>
      <c r="F87" s="858"/>
      <c r="G87" s="863"/>
      <c r="H87" s="863"/>
      <c r="I87" s="860"/>
      <c r="J87" s="860"/>
      <c r="K87" s="860"/>
      <c r="L87" s="860"/>
      <c r="M87" s="860"/>
      <c r="N87" s="860"/>
      <c r="O87" s="860"/>
      <c r="P87" s="860"/>
      <c r="Q87" s="861"/>
    </row>
    <row r="88" spans="2:17" ht="18" customHeight="1">
      <c r="B88" s="899"/>
      <c r="C88" s="900"/>
      <c r="D88" s="901"/>
      <c r="E88" s="327"/>
      <c r="F88" s="858"/>
      <c r="G88" s="863"/>
      <c r="H88" s="863"/>
      <c r="I88" s="860"/>
      <c r="J88" s="860"/>
      <c r="K88" s="860"/>
      <c r="L88" s="860"/>
      <c r="M88" s="860"/>
      <c r="N88" s="860"/>
      <c r="O88" s="860"/>
      <c r="P88" s="860"/>
      <c r="Q88" s="861"/>
    </row>
    <row r="89" spans="2:17" ht="18" customHeight="1">
      <c r="B89" s="899"/>
      <c r="C89" s="900"/>
      <c r="D89" s="901"/>
      <c r="E89" s="327"/>
      <c r="F89" s="858"/>
      <c r="G89" s="863"/>
      <c r="H89" s="863"/>
      <c r="I89" s="860"/>
      <c r="J89" s="860"/>
      <c r="K89" s="860"/>
      <c r="L89" s="860"/>
      <c r="M89" s="860"/>
      <c r="N89" s="860"/>
      <c r="O89" s="860"/>
      <c r="P89" s="860"/>
      <c r="Q89" s="861"/>
    </row>
    <row r="90" spans="2:17" ht="18" customHeight="1">
      <c r="B90" s="899"/>
      <c r="C90" s="900"/>
      <c r="D90" s="901"/>
      <c r="E90" s="327"/>
      <c r="F90" s="858"/>
      <c r="G90" s="863"/>
      <c r="H90" s="863"/>
      <c r="I90" s="865"/>
      <c r="J90" s="860"/>
      <c r="K90" s="860"/>
      <c r="L90" s="860"/>
      <c r="M90" s="860"/>
      <c r="N90" s="860"/>
      <c r="O90" s="860"/>
      <c r="P90" s="860"/>
      <c r="Q90" s="878"/>
    </row>
    <row r="91" spans="2:17" ht="23.25" customHeight="1">
      <c r="B91" s="896" t="s">
        <v>215</v>
      </c>
      <c r="C91" s="897"/>
      <c r="D91" s="898"/>
      <c r="E91" s="330"/>
      <c r="F91" s="450">
        <f>SUM(F19:F90)</f>
        <v>0</v>
      </c>
      <c r="G91" s="608"/>
      <c r="H91" s="608"/>
      <c r="I91" s="332"/>
      <c r="J91" s="332"/>
      <c r="K91" s="332"/>
      <c r="L91" s="332"/>
      <c r="M91" s="332"/>
      <c r="N91" s="332"/>
      <c r="O91" s="332"/>
      <c r="P91" s="332"/>
      <c r="Q91" s="837"/>
    </row>
    <row r="92" spans="2:17" ht="19.5" customHeight="1">
      <c r="Q92" s="356"/>
    </row>
    <row r="95" spans="2:17" ht="19.5" customHeight="1"/>
  </sheetData>
  <sheetProtection formatCells="0" formatColumns="0" formatRows="0" insertColumns="0" insertRows="0" insertHyperlinks="0" deleteColumns="0" deleteRows="0" sort="0" autoFilter="0" pivotTables="0"/>
  <mergeCells count="89">
    <mergeCell ref="J6:J8"/>
    <mergeCell ref="K6:K8"/>
    <mergeCell ref="L6:L8"/>
    <mergeCell ref="M6:M8"/>
    <mergeCell ref="P6:P8"/>
    <mergeCell ref="N6:N8"/>
    <mergeCell ref="O6:O8"/>
    <mergeCell ref="G9:I9"/>
    <mergeCell ref="B17:D17"/>
    <mergeCell ref="E17:F17"/>
    <mergeCell ref="C6:C8"/>
    <mergeCell ref="E6:E8"/>
    <mergeCell ref="G6:I8"/>
    <mergeCell ref="B29:D29"/>
    <mergeCell ref="B18:D18"/>
    <mergeCell ref="B19:D19"/>
    <mergeCell ref="B20:D20"/>
    <mergeCell ref="B21:D21"/>
    <mergeCell ref="B22:D22"/>
    <mergeCell ref="B23:D23"/>
    <mergeCell ref="B24:D24"/>
    <mergeCell ref="B25:D25"/>
    <mergeCell ref="B26:D26"/>
    <mergeCell ref="B27:D27"/>
    <mergeCell ref="B28:D28"/>
    <mergeCell ref="B41:D41"/>
    <mergeCell ref="B30:D30"/>
    <mergeCell ref="B31:D31"/>
    <mergeCell ref="B32:D32"/>
    <mergeCell ref="B33:D33"/>
    <mergeCell ref="B34:D34"/>
    <mergeCell ref="B35:D35"/>
    <mergeCell ref="B36:D36"/>
    <mergeCell ref="B37:D37"/>
    <mergeCell ref="B38:D38"/>
    <mergeCell ref="B39:D39"/>
    <mergeCell ref="B40:D40"/>
    <mergeCell ref="B53:D53"/>
    <mergeCell ref="B42:D42"/>
    <mergeCell ref="B43:D43"/>
    <mergeCell ref="B44:D44"/>
    <mergeCell ref="B45:D45"/>
    <mergeCell ref="B46:D46"/>
    <mergeCell ref="B47:D47"/>
    <mergeCell ref="B48:D48"/>
    <mergeCell ref="B49:D49"/>
    <mergeCell ref="B50:D50"/>
    <mergeCell ref="B51:D51"/>
    <mergeCell ref="B52:D52"/>
    <mergeCell ref="B65:D65"/>
    <mergeCell ref="B54:D54"/>
    <mergeCell ref="B55:D55"/>
    <mergeCell ref="B56:D56"/>
    <mergeCell ref="B57:D57"/>
    <mergeCell ref="B58:D58"/>
    <mergeCell ref="B59:D59"/>
    <mergeCell ref="B60:D60"/>
    <mergeCell ref="B61:D61"/>
    <mergeCell ref="B62:D62"/>
    <mergeCell ref="B63:D63"/>
    <mergeCell ref="B64:D64"/>
    <mergeCell ref="B77:D77"/>
    <mergeCell ref="B66:D66"/>
    <mergeCell ref="B67:D67"/>
    <mergeCell ref="B68:D68"/>
    <mergeCell ref="B69:D69"/>
    <mergeCell ref="B70:D70"/>
    <mergeCell ref="B71:D71"/>
    <mergeCell ref="B72:D72"/>
    <mergeCell ref="B73:D73"/>
    <mergeCell ref="B74:D74"/>
    <mergeCell ref="B75:D75"/>
    <mergeCell ref="B76:D76"/>
    <mergeCell ref="B90:D90"/>
    <mergeCell ref="B91:D91"/>
    <mergeCell ref="Q6:Q8"/>
    <mergeCell ref="G17:Q17"/>
    <mergeCell ref="B84:D84"/>
    <mergeCell ref="B85:D85"/>
    <mergeCell ref="B86:D86"/>
    <mergeCell ref="B87:D87"/>
    <mergeCell ref="B88:D88"/>
    <mergeCell ref="B89:D89"/>
    <mergeCell ref="B78:D78"/>
    <mergeCell ref="B79:D79"/>
    <mergeCell ref="B80:D80"/>
    <mergeCell ref="B81:D81"/>
    <mergeCell ref="B82:D82"/>
    <mergeCell ref="B83:D83"/>
  </mergeCells>
  <phoneticPr fontId="4"/>
  <conditionalFormatting sqref="H12">
    <cfRule type="expression" dxfId="66" priority="1">
      <formula>IF(B12="第三者評価受審経費",TRUE,FALSE)</formula>
    </cfRule>
  </conditionalFormatting>
  <dataValidations count="1">
    <dataValidation type="custom" allowBlank="1" showInputMessage="1" showErrorMessage="1" sqref="H12" xr:uid="{976B3C6B-2797-440B-B393-4427345BEA45}">
      <formula1>IF(B12="第三者評価受審経費",FALSE,TRUE)</formula1>
    </dataValidation>
  </dataValidations>
  <printOptions horizontalCentered="1"/>
  <pageMargins left="0.7" right="0.7" top="0.75" bottom="0.75" header="0.3" footer="0.3"/>
  <pageSetup paperSize="9" scale="24" orientation="portrait" blackAndWhite="1" errors="blank"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N90"/>
  <sheetViews>
    <sheetView view="pageBreakPreview" zoomScaleNormal="100" zoomScaleSheetLayoutView="100" workbookViewId="0"/>
  </sheetViews>
  <sheetFormatPr defaultRowHeight="13.15" outlineLevelCol="1"/>
  <cols>
    <col min="1" max="1" width="24.625" style="313" customWidth="1"/>
    <col min="2" max="12" width="12.875" style="313" customWidth="1"/>
    <col min="13" max="13" width="11.875" style="313" hidden="1" customWidth="1" outlineLevel="1"/>
    <col min="14" max="14" width="9" style="313" collapsed="1"/>
    <col min="15" max="257" width="9" style="313"/>
    <col min="258" max="258" width="14.375" style="313" customWidth="1"/>
    <col min="259" max="267" width="9.125" style="313" customWidth="1"/>
    <col min="268" max="268" width="12" style="313" customWidth="1"/>
    <col min="269" max="269" width="11.875" style="313" customWidth="1"/>
    <col min="270" max="513" width="9" style="313"/>
    <col min="514" max="514" width="14.375" style="313" customWidth="1"/>
    <col min="515" max="523" width="9.125" style="313" customWidth="1"/>
    <col min="524" max="524" width="12" style="313" customWidth="1"/>
    <col min="525" max="525" width="11.875" style="313" customWidth="1"/>
    <col min="526" max="769" width="9" style="313"/>
    <col min="770" max="770" width="14.375" style="313" customWidth="1"/>
    <col min="771" max="779" width="9.125" style="313" customWidth="1"/>
    <col min="780" max="780" width="12" style="313" customWidth="1"/>
    <col min="781" max="781" width="11.875" style="313" customWidth="1"/>
    <col min="782" max="1025" width="9" style="313"/>
    <col min="1026" max="1026" width="14.375" style="313" customWidth="1"/>
    <col min="1027" max="1035" width="9.125" style="313" customWidth="1"/>
    <col min="1036" max="1036" width="12" style="313" customWidth="1"/>
    <col min="1037" max="1037" width="11.875" style="313" customWidth="1"/>
    <col min="1038" max="1281" width="9" style="313"/>
    <col min="1282" max="1282" width="14.375" style="313" customWidth="1"/>
    <col min="1283" max="1291" width="9.125" style="313" customWidth="1"/>
    <col min="1292" max="1292" width="12" style="313" customWidth="1"/>
    <col min="1293" max="1293" width="11.875" style="313" customWidth="1"/>
    <col min="1294" max="1537" width="9" style="313"/>
    <col min="1538" max="1538" width="14.375" style="313" customWidth="1"/>
    <col min="1539" max="1547" width="9.125" style="313" customWidth="1"/>
    <col min="1548" max="1548" width="12" style="313" customWidth="1"/>
    <col min="1549" max="1549" width="11.875" style="313" customWidth="1"/>
    <col min="1550" max="1793" width="9" style="313"/>
    <col min="1794" max="1794" width="14.375" style="313" customWidth="1"/>
    <col min="1795" max="1803" width="9.125" style="313" customWidth="1"/>
    <col min="1804" max="1804" width="12" style="313" customWidth="1"/>
    <col min="1805" max="1805" width="11.875" style="313" customWidth="1"/>
    <col min="1806" max="2049" width="9" style="313"/>
    <col min="2050" max="2050" width="14.375" style="313" customWidth="1"/>
    <col min="2051" max="2059" width="9.125" style="313" customWidth="1"/>
    <col min="2060" max="2060" width="12" style="313" customWidth="1"/>
    <col min="2061" max="2061" width="11.875" style="313" customWidth="1"/>
    <col min="2062" max="2305" width="9" style="313"/>
    <col min="2306" max="2306" width="14.375" style="313" customWidth="1"/>
    <col min="2307" max="2315" width="9.125" style="313" customWidth="1"/>
    <col min="2316" max="2316" width="12" style="313" customWidth="1"/>
    <col min="2317" max="2317" width="11.875" style="313" customWidth="1"/>
    <col min="2318" max="2561" width="9" style="313"/>
    <col min="2562" max="2562" width="14.375" style="313" customWidth="1"/>
    <col min="2563" max="2571" width="9.125" style="313" customWidth="1"/>
    <col min="2572" max="2572" width="12" style="313" customWidth="1"/>
    <col min="2573" max="2573" width="11.875" style="313" customWidth="1"/>
    <col min="2574" max="2817" width="9" style="313"/>
    <col min="2818" max="2818" width="14.375" style="313" customWidth="1"/>
    <col min="2819" max="2827" width="9.125" style="313" customWidth="1"/>
    <col min="2828" max="2828" width="12" style="313" customWidth="1"/>
    <col min="2829" max="2829" width="11.875" style="313" customWidth="1"/>
    <col min="2830" max="3073" width="9" style="313"/>
    <col min="3074" max="3074" width="14.375" style="313" customWidth="1"/>
    <col min="3075" max="3083" width="9.125" style="313" customWidth="1"/>
    <col min="3084" max="3084" width="12" style="313" customWidth="1"/>
    <col min="3085" max="3085" width="11.875" style="313" customWidth="1"/>
    <col min="3086" max="3329" width="9" style="313"/>
    <col min="3330" max="3330" width="14.375" style="313" customWidth="1"/>
    <col min="3331" max="3339" width="9.125" style="313" customWidth="1"/>
    <col min="3340" max="3340" width="12" style="313" customWidth="1"/>
    <col min="3341" max="3341" width="11.875" style="313" customWidth="1"/>
    <col min="3342" max="3585" width="9" style="313"/>
    <col min="3586" max="3586" width="14.375" style="313" customWidth="1"/>
    <col min="3587" max="3595" width="9.125" style="313" customWidth="1"/>
    <col min="3596" max="3596" width="12" style="313" customWidth="1"/>
    <col min="3597" max="3597" width="11.875" style="313" customWidth="1"/>
    <col min="3598" max="3841" width="9" style="313"/>
    <col min="3842" max="3842" width="14.375" style="313" customWidth="1"/>
    <col min="3843" max="3851" width="9.125" style="313" customWidth="1"/>
    <col min="3852" max="3852" width="12" style="313" customWidth="1"/>
    <col min="3853" max="3853" width="11.875" style="313" customWidth="1"/>
    <col min="3854" max="4097" width="9" style="313"/>
    <col min="4098" max="4098" width="14.375" style="313" customWidth="1"/>
    <col min="4099" max="4107" width="9.125" style="313" customWidth="1"/>
    <col min="4108" max="4108" width="12" style="313" customWidth="1"/>
    <col min="4109" max="4109" width="11.875" style="313" customWidth="1"/>
    <col min="4110" max="4353" width="9" style="313"/>
    <col min="4354" max="4354" width="14.375" style="313" customWidth="1"/>
    <col min="4355" max="4363" width="9.125" style="313" customWidth="1"/>
    <col min="4364" max="4364" width="12" style="313" customWidth="1"/>
    <col min="4365" max="4365" width="11.875" style="313" customWidth="1"/>
    <col min="4366" max="4609" width="9" style="313"/>
    <col min="4610" max="4610" width="14.375" style="313" customWidth="1"/>
    <col min="4611" max="4619" width="9.125" style="313" customWidth="1"/>
    <col min="4620" max="4620" width="12" style="313" customWidth="1"/>
    <col min="4621" max="4621" width="11.875" style="313" customWidth="1"/>
    <col min="4622" max="4865" width="9" style="313"/>
    <col min="4866" max="4866" width="14.375" style="313" customWidth="1"/>
    <col min="4867" max="4875" width="9.125" style="313" customWidth="1"/>
    <col min="4876" max="4876" width="12" style="313" customWidth="1"/>
    <col min="4877" max="4877" width="11.875" style="313" customWidth="1"/>
    <col min="4878" max="5121" width="9" style="313"/>
    <col min="5122" max="5122" width="14.375" style="313" customWidth="1"/>
    <col min="5123" max="5131" width="9.125" style="313" customWidth="1"/>
    <col min="5132" max="5132" width="12" style="313" customWidth="1"/>
    <col min="5133" max="5133" width="11.875" style="313" customWidth="1"/>
    <col min="5134" max="5377" width="9" style="313"/>
    <col min="5378" max="5378" width="14.375" style="313" customWidth="1"/>
    <col min="5379" max="5387" width="9.125" style="313" customWidth="1"/>
    <col min="5388" max="5388" width="12" style="313" customWidth="1"/>
    <col min="5389" max="5389" width="11.875" style="313" customWidth="1"/>
    <col min="5390" max="5633" width="9" style="313"/>
    <col min="5634" max="5634" width="14.375" style="313" customWidth="1"/>
    <col min="5635" max="5643" width="9.125" style="313" customWidth="1"/>
    <col min="5644" max="5644" width="12" style="313" customWidth="1"/>
    <col min="5645" max="5645" width="11.875" style="313" customWidth="1"/>
    <col min="5646" max="5889" width="9" style="313"/>
    <col min="5890" max="5890" width="14.375" style="313" customWidth="1"/>
    <col min="5891" max="5899" width="9.125" style="313" customWidth="1"/>
    <col min="5900" max="5900" width="12" style="313" customWidth="1"/>
    <col min="5901" max="5901" width="11.875" style="313" customWidth="1"/>
    <col min="5902" max="6145" width="9" style="313"/>
    <col min="6146" max="6146" width="14.375" style="313" customWidth="1"/>
    <col min="6147" max="6155" width="9.125" style="313" customWidth="1"/>
    <col min="6156" max="6156" width="12" style="313" customWidth="1"/>
    <col min="6157" max="6157" width="11.875" style="313" customWidth="1"/>
    <col min="6158" max="6401" width="9" style="313"/>
    <col min="6402" max="6402" width="14.375" style="313" customWidth="1"/>
    <col min="6403" max="6411" width="9.125" style="313" customWidth="1"/>
    <col min="6412" max="6412" width="12" style="313" customWidth="1"/>
    <col min="6413" max="6413" width="11.875" style="313" customWidth="1"/>
    <col min="6414" max="6657" width="9" style="313"/>
    <col min="6658" max="6658" width="14.375" style="313" customWidth="1"/>
    <col min="6659" max="6667" width="9.125" style="313" customWidth="1"/>
    <col min="6668" max="6668" width="12" style="313" customWidth="1"/>
    <col min="6669" max="6669" width="11.875" style="313" customWidth="1"/>
    <col min="6670" max="6913" width="9" style="313"/>
    <col min="6914" max="6914" width="14.375" style="313" customWidth="1"/>
    <col min="6915" max="6923" width="9.125" style="313" customWidth="1"/>
    <col min="6924" max="6924" width="12" style="313" customWidth="1"/>
    <col min="6925" max="6925" width="11.875" style="313" customWidth="1"/>
    <col min="6926" max="7169" width="9" style="313"/>
    <col min="7170" max="7170" width="14.375" style="313" customWidth="1"/>
    <col min="7171" max="7179" width="9.125" style="313" customWidth="1"/>
    <col min="7180" max="7180" width="12" style="313" customWidth="1"/>
    <col min="7181" max="7181" width="11.875" style="313" customWidth="1"/>
    <col min="7182" max="7425" width="9" style="313"/>
    <col min="7426" max="7426" width="14.375" style="313" customWidth="1"/>
    <col min="7427" max="7435" width="9.125" style="313" customWidth="1"/>
    <col min="7436" max="7436" width="12" style="313" customWidth="1"/>
    <col min="7437" max="7437" width="11.875" style="313" customWidth="1"/>
    <col min="7438" max="7681" width="9" style="313"/>
    <col min="7682" max="7682" width="14.375" style="313" customWidth="1"/>
    <col min="7683" max="7691" width="9.125" style="313" customWidth="1"/>
    <col min="7692" max="7692" width="12" style="313" customWidth="1"/>
    <col min="7693" max="7693" width="11.875" style="313" customWidth="1"/>
    <col min="7694" max="7937" width="9" style="313"/>
    <col min="7938" max="7938" width="14.375" style="313" customWidth="1"/>
    <col min="7939" max="7947" width="9.125" style="313" customWidth="1"/>
    <col min="7948" max="7948" width="12" style="313" customWidth="1"/>
    <col min="7949" max="7949" width="11.875" style="313" customWidth="1"/>
    <col min="7950" max="8193" width="9" style="313"/>
    <col min="8194" max="8194" width="14.375" style="313" customWidth="1"/>
    <col min="8195" max="8203" width="9.125" style="313" customWidth="1"/>
    <col min="8204" max="8204" width="12" style="313" customWidth="1"/>
    <col min="8205" max="8205" width="11.875" style="313" customWidth="1"/>
    <col min="8206" max="8449" width="9" style="313"/>
    <col min="8450" max="8450" width="14.375" style="313" customWidth="1"/>
    <col min="8451" max="8459" width="9.125" style="313" customWidth="1"/>
    <col min="8460" max="8460" width="12" style="313" customWidth="1"/>
    <col min="8461" max="8461" width="11.875" style="313" customWidth="1"/>
    <col min="8462" max="8705" width="9" style="313"/>
    <col min="8706" max="8706" width="14.375" style="313" customWidth="1"/>
    <col min="8707" max="8715" width="9.125" style="313" customWidth="1"/>
    <col min="8716" max="8716" width="12" style="313" customWidth="1"/>
    <col min="8717" max="8717" width="11.875" style="313" customWidth="1"/>
    <col min="8718" max="8961" width="9" style="313"/>
    <col min="8962" max="8962" width="14.375" style="313" customWidth="1"/>
    <col min="8963" max="8971" width="9.125" style="313" customWidth="1"/>
    <col min="8972" max="8972" width="12" style="313" customWidth="1"/>
    <col min="8973" max="8973" width="11.875" style="313" customWidth="1"/>
    <col min="8974" max="9217" width="9" style="313"/>
    <col min="9218" max="9218" width="14.375" style="313" customWidth="1"/>
    <col min="9219" max="9227" width="9.125" style="313" customWidth="1"/>
    <col min="9228" max="9228" width="12" style="313" customWidth="1"/>
    <col min="9229" max="9229" width="11.875" style="313" customWidth="1"/>
    <col min="9230" max="9473" width="9" style="313"/>
    <col min="9474" max="9474" width="14.375" style="313" customWidth="1"/>
    <col min="9475" max="9483" width="9.125" style="313" customWidth="1"/>
    <col min="9484" max="9484" width="12" style="313" customWidth="1"/>
    <col min="9485" max="9485" width="11.875" style="313" customWidth="1"/>
    <col min="9486" max="9729" width="9" style="313"/>
    <col min="9730" max="9730" width="14.375" style="313" customWidth="1"/>
    <col min="9731" max="9739" width="9.125" style="313" customWidth="1"/>
    <col min="9740" max="9740" width="12" style="313" customWidth="1"/>
    <col min="9741" max="9741" width="11.875" style="313" customWidth="1"/>
    <col min="9742" max="9985" width="9" style="313"/>
    <col min="9986" max="9986" width="14.375" style="313" customWidth="1"/>
    <col min="9987" max="9995" width="9.125" style="313" customWidth="1"/>
    <col min="9996" max="9996" width="12" style="313" customWidth="1"/>
    <col min="9997" max="9997" width="11.875" style="313" customWidth="1"/>
    <col min="9998" max="10241" width="9" style="313"/>
    <col min="10242" max="10242" width="14.375" style="313" customWidth="1"/>
    <col min="10243" max="10251" width="9.125" style="313" customWidth="1"/>
    <col min="10252" max="10252" width="12" style="313" customWidth="1"/>
    <col min="10253" max="10253" width="11.875" style="313" customWidth="1"/>
    <col min="10254" max="10497" width="9" style="313"/>
    <col min="10498" max="10498" width="14.375" style="313" customWidth="1"/>
    <col min="10499" max="10507" width="9.125" style="313" customWidth="1"/>
    <col min="10508" max="10508" width="12" style="313" customWidth="1"/>
    <col min="10509" max="10509" width="11.875" style="313" customWidth="1"/>
    <col min="10510" max="10753" width="9" style="313"/>
    <col min="10754" max="10754" width="14.375" style="313" customWidth="1"/>
    <col min="10755" max="10763" width="9.125" style="313" customWidth="1"/>
    <col min="10764" max="10764" width="12" style="313" customWidth="1"/>
    <col min="10765" max="10765" width="11.875" style="313" customWidth="1"/>
    <col min="10766" max="11009" width="9" style="313"/>
    <col min="11010" max="11010" width="14.375" style="313" customWidth="1"/>
    <col min="11011" max="11019" width="9.125" style="313" customWidth="1"/>
    <col min="11020" max="11020" width="12" style="313" customWidth="1"/>
    <col min="11021" max="11021" width="11.875" style="313" customWidth="1"/>
    <col min="11022" max="11265" width="9" style="313"/>
    <col min="11266" max="11266" width="14.375" style="313" customWidth="1"/>
    <col min="11267" max="11275" width="9.125" style="313" customWidth="1"/>
    <col min="11276" max="11276" width="12" style="313" customWidth="1"/>
    <col min="11277" max="11277" width="11.875" style="313" customWidth="1"/>
    <col min="11278" max="11521" width="9" style="313"/>
    <col min="11522" max="11522" width="14.375" style="313" customWidth="1"/>
    <col min="11523" max="11531" width="9.125" style="313" customWidth="1"/>
    <col min="11532" max="11532" width="12" style="313" customWidth="1"/>
    <col min="11533" max="11533" width="11.875" style="313" customWidth="1"/>
    <col min="11534" max="11777" width="9" style="313"/>
    <col min="11778" max="11778" width="14.375" style="313" customWidth="1"/>
    <col min="11779" max="11787" width="9.125" style="313" customWidth="1"/>
    <col min="11788" max="11788" width="12" style="313" customWidth="1"/>
    <col min="11789" max="11789" width="11.875" style="313" customWidth="1"/>
    <col min="11790" max="12033" width="9" style="313"/>
    <col min="12034" max="12034" width="14.375" style="313" customWidth="1"/>
    <col min="12035" max="12043" width="9.125" style="313" customWidth="1"/>
    <col min="12044" max="12044" width="12" style="313" customWidth="1"/>
    <col min="12045" max="12045" width="11.875" style="313" customWidth="1"/>
    <col min="12046" max="12289" width="9" style="313"/>
    <col min="12290" max="12290" width="14.375" style="313" customWidth="1"/>
    <col min="12291" max="12299" width="9.125" style="313" customWidth="1"/>
    <col min="12300" max="12300" width="12" style="313" customWidth="1"/>
    <col min="12301" max="12301" width="11.875" style="313" customWidth="1"/>
    <col min="12302" max="12545" width="9" style="313"/>
    <col min="12546" max="12546" width="14.375" style="313" customWidth="1"/>
    <col min="12547" max="12555" width="9.125" style="313" customWidth="1"/>
    <col min="12556" max="12556" width="12" style="313" customWidth="1"/>
    <col min="12557" max="12557" width="11.875" style="313" customWidth="1"/>
    <col min="12558" max="12801" width="9" style="313"/>
    <col min="12802" max="12802" width="14.375" style="313" customWidth="1"/>
    <col min="12803" max="12811" width="9.125" style="313" customWidth="1"/>
    <col min="12812" max="12812" width="12" style="313" customWidth="1"/>
    <col min="12813" max="12813" width="11.875" style="313" customWidth="1"/>
    <col min="12814" max="13057" width="9" style="313"/>
    <col min="13058" max="13058" width="14.375" style="313" customWidth="1"/>
    <col min="13059" max="13067" width="9.125" style="313" customWidth="1"/>
    <col min="13068" max="13068" width="12" style="313" customWidth="1"/>
    <col min="13069" max="13069" width="11.875" style="313" customWidth="1"/>
    <col min="13070" max="13313" width="9" style="313"/>
    <col min="13314" max="13314" width="14.375" style="313" customWidth="1"/>
    <col min="13315" max="13323" width="9.125" style="313" customWidth="1"/>
    <col min="13324" max="13324" width="12" style="313" customWidth="1"/>
    <col min="13325" max="13325" width="11.875" style="313" customWidth="1"/>
    <col min="13326" max="13569" width="9" style="313"/>
    <col min="13570" max="13570" width="14.375" style="313" customWidth="1"/>
    <col min="13571" max="13579" width="9.125" style="313" customWidth="1"/>
    <col min="13580" max="13580" width="12" style="313" customWidth="1"/>
    <col min="13581" max="13581" width="11.875" style="313" customWidth="1"/>
    <col min="13582" max="13825" width="9" style="313"/>
    <col min="13826" max="13826" width="14.375" style="313" customWidth="1"/>
    <col min="13827" max="13835" width="9.125" style="313" customWidth="1"/>
    <col min="13836" max="13836" width="12" style="313" customWidth="1"/>
    <col min="13837" max="13837" width="11.875" style="313" customWidth="1"/>
    <col min="13838" max="14081" width="9" style="313"/>
    <col min="14082" max="14082" width="14.375" style="313" customWidth="1"/>
    <col min="14083" max="14091" width="9.125" style="313" customWidth="1"/>
    <col min="14092" max="14092" width="12" style="313" customWidth="1"/>
    <col min="14093" max="14093" width="11.875" style="313" customWidth="1"/>
    <col min="14094" max="14337" width="9" style="313"/>
    <col min="14338" max="14338" width="14.375" style="313" customWidth="1"/>
    <col min="14339" max="14347" width="9.125" style="313" customWidth="1"/>
    <col min="14348" max="14348" width="12" style="313" customWidth="1"/>
    <col min="14349" max="14349" width="11.875" style="313" customWidth="1"/>
    <col min="14350" max="14593" width="9" style="313"/>
    <col min="14594" max="14594" width="14.375" style="313" customWidth="1"/>
    <col min="14595" max="14603" width="9.125" style="313" customWidth="1"/>
    <col min="14604" max="14604" width="12" style="313" customWidth="1"/>
    <col min="14605" max="14605" width="11.875" style="313" customWidth="1"/>
    <col min="14606" max="14849" width="9" style="313"/>
    <col min="14850" max="14850" width="14.375" style="313" customWidth="1"/>
    <col min="14851" max="14859" width="9.125" style="313" customWidth="1"/>
    <col min="14860" max="14860" width="12" style="313" customWidth="1"/>
    <col min="14861" max="14861" width="11.875" style="313" customWidth="1"/>
    <col min="14862" max="15105" width="9" style="313"/>
    <col min="15106" max="15106" width="14.375" style="313" customWidth="1"/>
    <col min="15107" max="15115" width="9.125" style="313" customWidth="1"/>
    <col min="15116" max="15116" width="12" style="313" customWidth="1"/>
    <col min="15117" max="15117" width="11.875" style="313" customWidth="1"/>
    <col min="15118" max="15361" width="9" style="313"/>
    <col min="15362" max="15362" width="14.375" style="313" customWidth="1"/>
    <col min="15363" max="15371" width="9.125" style="313" customWidth="1"/>
    <col min="15372" max="15372" width="12" style="313" customWidth="1"/>
    <col min="15373" max="15373" width="11.875" style="313" customWidth="1"/>
    <col min="15374" max="15617" width="9" style="313"/>
    <col min="15618" max="15618" width="14.375" style="313" customWidth="1"/>
    <col min="15619" max="15627" width="9.125" style="313" customWidth="1"/>
    <col min="15628" max="15628" width="12" style="313" customWidth="1"/>
    <col min="15629" max="15629" width="11.875" style="313" customWidth="1"/>
    <col min="15630" max="15873" width="9" style="313"/>
    <col min="15874" max="15874" width="14.375" style="313" customWidth="1"/>
    <col min="15875" max="15883" width="9.125" style="313" customWidth="1"/>
    <col min="15884" max="15884" width="12" style="313" customWidth="1"/>
    <col min="15885" max="15885" width="11.875" style="313" customWidth="1"/>
    <col min="15886" max="16129" width="9" style="313"/>
    <col min="16130" max="16130" width="14.375" style="313" customWidth="1"/>
    <col min="16131" max="16139" width="9.125" style="313" customWidth="1"/>
    <col min="16140" max="16140" width="12" style="313" customWidth="1"/>
    <col min="16141" max="16141" width="11.875" style="313" customWidth="1"/>
    <col min="16142" max="16384" width="9" style="313"/>
  </cols>
  <sheetData>
    <row r="1" spans="1:13" ht="16.5" customHeight="1">
      <c r="A1" s="313" t="s">
        <v>229</v>
      </c>
    </row>
    <row r="2" spans="1:13" ht="13.5" customHeight="1"/>
    <row r="3" spans="1:13" ht="23.25" customHeight="1">
      <c r="A3" s="340" t="s">
        <v>722</v>
      </c>
      <c r="B3" s="314"/>
      <c r="C3" s="314"/>
      <c r="D3" s="314"/>
      <c r="E3" s="314"/>
      <c r="F3" s="314"/>
      <c r="G3" s="314"/>
      <c r="H3" s="314"/>
      <c r="I3" s="314"/>
      <c r="J3" s="314"/>
      <c r="K3" s="314"/>
      <c r="L3" s="314"/>
    </row>
    <row r="4" spans="1:13" ht="23.25" customHeight="1">
      <c r="A4" s="314"/>
      <c r="B4" s="314"/>
      <c r="C4" s="314"/>
      <c r="D4" s="314"/>
      <c r="E4" s="314"/>
      <c r="F4" s="314"/>
      <c r="G4" s="314"/>
      <c r="H4" s="314"/>
      <c r="I4" s="314"/>
      <c r="J4" s="314"/>
      <c r="K4" s="314"/>
      <c r="L4" s="314"/>
      <c r="M4" s="313" t="s">
        <v>751</v>
      </c>
    </row>
    <row r="5" spans="1:13" ht="23.25" customHeight="1">
      <c r="A5" s="313" t="s">
        <v>752</v>
      </c>
    </row>
    <row r="6" spans="1:13" ht="17.25" customHeight="1">
      <c r="A6" s="1397" t="s">
        <v>260</v>
      </c>
      <c r="B6" s="1399" t="s">
        <v>178</v>
      </c>
      <c r="C6" s="341" t="s">
        <v>723</v>
      </c>
      <c r="D6" s="1399" t="s">
        <v>724</v>
      </c>
      <c r="E6" s="341" t="s">
        <v>181</v>
      </c>
      <c r="F6" s="1399" t="s">
        <v>725</v>
      </c>
      <c r="G6" s="1399" t="s">
        <v>726</v>
      </c>
      <c r="H6" s="1395" t="s">
        <v>727</v>
      </c>
      <c r="I6" s="1395" t="s">
        <v>728</v>
      </c>
      <c r="J6" s="1400" t="s">
        <v>729</v>
      </c>
      <c r="K6" s="1395" t="s">
        <v>730</v>
      </c>
      <c r="L6" s="1395" t="s">
        <v>731</v>
      </c>
    </row>
    <row r="7" spans="1:13" ht="17.25" customHeight="1">
      <c r="A7" s="1398"/>
      <c r="B7" s="1396"/>
      <c r="C7" s="342" t="s">
        <v>732</v>
      </c>
      <c r="D7" s="1396"/>
      <c r="E7" s="342" t="s">
        <v>192</v>
      </c>
      <c r="F7" s="1396"/>
      <c r="G7" s="1396"/>
      <c r="H7" s="1396"/>
      <c r="I7" s="1396"/>
      <c r="J7" s="1401"/>
      <c r="K7" s="1396"/>
      <c r="L7" s="1396"/>
    </row>
    <row r="8" spans="1:13" ht="17.25" customHeight="1">
      <c r="A8" s="1398"/>
      <c r="B8" s="1396"/>
      <c r="C8" s="342" t="s">
        <v>733</v>
      </c>
      <c r="D8" s="1396"/>
      <c r="E8" s="342" t="s">
        <v>734</v>
      </c>
      <c r="F8" s="1396"/>
      <c r="G8" s="1396"/>
      <c r="H8" s="1396"/>
      <c r="I8" s="1396"/>
      <c r="J8" s="1401"/>
      <c r="K8" s="1396"/>
      <c r="L8" s="1396"/>
    </row>
    <row r="9" spans="1:13" ht="17.25" customHeight="1">
      <c r="A9" s="343"/>
      <c r="B9" s="344" t="s">
        <v>735</v>
      </c>
      <c r="C9" s="345" t="s">
        <v>736</v>
      </c>
      <c r="D9" s="345" t="s">
        <v>737</v>
      </c>
      <c r="E9" s="345" t="s">
        <v>738</v>
      </c>
      <c r="F9" s="344" t="s">
        <v>739</v>
      </c>
      <c r="G9" s="344" t="s">
        <v>200</v>
      </c>
      <c r="H9" s="344" t="s">
        <v>201</v>
      </c>
      <c r="I9" s="344" t="s">
        <v>316</v>
      </c>
      <c r="J9" s="344" t="s">
        <v>753</v>
      </c>
      <c r="K9" s="344" t="s">
        <v>754</v>
      </c>
      <c r="L9" s="344" t="s">
        <v>755</v>
      </c>
    </row>
    <row r="10" spans="1:13" ht="16.5" customHeight="1">
      <c r="A10" s="346"/>
      <c r="B10" s="346" t="s">
        <v>207</v>
      </c>
      <c r="C10" s="346" t="s">
        <v>207</v>
      </c>
      <c r="D10" s="346" t="s">
        <v>207</v>
      </c>
      <c r="E10" s="346" t="s">
        <v>207</v>
      </c>
      <c r="F10" s="346" t="s">
        <v>207</v>
      </c>
      <c r="G10" s="346" t="s">
        <v>207</v>
      </c>
      <c r="H10" s="346" t="s">
        <v>209</v>
      </c>
      <c r="I10" s="346" t="s">
        <v>207</v>
      </c>
      <c r="J10" s="346" t="s">
        <v>207</v>
      </c>
      <c r="K10" s="346" t="s">
        <v>207</v>
      </c>
      <c r="L10" s="346" t="s">
        <v>207</v>
      </c>
    </row>
    <row r="11" spans="1:13" ht="29.25" customHeight="1">
      <c r="A11" s="429" t="s">
        <v>70</v>
      </c>
      <c r="B11" s="423">
        <v>3970000</v>
      </c>
      <c r="C11" s="425">
        <v>0</v>
      </c>
      <c r="D11" s="431">
        <v>3970000</v>
      </c>
      <c r="E11" s="425">
        <v>3970000</v>
      </c>
      <c r="F11" s="433">
        <v>3500000</v>
      </c>
      <c r="G11" s="427">
        <v>3500000</v>
      </c>
      <c r="H11" s="427">
        <v>3500000</v>
      </c>
      <c r="I11" s="427">
        <v>3500000</v>
      </c>
      <c r="J11" s="423">
        <v>3500000</v>
      </c>
      <c r="K11" s="423">
        <v>0</v>
      </c>
      <c r="L11" s="427">
        <v>-3500000</v>
      </c>
      <c r="M11" s="313">
        <v>76</v>
      </c>
    </row>
    <row r="12" spans="1:13" ht="29.25" customHeight="1">
      <c r="A12" s="430" t="s">
        <v>66</v>
      </c>
      <c r="B12" s="424"/>
      <c r="C12" s="426"/>
      <c r="D12" s="432" t="s">
        <v>232</v>
      </c>
      <c r="E12" s="426"/>
      <c r="F12" s="434" t="s">
        <v>232</v>
      </c>
      <c r="G12" s="428" t="s">
        <v>232</v>
      </c>
      <c r="H12" s="428" t="s">
        <v>232</v>
      </c>
      <c r="I12" s="428" t="s">
        <v>232</v>
      </c>
      <c r="J12" s="424"/>
      <c r="K12" s="424"/>
      <c r="L12" s="428" t="s">
        <v>232</v>
      </c>
      <c r="M12" s="313">
        <v>77</v>
      </c>
    </row>
    <row r="13" spans="1:13" ht="24" customHeight="1">
      <c r="A13" s="172" t="s">
        <v>302</v>
      </c>
      <c r="B13" s="369">
        <v>3970000</v>
      </c>
      <c r="C13" s="369" t="s">
        <v>232</v>
      </c>
      <c r="D13" s="369">
        <v>3970000</v>
      </c>
      <c r="E13" s="369">
        <v>3970000</v>
      </c>
      <c r="F13" s="369">
        <v>3500000</v>
      </c>
      <c r="G13" s="369">
        <v>3500000</v>
      </c>
      <c r="H13" s="369">
        <v>3500000</v>
      </c>
      <c r="I13" s="369">
        <v>3500000</v>
      </c>
      <c r="J13" s="369">
        <v>3500000</v>
      </c>
      <c r="K13" s="369" t="s">
        <v>232</v>
      </c>
      <c r="L13" s="369">
        <v>-3500000</v>
      </c>
    </row>
    <row r="14" spans="1:13" ht="23.1" customHeight="1"/>
    <row r="15" spans="1:13" ht="23.25" customHeight="1">
      <c r="A15" s="313" t="s">
        <v>740</v>
      </c>
    </row>
    <row r="16" spans="1:13" ht="22.5" customHeight="1">
      <c r="A16" s="351" t="s">
        <v>212</v>
      </c>
      <c r="B16" s="352"/>
      <c r="C16" s="352"/>
      <c r="D16" s="351" t="s">
        <v>741</v>
      </c>
      <c r="E16" s="353"/>
      <c r="F16" s="351" t="s">
        <v>742</v>
      </c>
      <c r="G16" s="352"/>
      <c r="H16" s="352"/>
      <c r="I16" s="352"/>
      <c r="J16" s="352"/>
      <c r="K16" s="352"/>
      <c r="L16" s="354"/>
    </row>
    <row r="17" spans="1:13" ht="15.75" customHeight="1">
      <c r="A17" s="355"/>
      <c r="B17" s="356"/>
      <c r="C17" s="357"/>
      <c r="D17" s="358"/>
      <c r="E17" s="359" t="s">
        <v>207</v>
      </c>
      <c r="F17" s="356"/>
      <c r="G17" s="356"/>
      <c r="H17" s="356"/>
      <c r="I17" s="356"/>
      <c r="J17" s="356"/>
      <c r="K17" s="356"/>
      <c r="L17" s="360"/>
    </row>
    <row r="18" spans="1:13" ht="15.75" customHeight="1">
      <c r="A18" s="361" t="s">
        <v>233</v>
      </c>
      <c r="C18" s="360"/>
      <c r="D18" s="362"/>
      <c r="E18" s="420">
        <v>1000000</v>
      </c>
      <c r="F18" s="419" t="s">
        <v>234</v>
      </c>
      <c r="G18" s="419"/>
      <c r="H18" s="419"/>
      <c r="I18" s="419"/>
      <c r="J18" s="419"/>
      <c r="K18" s="419"/>
      <c r="L18" s="418"/>
      <c r="M18" s="313">
        <v>4</v>
      </c>
    </row>
    <row r="19" spans="1:13" ht="15.75" customHeight="1">
      <c r="A19" s="361" t="s">
        <v>66</v>
      </c>
      <c r="C19" s="360"/>
      <c r="D19" s="362"/>
      <c r="E19" s="420"/>
      <c r="F19" s="419"/>
      <c r="G19" s="419"/>
      <c r="H19" s="419"/>
      <c r="I19" s="419"/>
      <c r="J19" s="419"/>
      <c r="K19" s="419"/>
      <c r="L19" s="418"/>
      <c r="M19" s="313">
        <v>5</v>
      </c>
    </row>
    <row r="20" spans="1:13" ht="15.75" customHeight="1">
      <c r="A20" s="361" t="s">
        <v>235</v>
      </c>
      <c r="C20" s="360"/>
      <c r="D20" s="362"/>
      <c r="E20" s="421">
        <v>500000</v>
      </c>
      <c r="F20" s="419" t="s">
        <v>234</v>
      </c>
      <c r="G20" s="419"/>
      <c r="H20" s="419"/>
      <c r="I20" s="419"/>
      <c r="J20" s="419"/>
      <c r="K20" s="419"/>
      <c r="L20" s="418"/>
      <c r="M20" s="313">
        <v>6</v>
      </c>
    </row>
    <row r="21" spans="1:13" ht="15.75" customHeight="1">
      <c r="A21" s="361" t="s">
        <v>66</v>
      </c>
      <c r="C21" s="360"/>
      <c r="D21" s="362"/>
      <c r="E21" s="421"/>
      <c r="F21" s="419"/>
      <c r="G21" s="419"/>
      <c r="H21" s="419"/>
      <c r="I21" s="419"/>
      <c r="J21" s="419"/>
      <c r="K21" s="419"/>
      <c r="L21" s="418"/>
      <c r="M21" s="313">
        <v>7</v>
      </c>
    </row>
    <row r="22" spans="1:13" ht="15.75" customHeight="1">
      <c r="A22" s="361" t="s">
        <v>236</v>
      </c>
      <c r="C22" s="360"/>
      <c r="D22" s="362"/>
      <c r="E22" s="421">
        <v>250000</v>
      </c>
      <c r="F22" s="419" t="s">
        <v>237</v>
      </c>
      <c r="G22" s="419"/>
      <c r="H22" s="419"/>
      <c r="I22" s="419"/>
      <c r="J22" s="419"/>
      <c r="K22" s="419"/>
      <c r="L22" s="418"/>
      <c r="M22" s="313">
        <v>8</v>
      </c>
    </row>
    <row r="23" spans="1:13" ht="15.75" customHeight="1">
      <c r="A23" s="361" t="s">
        <v>66</v>
      </c>
      <c r="C23" s="360"/>
      <c r="D23" s="362"/>
      <c r="E23" s="421"/>
      <c r="F23" s="419" t="s">
        <v>237</v>
      </c>
      <c r="G23" s="419"/>
      <c r="H23" s="419"/>
      <c r="I23" s="419"/>
      <c r="J23" s="419"/>
      <c r="K23" s="419"/>
      <c r="L23" s="418"/>
      <c r="M23" s="313">
        <v>9</v>
      </c>
    </row>
    <row r="24" spans="1:13" ht="15.75" customHeight="1">
      <c r="A24" s="361" t="s">
        <v>239</v>
      </c>
      <c r="C24" s="360"/>
      <c r="D24" s="362"/>
      <c r="E24" s="421"/>
      <c r="F24" s="419" t="s">
        <v>238</v>
      </c>
      <c r="G24" s="419"/>
      <c r="H24" s="419"/>
      <c r="I24" s="419"/>
      <c r="J24" s="419"/>
      <c r="K24" s="419"/>
      <c r="L24" s="418"/>
      <c r="M24" s="313">
        <v>10</v>
      </c>
    </row>
    <row r="25" spans="1:13" ht="15.75" customHeight="1">
      <c r="A25" s="361" t="s">
        <v>66</v>
      </c>
      <c r="C25" s="360"/>
      <c r="D25" s="362"/>
      <c r="E25" s="421"/>
      <c r="F25" s="419"/>
      <c r="G25" s="419"/>
      <c r="H25" s="419"/>
      <c r="I25" s="419"/>
      <c r="J25" s="419"/>
      <c r="K25" s="419"/>
      <c r="L25" s="418"/>
      <c r="M25" s="313">
        <v>11</v>
      </c>
    </row>
    <row r="26" spans="1:13" ht="15.75" customHeight="1">
      <c r="A26" s="361" t="s">
        <v>241</v>
      </c>
      <c r="C26" s="360"/>
      <c r="D26" s="362"/>
      <c r="E26" s="421">
        <v>200000</v>
      </c>
      <c r="F26" s="419" t="s">
        <v>240</v>
      </c>
      <c r="G26" s="419"/>
      <c r="H26" s="419"/>
      <c r="I26" s="419"/>
      <c r="J26" s="419"/>
      <c r="K26" s="419"/>
      <c r="L26" s="418"/>
      <c r="M26" s="313">
        <v>12</v>
      </c>
    </row>
    <row r="27" spans="1:13" ht="15.75" customHeight="1">
      <c r="A27" s="362" t="s">
        <v>66</v>
      </c>
      <c r="C27" s="360"/>
      <c r="D27" s="362"/>
      <c r="E27" s="421"/>
      <c r="F27" s="419"/>
      <c r="G27" s="419"/>
      <c r="H27" s="419"/>
      <c r="I27" s="419"/>
      <c r="J27" s="419"/>
      <c r="K27" s="419"/>
      <c r="L27" s="418"/>
      <c r="M27" s="313">
        <v>13</v>
      </c>
    </row>
    <row r="28" spans="1:13" ht="15.75" customHeight="1">
      <c r="A28" s="361" t="s">
        <v>243</v>
      </c>
      <c r="C28" s="360"/>
      <c r="D28" s="362"/>
      <c r="E28" s="421">
        <v>1000000</v>
      </c>
      <c r="F28" s="419" t="s">
        <v>242</v>
      </c>
      <c r="G28" s="419"/>
      <c r="H28" s="419"/>
      <c r="I28" s="419"/>
      <c r="J28" s="419"/>
      <c r="K28" s="419"/>
      <c r="L28" s="418"/>
      <c r="M28" s="313">
        <v>14</v>
      </c>
    </row>
    <row r="29" spans="1:13" ht="15.75" customHeight="1">
      <c r="A29" s="361" t="s">
        <v>66</v>
      </c>
      <c r="C29" s="360"/>
      <c r="D29" s="362"/>
      <c r="E29" s="421"/>
      <c r="F29" s="419"/>
      <c r="G29" s="419"/>
      <c r="H29" s="419"/>
      <c r="I29" s="419"/>
      <c r="J29" s="419"/>
      <c r="K29" s="419"/>
      <c r="L29" s="418"/>
      <c r="M29" s="313">
        <v>15</v>
      </c>
    </row>
    <row r="30" spans="1:13" ht="15.75" customHeight="1">
      <c r="A30" s="361" t="s">
        <v>245</v>
      </c>
      <c r="C30" s="360"/>
      <c r="D30" s="362"/>
      <c r="E30" s="421">
        <v>250000</v>
      </c>
      <c r="F30" s="419" t="s">
        <v>244</v>
      </c>
      <c r="G30" s="419"/>
      <c r="H30" s="419"/>
      <c r="I30" s="419"/>
      <c r="J30" s="419"/>
      <c r="K30" s="419"/>
      <c r="L30" s="418"/>
      <c r="M30" s="313">
        <v>16</v>
      </c>
    </row>
    <row r="31" spans="1:13" ht="15.75" customHeight="1">
      <c r="A31" s="361" t="s">
        <v>66</v>
      </c>
      <c r="C31" s="360"/>
      <c r="D31" s="362"/>
      <c r="E31" s="421"/>
      <c r="F31" s="419"/>
      <c r="G31" s="419"/>
      <c r="H31" s="419"/>
      <c r="I31" s="419"/>
      <c r="J31" s="419"/>
      <c r="K31" s="419"/>
      <c r="L31" s="418"/>
      <c r="M31" s="313">
        <v>17</v>
      </c>
    </row>
    <row r="32" spans="1:13" ht="15.75" customHeight="1">
      <c r="A32" s="361" t="s">
        <v>247</v>
      </c>
      <c r="C32" s="360"/>
      <c r="D32" s="362"/>
      <c r="E32" s="421">
        <v>50000</v>
      </c>
      <c r="F32" s="419" t="s">
        <v>246</v>
      </c>
      <c r="G32" s="419"/>
      <c r="H32" s="419"/>
      <c r="I32" s="419"/>
      <c r="J32" s="419"/>
      <c r="K32" s="419"/>
      <c r="L32" s="418"/>
      <c r="M32" s="313">
        <v>18</v>
      </c>
    </row>
    <row r="33" spans="1:13" ht="15.75" customHeight="1">
      <c r="A33" s="362" t="s">
        <v>66</v>
      </c>
      <c r="C33" s="360"/>
      <c r="D33" s="362"/>
      <c r="E33" s="421"/>
      <c r="F33" s="419"/>
      <c r="G33" s="419"/>
      <c r="H33" s="419"/>
      <c r="I33" s="419"/>
      <c r="J33" s="419"/>
      <c r="K33" s="419"/>
      <c r="L33" s="418"/>
      <c r="M33" s="313">
        <v>19</v>
      </c>
    </row>
    <row r="34" spans="1:13" ht="15.75" customHeight="1">
      <c r="A34" s="361" t="s">
        <v>248</v>
      </c>
      <c r="C34" s="360"/>
      <c r="D34" s="362"/>
      <c r="E34" s="421">
        <v>20000</v>
      </c>
      <c r="F34" s="419" t="s">
        <v>244</v>
      </c>
      <c r="G34" s="419"/>
      <c r="H34" s="419"/>
      <c r="I34" s="419"/>
      <c r="J34" s="419"/>
      <c r="K34" s="419"/>
      <c r="L34" s="418"/>
      <c r="M34" s="313">
        <v>20</v>
      </c>
    </row>
    <row r="35" spans="1:13" ht="15.75" customHeight="1">
      <c r="A35" s="362" t="s">
        <v>66</v>
      </c>
      <c r="C35" s="360"/>
      <c r="D35" s="362"/>
      <c r="E35" s="421"/>
      <c r="F35" s="419"/>
      <c r="G35" s="419"/>
      <c r="H35" s="419"/>
      <c r="I35" s="419"/>
      <c r="J35" s="419"/>
      <c r="K35" s="419"/>
      <c r="L35" s="418"/>
      <c r="M35" s="313">
        <v>21</v>
      </c>
    </row>
    <row r="36" spans="1:13" ht="15.75" customHeight="1">
      <c r="A36" s="362" t="s">
        <v>249</v>
      </c>
      <c r="C36" s="360"/>
      <c r="D36" s="362"/>
      <c r="E36" s="421"/>
      <c r="F36" s="419"/>
      <c r="G36" s="419"/>
      <c r="H36" s="419"/>
      <c r="I36" s="419"/>
      <c r="J36" s="419"/>
      <c r="K36" s="419"/>
      <c r="L36" s="418"/>
      <c r="M36" s="313">
        <v>22</v>
      </c>
    </row>
    <row r="37" spans="1:13" ht="15.75" customHeight="1">
      <c r="A37" s="361" t="s">
        <v>66</v>
      </c>
      <c r="C37" s="360"/>
      <c r="D37" s="362"/>
      <c r="E37" s="421"/>
      <c r="F37" s="419"/>
      <c r="G37" s="419"/>
      <c r="H37" s="419"/>
      <c r="I37" s="419"/>
      <c r="J37" s="419"/>
      <c r="K37" s="419"/>
      <c r="L37" s="418"/>
      <c r="M37" s="313">
        <v>23</v>
      </c>
    </row>
    <row r="38" spans="1:13" ht="15.75" customHeight="1">
      <c r="A38" s="361" t="s">
        <v>251</v>
      </c>
      <c r="C38" s="360"/>
      <c r="D38" s="362"/>
      <c r="E38" s="421">
        <v>450000</v>
      </c>
      <c r="F38" s="419" t="s">
        <v>250</v>
      </c>
      <c r="G38" s="419"/>
      <c r="H38" s="419"/>
      <c r="I38" s="419"/>
      <c r="J38" s="419"/>
      <c r="K38" s="419"/>
      <c r="L38" s="418"/>
      <c r="M38" s="313">
        <v>24</v>
      </c>
    </row>
    <row r="39" spans="1:13" ht="15.75" customHeight="1">
      <c r="A39" s="361" t="s">
        <v>66</v>
      </c>
      <c r="C39" s="360"/>
      <c r="D39" s="362"/>
      <c r="E39" s="421"/>
      <c r="F39" s="419"/>
      <c r="G39" s="419"/>
      <c r="H39" s="419"/>
      <c r="I39" s="419"/>
      <c r="J39" s="419"/>
      <c r="K39" s="419"/>
      <c r="L39" s="418"/>
      <c r="M39" s="313">
        <v>25</v>
      </c>
    </row>
    <row r="40" spans="1:13" ht="15.75" customHeight="1">
      <c r="A40" s="362" t="s">
        <v>252</v>
      </c>
      <c r="C40" s="360"/>
      <c r="D40" s="362"/>
      <c r="E40" s="421"/>
      <c r="F40" s="419"/>
      <c r="G40" s="419"/>
      <c r="H40" s="419"/>
      <c r="I40" s="419"/>
      <c r="J40" s="419"/>
      <c r="K40" s="419"/>
      <c r="L40" s="418"/>
      <c r="M40" s="313">
        <v>26</v>
      </c>
    </row>
    <row r="41" spans="1:13" ht="15.75" customHeight="1">
      <c r="A41" s="361" t="s">
        <v>66</v>
      </c>
      <c r="C41" s="360"/>
      <c r="D41" s="362"/>
      <c r="E41" s="421"/>
      <c r="F41" s="419"/>
      <c r="G41" s="419"/>
      <c r="H41" s="419"/>
      <c r="I41" s="419"/>
      <c r="J41" s="419"/>
      <c r="K41" s="419"/>
      <c r="L41" s="418"/>
      <c r="M41" s="313">
        <v>27</v>
      </c>
    </row>
    <row r="42" spans="1:13" ht="15.75" customHeight="1">
      <c r="A42" s="361" t="s">
        <v>253</v>
      </c>
      <c r="C42" s="360"/>
      <c r="D42" s="362"/>
      <c r="E42" s="421">
        <v>100000</v>
      </c>
      <c r="F42" s="419" t="s">
        <v>234</v>
      </c>
      <c r="G42" s="419"/>
      <c r="H42" s="419"/>
      <c r="I42" s="419"/>
      <c r="J42" s="419"/>
      <c r="K42" s="419"/>
      <c r="L42" s="418"/>
      <c r="M42" s="313">
        <v>28</v>
      </c>
    </row>
    <row r="43" spans="1:13" ht="15.75" customHeight="1">
      <c r="A43" s="361" t="s">
        <v>66</v>
      </c>
      <c r="C43" s="360"/>
      <c r="D43" s="362"/>
      <c r="E43" s="421"/>
      <c r="F43" s="419"/>
      <c r="G43" s="419"/>
      <c r="H43" s="419"/>
      <c r="I43" s="419"/>
      <c r="J43" s="419"/>
      <c r="K43" s="419"/>
      <c r="L43" s="418"/>
      <c r="M43" s="313">
        <v>29</v>
      </c>
    </row>
    <row r="44" spans="1:13" ht="15.75" customHeight="1">
      <c r="A44" s="361" t="s">
        <v>254</v>
      </c>
      <c r="C44" s="360"/>
      <c r="D44" s="362"/>
      <c r="E44" s="421">
        <v>150000</v>
      </c>
      <c r="F44" s="419" t="s">
        <v>246</v>
      </c>
      <c r="G44" s="419"/>
      <c r="H44" s="419"/>
      <c r="I44" s="419"/>
      <c r="J44" s="419"/>
      <c r="K44" s="419"/>
      <c r="L44" s="418"/>
      <c r="M44" s="313">
        <v>30</v>
      </c>
    </row>
    <row r="45" spans="1:13" ht="15.75" customHeight="1">
      <c r="A45" s="361" t="s">
        <v>66</v>
      </c>
      <c r="C45" s="360"/>
      <c r="D45" s="362"/>
      <c r="E45" s="421"/>
      <c r="F45" s="419"/>
      <c r="G45" s="419"/>
      <c r="H45" s="419"/>
      <c r="I45" s="419"/>
      <c r="J45" s="419"/>
      <c r="K45" s="419"/>
      <c r="L45" s="418"/>
      <c r="M45" s="313">
        <v>31</v>
      </c>
    </row>
    <row r="46" spans="1:13" ht="15.75" hidden="1" customHeight="1">
      <c r="A46" s="361" t="s">
        <v>66</v>
      </c>
      <c r="C46" s="360"/>
      <c r="D46" s="362"/>
      <c r="E46" s="421"/>
      <c r="F46" s="419"/>
      <c r="G46" s="419"/>
      <c r="H46" s="419"/>
      <c r="I46" s="419"/>
      <c r="J46" s="419"/>
      <c r="K46" s="419"/>
      <c r="L46" s="418"/>
      <c r="M46" s="313">
        <v>32</v>
      </c>
    </row>
    <row r="47" spans="1:13" ht="15.75" hidden="1" customHeight="1">
      <c r="A47" s="361" t="s">
        <v>66</v>
      </c>
      <c r="C47" s="360"/>
      <c r="D47" s="362"/>
      <c r="E47" s="421"/>
      <c r="F47" s="419"/>
      <c r="G47" s="419"/>
      <c r="H47" s="419"/>
      <c r="I47" s="419"/>
      <c r="J47" s="419"/>
      <c r="K47" s="419"/>
      <c r="L47" s="418"/>
      <c r="M47" s="313">
        <v>33</v>
      </c>
    </row>
    <row r="48" spans="1:13" ht="15.75" hidden="1" customHeight="1">
      <c r="A48" s="361" t="s">
        <v>66</v>
      </c>
      <c r="C48" s="360"/>
      <c r="D48" s="362"/>
      <c r="E48" s="421"/>
      <c r="F48" s="419"/>
      <c r="G48" s="419"/>
      <c r="H48" s="419"/>
      <c r="I48" s="419"/>
      <c r="J48" s="419"/>
      <c r="K48" s="419"/>
      <c r="L48" s="418"/>
      <c r="M48" s="313">
        <v>34</v>
      </c>
    </row>
    <row r="49" spans="1:13" ht="15.75" hidden="1" customHeight="1">
      <c r="A49" s="361" t="s">
        <v>66</v>
      </c>
      <c r="C49" s="360"/>
      <c r="D49" s="362"/>
      <c r="E49" s="421"/>
      <c r="F49" s="419"/>
      <c r="G49" s="419"/>
      <c r="H49" s="419"/>
      <c r="I49" s="419"/>
      <c r="J49" s="419"/>
      <c r="K49" s="419"/>
      <c r="L49" s="418"/>
      <c r="M49" s="313">
        <v>35</v>
      </c>
    </row>
    <row r="50" spans="1:13" ht="15.75" hidden="1" customHeight="1">
      <c r="A50" s="361" t="s">
        <v>66</v>
      </c>
      <c r="C50" s="360"/>
      <c r="D50" s="362"/>
      <c r="E50" s="421"/>
      <c r="F50" s="419"/>
      <c r="G50" s="419"/>
      <c r="H50" s="419"/>
      <c r="I50" s="419"/>
      <c r="J50" s="419"/>
      <c r="K50" s="419"/>
      <c r="L50" s="418"/>
      <c r="M50" s="313">
        <v>36</v>
      </c>
    </row>
    <row r="51" spans="1:13" ht="15.75" hidden="1" customHeight="1">
      <c r="A51" s="361" t="s">
        <v>66</v>
      </c>
      <c r="C51" s="360"/>
      <c r="D51" s="362"/>
      <c r="E51" s="421"/>
      <c r="F51" s="419"/>
      <c r="G51" s="419"/>
      <c r="H51" s="419"/>
      <c r="I51" s="419"/>
      <c r="J51" s="419"/>
      <c r="K51" s="419"/>
      <c r="L51" s="418"/>
      <c r="M51" s="313">
        <v>37</v>
      </c>
    </row>
    <row r="52" spans="1:13" ht="15.75" hidden="1" customHeight="1">
      <c r="A52" s="361" t="s">
        <v>66</v>
      </c>
      <c r="C52" s="360"/>
      <c r="D52" s="362"/>
      <c r="E52" s="421"/>
      <c r="F52" s="419"/>
      <c r="G52" s="419"/>
      <c r="H52" s="419"/>
      <c r="I52" s="419"/>
      <c r="J52" s="419"/>
      <c r="K52" s="419"/>
      <c r="L52" s="418"/>
      <c r="M52" s="313">
        <v>38</v>
      </c>
    </row>
    <row r="53" spans="1:13" ht="15.75" hidden="1" customHeight="1">
      <c r="A53" s="361" t="s">
        <v>66</v>
      </c>
      <c r="C53" s="360"/>
      <c r="D53" s="362"/>
      <c r="E53" s="421"/>
      <c r="F53" s="419"/>
      <c r="G53" s="419"/>
      <c r="H53" s="419"/>
      <c r="I53" s="419"/>
      <c r="J53" s="419"/>
      <c r="K53" s="419"/>
      <c r="L53" s="418"/>
      <c r="M53" s="313">
        <v>39</v>
      </c>
    </row>
    <row r="54" spans="1:13" ht="15.75" hidden="1" customHeight="1">
      <c r="A54" s="361" t="s">
        <v>66</v>
      </c>
      <c r="C54" s="360"/>
      <c r="D54" s="362"/>
      <c r="E54" s="421"/>
      <c r="F54" s="419"/>
      <c r="G54" s="419"/>
      <c r="H54" s="419"/>
      <c r="I54" s="419"/>
      <c r="J54" s="419"/>
      <c r="K54" s="419"/>
      <c r="L54" s="418"/>
      <c r="M54" s="313">
        <v>40</v>
      </c>
    </row>
    <row r="55" spans="1:13" ht="15.75" hidden="1" customHeight="1">
      <c r="A55" s="361" t="s">
        <v>66</v>
      </c>
      <c r="C55" s="360"/>
      <c r="D55" s="362"/>
      <c r="E55" s="421"/>
      <c r="F55" s="419"/>
      <c r="G55" s="419"/>
      <c r="H55" s="419"/>
      <c r="I55" s="419"/>
      <c r="J55" s="419"/>
      <c r="K55" s="419"/>
      <c r="L55" s="418"/>
      <c r="M55" s="313">
        <v>41</v>
      </c>
    </row>
    <row r="56" spans="1:13" ht="15.75" hidden="1" customHeight="1">
      <c r="A56" s="361" t="s">
        <v>66</v>
      </c>
      <c r="C56" s="360"/>
      <c r="D56" s="362"/>
      <c r="E56" s="421"/>
      <c r="F56" s="419"/>
      <c r="G56" s="419"/>
      <c r="H56" s="419"/>
      <c r="I56" s="419"/>
      <c r="J56" s="419"/>
      <c r="K56" s="419"/>
      <c r="L56" s="418"/>
      <c r="M56" s="313">
        <v>42</v>
      </c>
    </row>
    <row r="57" spans="1:13" ht="15.75" hidden="1" customHeight="1">
      <c r="A57" s="361" t="s">
        <v>66</v>
      </c>
      <c r="C57" s="360"/>
      <c r="D57" s="362"/>
      <c r="E57" s="421"/>
      <c r="F57" s="419"/>
      <c r="G57" s="419"/>
      <c r="H57" s="419"/>
      <c r="I57" s="419"/>
      <c r="J57" s="419"/>
      <c r="K57" s="419"/>
      <c r="L57" s="418"/>
      <c r="M57" s="313">
        <v>43</v>
      </c>
    </row>
    <row r="58" spans="1:13" ht="15.75" hidden="1" customHeight="1">
      <c r="A58" s="361" t="s">
        <v>66</v>
      </c>
      <c r="C58" s="360"/>
      <c r="D58" s="362"/>
      <c r="E58" s="421"/>
      <c r="F58" s="419"/>
      <c r="G58" s="419"/>
      <c r="H58" s="419"/>
      <c r="I58" s="419"/>
      <c r="J58" s="419"/>
      <c r="K58" s="419"/>
      <c r="L58" s="418"/>
      <c r="M58" s="313">
        <v>44</v>
      </c>
    </row>
    <row r="59" spans="1:13" ht="15.75" hidden="1" customHeight="1">
      <c r="A59" s="361" t="s">
        <v>66</v>
      </c>
      <c r="C59" s="360"/>
      <c r="D59" s="362"/>
      <c r="E59" s="421"/>
      <c r="F59" s="419"/>
      <c r="G59" s="419"/>
      <c r="H59" s="419"/>
      <c r="I59" s="419"/>
      <c r="J59" s="419"/>
      <c r="K59" s="419"/>
      <c r="L59" s="418"/>
      <c r="M59" s="313">
        <v>45</v>
      </c>
    </row>
    <row r="60" spans="1:13" ht="15.75" hidden="1" customHeight="1">
      <c r="A60" s="362" t="s">
        <v>66</v>
      </c>
      <c r="C60" s="360"/>
      <c r="D60" s="362"/>
      <c r="E60" s="421"/>
      <c r="F60" s="419"/>
      <c r="G60" s="419"/>
      <c r="H60" s="419"/>
      <c r="I60" s="419"/>
      <c r="J60" s="419"/>
      <c r="K60" s="419"/>
      <c r="L60" s="418"/>
      <c r="M60" s="313">
        <v>46</v>
      </c>
    </row>
    <row r="61" spans="1:13" ht="15.75" hidden="1" customHeight="1">
      <c r="A61" s="361" t="s">
        <v>66</v>
      </c>
      <c r="C61" s="360"/>
      <c r="D61" s="362"/>
      <c r="E61" s="421"/>
      <c r="F61" s="419"/>
      <c r="G61" s="419"/>
      <c r="H61" s="419"/>
      <c r="I61" s="419"/>
      <c r="J61" s="419"/>
      <c r="K61" s="419"/>
      <c r="L61" s="418"/>
      <c r="M61" s="313">
        <v>47</v>
      </c>
    </row>
    <row r="62" spans="1:13" ht="15.75" hidden="1" customHeight="1">
      <c r="A62" s="361" t="s">
        <v>66</v>
      </c>
      <c r="C62" s="360"/>
      <c r="D62" s="362"/>
      <c r="E62" s="421"/>
      <c r="F62" s="419"/>
      <c r="G62" s="419"/>
      <c r="H62" s="419"/>
      <c r="I62" s="419"/>
      <c r="J62" s="419"/>
      <c r="K62" s="419"/>
      <c r="L62" s="418"/>
      <c r="M62" s="313">
        <v>48</v>
      </c>
    </row>
    <row r="63" spans="1:13" ht="15.75" hidden="1" customHeight="1">
      <c r="A63" s="361" t="s">
        <v>66</v>
      </c>
      <c r="C63" s="360"/>
      <c r="D63" s="362"/>
      <c r="E63" s="421"/>
      <c r="F63" s="419"/>
      <c r="G63" s="419"/>
      <c r="H63" s="419"/>
      <c r="I63" s="419"/>
      <c r="J63" s="419"/>
      <c r="K63" s="419"/>
      <c r="L63" s="418"/>
      <c r="M63" s="313">
        <v>49</v>
      </c>
    </row>
    <row r="64" spans="1:13" ht="15.75" hidden="1" customHeight="1">
      <c r="A64" s="361" t="s">
        <v>66</v>
      </c>
      <c r="C64" s="360"/>
      <c r="D64" s="362"/>
      <c r="E64" s="421"/>
      <c r="F64" s="419"/>
      <c r="G64" s="419"/>
      <c r="H64" s="419"/>
      <c r="I64" s="419"/>
      <c r="J64" s="419"/>
      <c r="K64" s="419"/>
      <c r="L64" s="418"/>
      <c r="M64" s="313">
        <v>50</v>
      </c>
    </row>
    <row r="65" spans="1:13" ht="15.75" hidden="1" customHeight="1">
      <c r="A65" s="361" t="s">
        <v>66</v>
      </c>
      <c r="C65" s="360"/>
      <c r="D65" s="362"/>
      <c r="E65" s="421"/>
      <c r="F65" s="419"/>
      <c r="G65" s="419"/>
      <c r="H65" s="419"/>
      <c r="I65" s="419"/>
      <c r="J65" s="419"/>
      <c r="K65" s="419"/>
      <c r="L65" s="418"/>
      <c r="M65" s="313">
        <v>51</v>
      </c>
    </row>
    <row r="66" spans="1:13" ht="15.75" hidden="1" customHeight="1">
      <c r="A66" s="361" t="s">
        <v>66</v>
      </c>
      <c r="C66" s="360"/>
      <c r="D66" s="362"/>
      <c r="E66" s="421"/>
      <c r="F66" s="419"/>
      <c r="G66" s="419"/>
      <c r="H66" s="419"/>
      <c r="I66" s="419"/>
      <c r="J66" s="419"/>
      <c r="K66" s="419"/>
      <c r="L66" s="418"/>
      <c r="M66" s="313">
        <v>52</v>
      </c>
    </row>
    <row r="67" spans="1:13" ht="15.75" hidden="1" customHeight="1">
      <c r="A67" s="361" t="s">
        <v>66</v>
      </c>
      <c r="C67" s="360"/>
      <c r="D67" s="362"/>
      <c r="E67" s="421"/>
      <c r="F67" s="419"/>
      <c r="G67" s="419"/>
      <c r="H67" s="419"/>
      <c r="I67" s="419"/>
      <c r="J67" s="419"/>
      <c r="K67" s="419"/>
      <c r="L67" s="418"/>
      <c r="M67" s="313">
        <v>53</v>
      </c>
    </row>
    <row r="68" spans="1:13" ht="15.75" hidden="1" customHeight="1">
      <c r="A68" s="361" t="s">
        <v>66</v>
      </c>
      <c r="C68" s="360"/>
      <c r="D68" s="362"/>
      <c r="E68" s="421"/>
      <c r="F68" s="419"/>
      <c r="G68" s="419"/>
      <c r="H68" s="419"/>
      <c r="I68" s="419"/>
      <c r="J68" s="419"/>
      <c r="K68" s="419"/>
      <c r="L68" s="418"/>
      <c r="M68" s="313">
        <v>54</v>
      </c>
    </row>
    <row r="69" spans="1:13" ht="15.75" hidden="1" customHeight="1">
      <c r="A69" s="361" t="s">
        <v>66</v>
      </c>
      <c r="C69" s="360"/>
      <c r="D69" s="362"/>
      <c r="E69" s="421"/>
      <c r="F69" s="419"/>
      <c r="G69" s="419"/>
      <c r="H69" s="419"/>
      <c r="I69" s="419"/>
      <c r="J69" s="419"/>
      <c r="K69" s="419"/>
      <c r="L69" s="418"/>
      <c r="M69" s="313">
        <v>55</v>
      </c>
    </row>
    <row r="70" spans="1:13" ht="15.75" hidden="1" customHeight="1">
      <c r="A70" s="361" t="s">
        <v>66</v>
      </c>
      <c r="C70" s="360"/>
      <c r="D70" s="362"/>
      <c r="E70" s="421"/>
      <c r="F70" s="419"/>
      <c r="G70" s="419"/>
      <c r="H70" s="419"/>
      <c r="I70" s="419"/>
      <c r="J70" s="419"/>
      <c r="K70" s="419"/>
      <c r="L70" s="418"/>
      <c r="M70" s="313">
        <v>56</v>
      </c>
    </row>
    <row r="71" spans="1:13" ht="15.75" hidden="1" customHeight="1">
      <c r="A71" s="361" t="s">
        <v>66</v>
      </c>
      <c r="C71" s="360"/>
      <c r="D71" s="362"/>
      <c r="E71" s="421"/>
      <c r="F71" s="419"/>
      <c r="G71" s="419"/>
      <c r="H71" s="419"/>
      <c r="I71" s="419"/>
      <c r="J71" s="419"/>
      <c r="K71" s="419"/>
      <c r="L71" s="418"/>
      <c r="M71" s="313">
        <v>57</v>
      </c>
    </row>
    <row r="72" spans="1:13" ht="15.75" hidden="1" customHeight="1">
      <c r="A72" s="361" t="s">
        <v>66</v>
      </c>
      <c r="C72" s="360"/>
      <c r="D72" s="362"/>
      <c r="E72" s="421"/>
      <c r="F72" s="419"/>
      <c r="G72" s="419"/>
      <c r="H72" s="419"/>
      <c r="I72" s="419"/>
      <c r="J72" s="419"/>
      <c r="K72" s="419"/>
      <c r="L72" s="418"/>
      <c r="M72" s="313">
        <v>58</v>
      </c>
    </row>
    <row r="73" spans="1:13" ht="15.75" hidden="1" customHeight="1">
      <c r="A73" s="361" t="s">
        <v>66</v>
      </c>
      <c r="C73" s="360"/>
      <c r="D73" s="362"/>
      <c r="E73" s="421"/>
      <c r="F73" s="419"/>
      <c r="G73" s="419"/>
      <c r="H73" s="419"/>
      <c r="I73" s="419"/>
      <c r="J73" s="419"/>
      <c r="K73" s="419"/>
      <c r="L73" s="418"/>
      <c r="M73" s="313">
        <v>59</v>
      </c>
    </row>
    <row r="74" spans="1:13" ht="15.75" hidden="1" customHeight="1">
      <c r="A74" s="361" t="s">
        <v>66</v>
      </c>
      <c r="C74" s="360"/>
      <c r="D74" s="362"/>
      <c r="E74" s="421"/>
      <c r="F74" s="419"/>
      <c r="G74" s="419"/>
      <c r="H74" s="419"/>
      <c r="I74" s="419"/>
      <c r="J74" s="419"/>
      <c r="K74" s="419"/>
      <c r="L74" s="418"/>
      <c r="M74" s="313">
        <v>60</v>
      </c>
    </row>
    <row r="75" spans="1:13" ht="15.75" hidden="1" customHeight="1">
      <c r="A75" s="361" t="s">
        <v>66</v>
      </c>
      <c r="C75" s="360"/>
      <c r="D75" s="362"/>
      <c r="E75" s="421"/>
      <c r="F75" s="419"/>
      <c r="G75" s="419"/>
      <c r="H75" s="419"/>
      <c r="I75" s="419"/>
      <c r="J75" s="419"/>
      <c r="K75" s="419"/>
      <c r="L75" s="418"/>
      <c r="M75" s="313">
        <v>61</v>
      </c>
    </row>
    <row r="76" spans="1:13" ht="15.75" hidden="1" customHeight="1">
      <c r="A76" s="361" t="s">
        <v>66</v>
      </c>
      <c r="C76" s="360"/>
      <c r="D76" s="362"/>
      <c r="E76" s="421"/>
      <c r="F76" s="419"/>
      <c r="G76" s="419"/>
      <c r="H76" s="419"/>
      <c r="I76" s="419"/>
      <c r="J76" s="419"/>
      <c r="K76" s="419"/>
      <c r="L76" s="418"/>
      <c r="M76" s="313">
        <v>62</v>
      </c>
    </row>
    <row r="77" spans="1:13" ht="15.75" hidden="1" customHeight="1">
      <c r="A77" s="361" t="s">
        <v>70</v>
      </c>
      <c r="C77" s="360"/>
      <c r="D77" s="362"/>
      <c r="E77" s="421"/>
      <c r="F77" s="419"/>
      <c r="G77" s="419"/>
      <c r="H77" s="419"/>
      <c r="I77" s="419"/>
      <c r="J77" s="419"/>
      <c r="K77" s="419"/>
      <c r="L77" s="418"/>
      <c r="M77" s="313">
        <v>63</v>
      </c>
    </row>
    <row r="78" spans="1:13" ht="15.75" hidden="1" customHeight="1">
      <c r="A78" s="361" t="s">
        <v>70</v>
      </c>
      <c r="D78" s="362"/>
      <c r="E78" s="421"/>
      <c r="F78" s="419"/>
      <c r="G78" s="419"/>
      <c r="H78" s="419"/>
      <c r="I78" s="419"/>
      <c r="J78" s="419"/>
      <c r="K78" s="419"/>
      <c r="L78" s="418"/>
      <c r="M78" s="313">
        <v>64</v>
      </c>
    </row>
    <row r="79" spans="1:13" ht="15.75" hidden="1" customHeight="1">
      <c r="A79" s="361" t="s">
        <v>70</v>
      </c>
      <c r="D79" s="362"/>
      <c r="E79" s="421"/>
      <c r="F79" s="419"/>
      <c r="G79" s="419"/>
      <c r="H79" s="419"/>
      <c r="I79" s="419"/>
      <c r="J79" s="419"/>
      <c r="K79" s="419"/>
      <c r="L79" s="418"/>
      <c r="M79" s="313">
        <v>65</v>
      </c>
    </row>
    <row r="80" spans="1:13" ht="15.75" hidden="1" customHeight="1">
      <c r="A80" s="361" t="s">
        <v>70</v>
      </c>
      <c r="D80" s="362"/>
      <c r="E80" s="421"/>
      <c r="F80" s="419"/>
      <c r="G80" s="419"/>
      <c r="H80" s="419"/>
      <c r="I80" s="419"/>
      <c r="J80" s="419"/>
      <c r="K80" s="419"/>
      <c r="L80" s="418"/>
      <c r="M80" s="313">
        <v>66</v>
      </c>
    </row>
    <row r="81" spans="1:13" ht="15.75" hidden="1" customHeight="1">
      <c r="A81" s="361" t="s">
        <v>70</v>
      </c>
      <c r="D81" s="362"/>
      <c r="E81" s="421"/>
      <c r="F81" s="419"/>
      <c r="G81" s="419"/>
      <c r="H81" s="419"/>
      <c r="I81" s="419"/>
      <c r="J81" s="419"/>
      <c r="K81" s="419"/>
      <c r="L81" s="418"/>
      <c r="M81" s="313">
        <v>67</v>
      </c>
    </row>
    <row r="82" spans="1:13" ht="15.75" hidden="1" customHeight="1">
      <c r="A82" s="361" t="s">
        <v>70</v>
      </c>
      <c r="D82" s="362"/>
      <c r="E82" s="421"/>
      <c r="F82" s="419"/>
      <c r="G82" s="419"/>
      <c r="H82" s="419"/>
      <c r="I82" s="419"/>
      <c r="J82" s="419"/>
      <c r="K82" s="419"/>
      <c r="L82" s="418"/>
      <c r="M82" s="313">
        <v>68</v>
      </c>
    </row>
    <row r="83" spans="1:13" ht="15.75" hidden="1" customHeight="1">
      <c r="A83" s="361" t="s">
        <v>70</v>
      </c>
      <c r="D83" s="362"/>
      <c r="E83" s="421"/>
      <c r="F83" s="419"/>
      <c r="G83" s="419"/>
      <c r="H83" s="419"/>
      <c r="I83" s="419"/>
      <c r="J83" s="419"/>
      <c r="K83" s="419"/>
      <c r="L83" s="418"/>
      <c r="M83" s="313">
        <v>69</v>
      </c>
    </row>
    <row r="84" spans="1:13" ht="15.75" hidden="1" customHeight="1">
      <c r="A84" s="361" t="s">
        <v>70</v>
      </c>
      <c r="D84" s="362"/>
      <c r="E84" s="421"/>
      <c r="F84" s="419"/>
      <c r="G84" s="419"/>
      <c r="H84" s="419"/>
      <c r="I84" s="419"/>
      <c r="J84" s="419"/>
      <c r="K84" s="419"/>
      <c r="L84" s="418"/>
      <c r="M84" s="313">
        <v>70</v>
      </c>
    </row>
    <row r="85" spans="1:13" ht="15.75" hidden="1" customHeight="1">
      <c r="A85" s="361" t="s">
        <v>70</v>
      </c>
      <c r="D85" s="362"/>
      <c r="E85" s="421"/>
      <c r="F85" s="419"/>
      <c r="G85" s="419"/>
      <c r="H85" s="419"/>
      <c r="I85" s="419"/>
      <c r="J85" s="419"/>
      <c r="K85" s="419"/>
      <c r="L85" s="418"/>
      <c r="M85" s="313">
        <v>71</v>
      </c>
    </row>
    <row r="86" spans="1:13" ht="15.75" hidden="1" customHeight="1">
      <c r="A86" s="361" t="s">
        <v>70</v>
      </c>
      <c r="D86" s="362"/>
      <c r="E86" s="421"/>
      <c r="F86" s="419"/>
      <c r="G86" s="419"/>
      <c r="H86" s="419"/>
      <c r="I86" s="419"/>
      <c r="J86" s="419"/>
      <c r="K86" s="419"/>
      <c r="L86" s="418"/>
      <c r="M86" s="313">
        <v>72</v>
      </c>
    </row>
    <row r="87" spans="1:13" ht="15.75" hidden="1" customHeight="1">
      <c r="A87" s="361" t="s">
        <v>70</v>
      </c>
      <c r="D87" s="362"/>
      <c r="E87" s="421"/>
      <c r="F87" s="419"/>
      <c r="G87" s="419"/>
      <c r="H87" s="419"/>
      <c r="I87" s="419"/>
      <c r="J87" s="419"/>
      <c r="K87" s="419"/>
      <c r="L87" s="418"/>
      <c r="M87" s="313">
        <v>73</v>
      </c>
    </row>
    <row r="88" spans="1:13" ht="15.75" hidden="1" customHeight="1">
      <c r="A88" s="361" t="s">
        <v>70</v>
      </c>
      <c r="D88" s="362"/>
      <c r="E88" s="421"/>
      <c r="F88" s="419"/>
      <c r="G88" s="419"/>
      <c r="H88" s="419"/>
      <c r="I88" s="419"/>
      <c r="J88" s="419"/>
      <c r="K88" s="419"/>
      <c r="L88" s="418"/>
      <c r="M88" s="313">
        <v>74</v>
      </c>
    </row>
    <row r="89" spans="1:13" ht="15.75" hidden="1" customHeight="1">
      <c r="A89" s="361" t="s">
        <v>66</v>
      </c>
      <c r="D89" s="362"/>
      <c r="E89" s="421"/>
      <c r="F89" s="419"/>
      <c r="G89" s="419"/>
      <c r="H89" s="419"/>
      <c r="I89" s="419"/>
      <c r="J89" s="419"/>
      <c r="K89" s="419"/>
      <c r="L89" s="418"/>
      <c r="M89" s="313">
        <v>75</v>
      </c>
    </row>
    <row r="90" spans="1:13" ht="24" customHeight="1">
      <c r="A90" s="351" t="s">
        <v>743</v>
      </c>
      <c r="B90" s="352"/>
      <c r="C90" s="352"/>
      <c r="D90" s="363"/>
      <c r="E90" s="422">
        <v>3970000</v>
      </c>
      <c r="F90" s="364"/>
      <c r="G90" s="364"/>
      <c r="H90" s="364"/>
      <c r="I90" s="364"/>
      <c r="J90" s="364"/>
      <c r="K90" s="364"/>
      <c r="L90" s="354"/>
    </row>
  </sheetData>
  <sheetProtection formatCells="0" formatColumns="0" formatRows="0" insertColumns="0" insertRows="0" insertHyperlinks="0" deleteColumns="0" deleteRows="0" sort="0" autoFilter="0" pivotTables="0"/>
  <mergeCells count="10">
    <mergeCell ref="I6:I8"/>
    <mergeCell ref="J6:J8"/>
    <mergeCell ref="K6:K8"/>
    <mergeCell ref="L6:L8"/>
    <mergeCell ref="A6:A8"/>
    <mergeCell ref="B6:B8"/>
    <mergeCell ref="D6:D8"/>
    <mergeCell ref="F6:F8"/>
    <mergeCell ref="G6:G8"/>
    <mergeCell ref="H6:H8"/>
  </mergeCells>
  <phoneticPr fontId="4"/>
  <printOptions horizontalCentered="1"/>
  <pageMargins left="0.59055118110236227" right="0.59055118110236227" top="0.59055118110236227" bottom="0.59055118110236227" header="0.51181102362204722" footer="0.51181102362204722"/>
  <pageSetup paperSize="9" scale="55" fitToWidth="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tabColor theme="0" tint="-0.14999847407452621"/>
    <pageSetUpPr fitToPage="1"/>
  </sheetPr>
  <dimension ref="A1:AA50"/>
  <sheetViews>
    <sheetView view="pageBreakPreview" topLeftCell="A40"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6" width="3.625" style="1"/>
    <col min="27" max="27" width="0" style="1" hidden="1" customWidth="1"/>
    <col min="28"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2" width="3.625" style="1"/>
    <col min="283" max="283" width="0" style="1" hidden="1" customWidth="1"/>
    <col min="284"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8" width="3.625" style="1"/>
    <col min="539" max="539" width="0" style="1" hidden="1" customWidth="1"/>
    <col min="540"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4" width="3.625" style="1"/>
    <col min="795" max="795" width="0" style="1" hidden="1" customWidth="1"/>
    <col min="796"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0" width="3.625" style="1"/>
    <col min="1051" max="1051" width="0" style="1" hidden="1" customWidth="1"/>
    <col min="1052"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6" width="3.625" style="1"/>
    <col min="1307" max="1307" width="0" style="1" hidden="1" customWidth="1"/>
    <col min="1308"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2" width="3.625" style="1"/>
    <col min="1563" max="1563" width="0" style="1" hidden="1" customWidth="1"/>
    <col min="1564"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8" width="3.625" style="1"/>
    <col min="1819" max="1819" width="0" style="1" hidden="1" customWidth="1"/>
    <col min="1820"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4" width="3.625" style="1"/>
    <col min="2075" max="2075" width="0" style="1" hidden="1" customWidth="1"/>
    <col min="2076"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0" width="3.625" style="1"/>
    <col min="2331" max="2331" width="0" style="1" hidden="1" customWidth="1"/>
    <col min="2332"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6" width="3.625" style="1"/>
    <col min="2587" max="2587" width="0" style="1" hidden="1" customWidth="1"/>
    <col min="2588"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2" width="3.625" style="1"/>
    <col min="2843" max="2843" width="0" style="1" hidden="1" customWidth="1"/>
    <col min="2844"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8" width="3.625" style="1"/>
    <col min="3099" max="3099" width="0" style="1" hidden="1" customWidth="1"/>
    <col min="3100"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4" width="3.625" style="1"/>
    <col min="3355" max="3355" width="0" style="1" hidden="1" customWidth="1"/>
    <col min="3356"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0" width="3.625" style="1"/>
    <col min="3611" max="3611" width="0" style="1" hidden="1" customWidth="1"/>
    <col min="3612"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6" width="3.625" style="1"/>
    <col min="3867" max="3867" width="0" style="1" hidden="1" customWidth="1"/>
    <col min="3868"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2" width="3.625" style="1"/>
    <col min="4123" max="4123" width="0" style="1" hidden="1" customWidth="1"/>
    <col min="4124"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8" width="3.625" style="1"/>
    <col min="4379" max="4379" width="0" style="1" hidden="1" customWidth="1"/>
    <col min="4380"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4" width="3.625" style="1"/>
    <col min="4635" max="4635" width="0" style="1" hidden="1" customWidth="1"/>
    <col min="4636"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0" width="3.625" style="1"/>
    <col min="4891" max="4891" width="0" style="1" hidden="1" customWidth="1"/>
    <col min="4892"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6" width="3.625" style="1"/>
    <col min="5147" max="5147" width="0" style="1" hidden="1" customWidth="1"/>
    <col min="5148"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2" width="3.625" style="1"/>
    <col min="5403" max="5403" width="0" style="1" hidden="1" customWidth="1"/>
    <col min="5404"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8" width="3.625" style="1"/>
    <col min="5659" max="5659" width="0" style="1" hidden="1" customWidth="1"/>
    <col min="5660"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4" width="3.625" style="1"/>
    <col min="5915" max="5915" width="0" style="1" hidden="1" customWidth="1"/>
    <col min="5916"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0" width="3.625" style="1"/>
    <col min="6171" max="6171" width="0" style="1" hidden="1" customWidth="1"/>
    <col min="6172"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6" width="3.625" style="1"/>
    <col min="6427" max="6427" width="0" style="1" hidden="1" customWidth="1"/>
    <col min="6428"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2" width="3.625" style="1"/>
    <col min="6683" max="6683" width="0" style="1" hidden="1" customWidth="1"/>
    <col min="6684"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8" width="3.625" style="1"/>
    <col min="6939" max="6939" width="0" style="1" hidden="1" customWidth="1"/>
    <col min="6940"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4" width="3.625" style="1"/>
    <col min="7195" max="7195" width="0" style="1" hidden="1" customWidth="1"/>
    <col min="7196"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0" width="3.625" style="1"/>
    <col min="7451" max="7451" width="0" style="1" hidden="1" customWidth="1"/>
    <col min="7452"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6" width="3.625" style="1"/>
    <col min="7707" max="7707" width="0" style="1" hidden="1" customWidth="1"/>
    <col min="7708"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2" width="3.625" style="1"/>
    <col min="7963" max="7963" width="0" style="1" hidden="1" customWidth="1"/>
    <col min="7964"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8" width="3.625" style="1"/>
    <col min="8219" max="8219" width="0" style="1" hidden="1" customWidth="1"/>
    <col min="8220"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4" width="3.625" style="1"/>
    <col min="8475" max="8475" width="0" style="1" hidden="1" customWidth="1"/>
    <col min="8476"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0" width="3.625" style="1"/>
    <col min="8731" max="8731" width="0" style="1" hidden="1" customWidth="1"/>
    <col min="8732"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6" width="3.625" style="1"/>
    <col min="8987" max="8987" width="0" style="1" hidden="1" customWidth="1"/>
    <col min="8988"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2" width="3.625" style="1"/>
    <col min="9243" max="9243" width="0" style="1" hidden="1" customWidth="1"/>
    <col min="9244"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8" width="3.625" style="1"/>
    <col min="9499" max="9499" width="0" style="1" hidden="1" customWidth="1"/>
    <col min="9500"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4" width="3.625" style="1"/>
    <col min="9755" max="9755" width="0" style="1" hidden="1" customWidth="1"/>
    <col min="9756"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0" width="3.625" style="1"/>
    <col min="10011" max="10011" width="0" style="1" hidden="1" customWidth="1"/>
    <col min="10012"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6" width="3.625" style="1"/>
    <col min="10267" max="10267" width="0" style="1" hidden="1" customWidth="1"/>
    <col min="10268"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2" width="3.625" style="1"/>
    <col min="10523" max="10523" width="0" style="1" hidden="1" customWidth="1"/>
    <col min="10524"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8" width="3.625" style="1"/>
    <col min="10779" max="10779" width="0" style="1" hidden="1" customWidth="1"/>
    <col min="10780"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4" width="3.625" style="1"/>
    <col min="11035" max="11035" width="0" style="1" hidden="1" customWidth="1"/>
    <col min="11036"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0" width="3.625" style="1"/>
    <col min="11291" max="11291" width="0" style="1" hidden="1" customWidth="1"/>
    <col min="11292"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6" width="3.625" style="1"/>
    <col min="11547" max="11547" width="0" style="1" hidden="1" customWidth="1"/>
    <col min="11548"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2" width="3.625" style="1"/>
    <col min="11803" max="11803" width="0" style="1" hidden="1" customWidth="1"/>
    <col min="11804"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8" width="3.625" style="1"/>
    <col min="12059" max="12059" width="0" style="1" hidden="1" customWidth="1"/>
    <col min="12060"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4" width="3.625" style="1"/>
    <col min="12315" max="12315" width="0" style="1" hidden="1" customWidth="1"/>
    <col min="12316"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0" width="3.625" style="1"/>
    <col min="12571" max="12571" width="0" style="1" hidden="1" customWidth="1"/>
    <col min="12572"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6" width="3.625" style="1"/>
    <col min="12827" max="12827" width="0" style="1" hidden="1" customWidth="1"/>
    <col min="12828"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2" width="3.625" style="1"/>
    <col min="13083" max="13083" width="0" style="1" hidden="1" customWidth="1"/>
    <col min="13084"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8" width="3.625" style="1"/>
    <col min="13339" max="13339" width="0" style="1" hidden="1" customWidth="1"/>
    <col min="13340"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4" width="3.625" style="1"/>
    <col min="13595" max="13595" width="0" style="1" hidden="1" customWidth="1"/>
    <col min="13596"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0" width="3.625" style="1"/>
    <col min="13851" max="13851" width="0" style="1" hidden="1" customWidth="1"/>
    <col min="13852"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6" width="3.625" style="1"/>
    <col min="14107" max="14107" width="0" style="1" hidden="1" customWidth="1"/>
    <col min="14108"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2" width="3.625" style="1"/>
    <col min="14363" max="14363" width="0" style="1" hidden="1" customWidth="1"/>
    <col min="14364"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8" width="3.625" style="1"/>
    <col min="14619" max="14619" width="0" style="1" hidden="1" customWidth="1"/>
    <col min="14620"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4" width="3.625" style="1"/>
    <col min="14875" max="14875" width="0" style="1" hidden="1" customWidth="1"/>
    <col min="14876"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0" width="3.625" style="1"/>
    <col min="15131" max="15131" width="0" style="1" hidden="1" customWidth="1"/>
    <col min="15132"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6" width="3.625" style="1"/>
    <col min="15387" max="15387" width="0" style="1" hidden="1" customWidth="1"/>
    <col min="15388"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2" width="3.625" style="1"/>
    <col min="15643" max="15643" width="0" style="1" hidden="1" customWidth="1"/>
    <col min="15644"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8" width="3.625" style="1"/>
    <col min="15899" max="15899" width="0" style="1" hidden="1" customWidth="1"/>
    <col min="15900"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4" width="3.625" style="1"/>
    <col min="16155" max="16155" width="0" style="1" hidden="1" customWidth="1"/>
    <col min="16156" max="16384" width="3.625" style="1"/>
  </cols>
  <sheetData>
    <row r="1" spans="1:27" ht="18.75" customHeight="1">
      <c r="B1" s="305"/>
      <c r="AA1" s="1" t="s">
        <v>256</v>
      </c>
    </row>
    <row r="2" spans="1:27" ht="9" customHeight="1"/>
    <row r="3" spans="1:27" ht="18.75" customHeight="1">
      <c r="A3" s="952" t="s">
        <v>756</v>
      </c>
      <c r="B3" s="952"/>
      <c r="C3" s="952"/>
      <c r="D3" s="952"/>
      <c r="E3" s="952"/>
      <c r="F3" s="952"/>
      <c r="G3" s="952"/>
      <c r="H3" s="952"/>
      <c r="I3" s="952"/>
      <c r="J3" s="952"/>
      <c r="K3" s="952"/>
      <c r="L3" s="952"/>
      <c r="M3" s="952"/>
      <c r="N3" s="952"/>
      <c r="O3" s="952"/>
      <c r="P3" s="952"/>
      <c r="Q3" s="952"/>
      <c r="R3" s="952"/>
      <c r="S3" s="952"/>
      <c r="T3" s="952"/>
      <c r="U3" s="952"/>
      <c r="V3" s="952"/>
      <c r="W3" s="952"/>
      <c r="X3" s="952"/>
      <c r="Y3" s="952"/>
    </row>
    <row r="4" spans="1:27" ht="9" customHeight="1"/>
    <row r="5" spans="1:27" ht="18.75" customHeight="1">
      <c r="N5" s="101" t="s">
        <v>258</v>
      </c>
    </row>
    <row r="6" spans="1:27" ht="18.75" customHeight="1">
      <c r="N6" s="953"/>
      <c r="O6" s="953"/>
      <c r="P6" s="953"/>
      <c r="Q6" s="953"/>
      <c r="R6" s="953"/>
      <c r="S6" s="953"/>
      <c r="T6" s="953"/>
      <c r="U6" s="953"/>
      <c r="V6" s="953"/>
      <c r="W6" s="953"/>
      <c r="X6" s="953"/>
      <c r="Y6" s="953"/>
    </row>
    <row r="7" spans="1:27" ht="18.75" customHeight="1">
      <c r="N7" s="35"/>
      <c r="O7" s="35"/>
      <c r="P7" s="35"/>
      <c r="Q7" s="35"/>
      <c r="R7" s="35"/>
      <c r="S7" s="35"/>
      <c r="T7" s="35"/>
      <c r="U7" s="35"/>
      <c r="V7" s="35"/>
      <c r="W7" s="35"/>
      <c r="X7" s="35"/>
      <c r="Y7" s="35"/>
    </row>
    <row r="8" spans="1:27" ht="15" customHeight="1">
      <c r="C8" s="1405" t="s">
        <v>757</v>
      </c>
      <c r="D8" s="1405"/>
      <c r="E8" s="1405"/>
      <c r="F8" s="1405"/>
      <c r="G8" s="1405"/>
      <c r="H8" s="1405"/>
      <c r="I8" s="1405"/>
      <c r="J8" s="954"/>
      <c r="K8" s="954"/>
      <c r="L8" s="948" t="s">
        <v>260</v>
      </c>
      <c r="M8" s="948"/>
    </row>
    <row r="9" spans="1:27" ht="15" customHeight="1">
      <c r="C9" s="950" t="s">
        <v>758</v>
      </c>
      <c r="D9" s="950"/>
      <c r="E9" s="950"/>
      <c r="F9" s="950"/>
      <c r="G9" s="950"/>
      <c r="H9" s="950"/>
      <c r="I9" s="950"/>
      <c r="J9" s="950"/>
      <c r="K9" s="950"/>
      <c r="L9" s="950"/>
      <c r="M9" s="950"/>
      <c r="N9" s="950"/>
      <c r="O9" s="950"/>
      <c r="P9" s="950"/>
      <c r="Q9" s="950"/>
      <c r="R9" s="950"/>
      <c r="S9" s="950"/>
      <c r="T9" s="950"/>
      <c r="U9" s="950"/>
      <c r="V9" s="950"/>
      <c r="W9" s="950"/>
      <c r="X9" s="950"/>
    </row>
    <row r="10" spans="1:27" ht="15" customHeight="1">
      <c r="C10" s="950"/>
      <c r="D10" s="950"/>
      <c r="E10" s="950"/>
      <c r="F10" s="950"/>
      <c r="G10" s="950"/>
      <c r="H10" s="950"/>
      <c r="I10" s="950"/>
      <c r="J10" s="950"/>
      <c r="K10" s="950"/>
      <c r="L10" s="950"/>
      <c r="M10" s="950"/>
      <c r="N10" s="950"/>
      <c r="O10" s="950"/>
      <c r="P10" s="950"/>
      <c r="Q10" s="950"/>
      <c r="R10" s="950"/>
      <c r="S10" s="950"/>
      <c r="T10" s="950"/>
      <c r="U10" s="950"/>
      <c r="V10" s="950"/>
      <c r="W10" s="950"/>
      <c r="X10" s="950"/>
    </row>
    <row r="11" spans="1:27" ht="30" customHeight="1"/>
    <row r="12" spans="1:27" ht="15" customHeight="1">
      <c r="C12" s="1" t="s">
        <v>262</v>
      </c>
      <c r="H12" s="101"/>
      <c r="I12" s="101"/>
      <c r="J12" s="101"/>
      <c r="K12" s="101"/>
      <c r="L12" s="101"/>
      <c r="M12" s="101"/>
      <c r="N12" s="101"/>
      <c r="O12" s="101"/>
      <c r="P12" s="101"/>
      <c r="Q12" s="101"/>
      <c r="R12" s="101"/>
      <c r="S12" s="101"/>
      <c r="T12" s="34" t="s">
        <v>263</v>
      </c>
      <c r="U12" s="939">
        <f>IF(AND(J8&gt;=1,J8&lt;8),ROUNDDOWN(E18*P18,0),IF(AND(J8&gt;=8,J8&lt;15),ROUNDDOWN(E21*P21,0),IF(AND(J8&gt;=15,J8&lt;22),ROUNDDOWN(E24*P24,0),0)))</f>
        <v>0</v>
      </c>
      <c r="V12" s="939"/>
      <c r="W12" s="939"/>
      <c r="X12" s="939"/>
      <c r="Y12" s="1" t="s">
        <v>264</v>
      </c>
    </row>
    <row r="13" spans="1:27" ht="15" customHeight="1">
      <c r="D13" s="950" t="s">
        <v>759</v>
      </c>
      <c r="E13" s="950"/>
      <c r="F13" s="950"/>
      <c r="G13" s="950"/>
      <c r="H13" s="950"/>
      <c r="I13" s="950"/>
      <c r="J13" s="950"/>
      <c r="K13" s="950"/>
      <c r="L13" s="950"/>
      <c r="M13" s="950"/>
      <c r="N13" s="950"/>
      <c r="O13" s="950"/>
      <c r="P13" s="950"/>
      <c r="Q13" s="950"/>
      <c r="R13" s="950"/>
      <c r="S13" s="950"/>
      <c r="T13" s="950"/>
      <c r="U13" s="950"/>
      <c r="V13" s="950"/>
      <c r="W13" s="950"/>
      <c r="X13" s="950"/>
      <c r="Y13" s="950"/>
    </row>
    <row r="14" spans="1:27" ht="15" customHeight="1">
      <c r="D14" s="950"/>
      <c r="E14" s="950"/>
      <c r="F14" s="950"/>
      <c r="G14" s="950"/>
      <c r="H14" s="950"/>
      <c r="I14" s="950"/>
      <c r="J14" s="950"/>
      <c r="K14" s="950"/>
      <c r="L14" s="950"/>
      <c r="M14" s="950"/>
      <c r="N14" s="950"/>
      <c r="O14" s="950"/>
      <c r="P14" s="950"/>
      <c r="Q14" s="950"/>
      <c r="R14" s="950"/>
      <c r="S14" s="950"/>
      <c r="T14" s="950"/>
      <c r="U14" s="950"/>
      <c r="V14" s="950"/>
      <c r="W14" s="950"/>
      <c r="X14" s="950"/>
      <c r="Y14" s="950"/>
    </row>
    <row r="15" spans="1:27" ht="15" customHeight="1">
      <c r="D15" s="950"/>
      <c r="E15" s="950"/>
      <c r="F15" s="950"/>
      <c r="G15" s="950"/>
      <c r="H15" s="950"/>
      <c r="I15" s="950"/>
      <c r="J15" s="950"/>
      <c r="K15" s="950"/>
      <c r="L15" s="950"/>
      <c r="M15" s="950"/>
      <c r="N15" s="950"/>
      <c r="O15" s="950"/>
      <c r="P15" s="950"/>
      <c r="Q15" s="950"/>
      <c r="R15" s="950"/>
      <c r="S15" s="950"/>
      <c r="T15" s="950"/>
      <c r="U15" s="950"/>
      <c r="V15" s="950"/>
      <c r="W15" s="950"/>
      <c r="X15" s="950"/>
      <c r="Y15" s="950"/>
    </row>
    <row r="16" spans="1:27" ht="15" customHeight="1">
      <c r="I16" s="35"/>
      <c r="J16" s="35"/>
      <c r="T16" s="34"/>
      <c r="U16" s="256"/>
      <c r="V16" s="256"/>
      <c r="W16" s="256"/>
      <c r="X16" s="256"/>
    </row>
    <row r="17" spans="2:25" ht="18" customHeight="1">
      <c r="B17" s="33"/>
      <c r="D17" s="951" t="s">
        <v>266</v>
      </c>
      <c r="E17" s="951"/>
      <c r="F17" s="951"/>
      <c r="G17" s="951"/>
      <c r="H17" s="951"/>
      <c r="I17" s="951"/>
      <c r="J17" s="951"/>
      <c r="K17" s="951"/>
      <c r="L17" s="951"/>
      <c r="M17" s="951"/>
      <c r="N17" s="951"/>
      <c r="O17" s="951"/>
      <c r="P17" s="951"/>
      <c r="Q17" s="951"/>
      <c r="R17" s="951"/>
      <c r="S17" s="951"/>
      <c r="T17" s="951"/>
      <c r="U17" s="62"/>
      <c r="V17" s="62"/>
      <c r="W17" s="62"/>
      <c r="X17" s="62"/>
    </row>
    <row r="18" spans="2:25" ht="18" customHeight="1">
      <c r="B18" s="944"/>
      <c r="C18" s="945"/>
      <c r="D18" s="34"/>
      <c r="E18" s="955">
        <v>5175</v>
      </c>
      <c r="F18" s="943"/>
      <c r="G18" s="943"/>
      <c r="H18" s="1" t="s">
        <v>267</v>
      </c>
      <c r="J18" s="35" t="s">
        <v>268</v>
      </c>
      <c r="K18" s="35"/>
      <c r="L18" s="949" t="s">
        <v>269</v>
      </c>
      <c r="M18" s="949"/>
      <c r="N18" s="949"/>
      <c r="O18" s="949"/>
      <c r="P18" s="948"/>
      <c r="Q18" s="948"/>
      <c r="R18" s="948" t="s">
        <v>270</v>
      </c>
      <c r="S18" s="948"/>
      <c r="T18" s="34"/>
      <c r="U18" s="62"/>
      <c r="V18" s="62"/>
      <c r="W18" s="62"/>
      <c r="X18" s="62"/>
    </row>
    <row r="19" spans="2:25" ht="9" customHeight="1">
      <c r="B19" s="29"/>
      <c r="C19" s="29"/>
      <c r="D19" s="34"/>
      <c r="E19" s="154"/>
      <c r="F19" s="154"/>
      <c r="G19" s="154"/>
      <c r="K19" s="35"/>
      <c r="M19" s="36"/>
      <c r="N19" s="36"/>
      <c r="O19" s="36"/>
      <c r="P19" s="36"/>
      <c r="Q19" s="154"/>
      <c r="R19" s="154"/>
      <c r="T19" s="34"/>
      <c r="U19" s="62"/>
      <c r="V19" s="62"/>
      <c r="W19" s="62"/>
      <c r="X19" s="62"/>
    </row>
    <row r="20" spans="2:25" ht="18" customHeight="1">
      <c r="B20" s="33"/>
      <c r="D20" s="951" t="s">
        <v>271</v>
      </c>
      <c r="E20" s="951"/>
      <c r="F20" s="951"/>
      <c r="G20" s="951"/>
      <c r="H20" s="951"/>
      <c r="I20" s="951"/>
      <c r="J20" s="951"/>
      <c r="K20" s="951"/>
      <c r="L20" s="951"/>
      <c r="M20" s="951"/>
      <c r="N20" s="951"/>
      <c r="O20" s="951"/>
      <c r="P20" s="951"/>
      <c r="Q20" s="951"/>
      <c r="R20" s="951"/>
      <c r="S20" s="951"/>
      <c r="T20" s="951"/>
      <c r="U20" s="62"/>
      <c r="V20" s="62"/>
      <c r="W20" s="62"/>
      <c r="X20" s="62"/>
    </row>
    <row r="21" spans="2:25" ht="18" customHeight="1">
      <c r="B21" s="944"/>
      <c r="C21" s="945"/>
      <c r="D21" s="34"/>
      <c r="E21" s="946">
        <v>5750</v>
      </c>
      <c r="F21" s="947"/>
      <c r="G21" s="947"/>
      <c r="H21" s="1" t="s">
        <v>267</v>
      </c>
      <c r="J21" s="35" t="s">
        <v>268</v>
      </c>
      <c r="K21" s="35"/>
      <c r="L21" s="949" t="s">
        <v>269</v>
      </c>
      <c r="M21" s="949"/>
      <c r="N21" s="949"/>
      <c r="O21" s="949"/>
      <c r="P21" s="948"/>
      <c r="Q21" s="948"/>
      <c r="R21" s="948" t="s">
        <v>270</v>
      </c>
      <c r="S21" s="948"/>
      <c r="T21" s="34"/>
      <c r="U21" s="62"/>
      <c r="V21" s="62"/>
      <c r="W21" s="62"/>
      <c r="X21" s="62"/>
    </row>
    <row r="22" spans="2:25" ht="9" customHeight="1">
      <c r="B22" s="29"/>
      <c r="C22" s="29"/>
      <c r="D22" s="34"/>
      <c r="E22" s="38"/>
      <c r="F22" s="38"/>
      <c r="G22" s="38"/>
      <c r="K22" s="35"/>
      <c r="M22" s="36"/>
      <c r="N22" s="36"/>
      <c r="O22" s="36"/>
      <c r="P22" s="36"/>
      <c r="Q22" s="38"/>
      <c r="R22" s="38"/>
      <c r="T22" s="34"/>
      <c r="U22" s="62"/>
      <c r="V22" s="62"/>
      <c r="W22" s="62"/>
      <c r="X22" s="62"/>
    </row>
    <row r="23" spans="2:25" ht="18" customHeight="1">
      <c r="B23" s="33"/>
      <c r="D23" s="951" t="s">
        <v>272</v>
      </c>
      <c r="E23" s="951"/>
      <c r="F23" s="951"/>
      <c r="G23" s="951"/>
      <c r="H23" s="951"/>
      <c r="I23" s="951"/>
      <c r="J23" s="951"/>
      <c r="K23" s="951"/>
      <c r="L23" s="951"/>
      <c r="M23" s="951"/>
      <c r="N23" s="951"/>
      <c r="O23" s="951"/>
      <c r="P23" s="951"/>
      <c r="Q23" s="951"/>
      <c r="R23" s="951"/>
      <c r="S23" s="951"/>
      <c r="T23" s="951"/>
      <c r="U23" s="62"/>
      <c r="V23" s="62"/>
      <c r="W23" s="62"/>
      <c r="X23" s="62"/>
    </row>
    <row r="24" spans="2:25" ht="18" customHeight="1">
      <c r="B24" s="944"/>
      <c r="C24" s="945"/>
      <c r="D24" s="34"/>
      <c r="E24" s="946">
        <v>6325</v>
      </c>
      <c r="F24" s="947"/>
      <c r="G24" s="947"/>
      <c r="H24" s="1" t="s">
        <v>267</v>
      </c>
      <c r="J24" s="35" t="s">
        <v>268</v>
      </c>
      <c r="K24" s="35"/>
      <c r="L24" s="949" t="s">
        <v>269</v>
      </c>
      <c r="M24" s="949"/>
      <c r="N24" s="949"/>
      <c r="O24" s="949"/>
      <c r="P24" s="948"/>
      <c r="Q24" s="948"/>
      <c r="R24" s="948" t="s">
        <v>270</v>
      </c>
      <c r="S24" s="948"/>
      <c r="T24" s="34"/>
      <c r="U24" s="62"/>
      <c r="V24" s="62"/>
      <c r="W24" s="62"/>
      <c r="X24" s="62"/>
    </row>
    <row r="25" spans="2:25" ht="30" customHeight="1">
      <c r="B25" s="29"/>
      <c r="C25" s="29"/>
      <c r="D25" s="34"/>
      <c r="E25" s="154"/>
      <c r="F25" s="154"/>
      <c r="G25" s="154"/>
      <c r="K25" s="35"/>
      <c r="M25" s="36"/>
      <c r="N25" s="36"/>
      <c r="O25" s="36"/>
      <c r="P25" s="36"/>
      <c r="Q25" s="154"/>
      <c r="R25" s="154"/>
      <c r="T25" s="34"/>
      <c r="U25" s="62"/>
      <c r="V25" s="62"/>
      <c r="W25" s="62"/>
      <c r="X25" s="62"/>
    </row>
    <row r="26" spans="2:25" ht="9" customHeight="1">
      <c r="B26" s="29"/>
      <c r="C26" s="29"/>
      <c r="D26" s="34"/>
      <c r="E26" s="154"/>
      <c r="F26" s="154"/>
      <c r="G26" s="154"/>
      <c r="K26" s="35"/>
      <c r="M26" s="36"/>
      <c r="N26" s="36"/>
      <c r="O26" s="36"/>
      <c r="P26" s="36"/>
      <c r="Q26" s="154"/>
      <c r="R26" s="154"/>
      <c r="T26" s="34"/>
      <c r="U26" s="62"/>
      <c r="V26" s="62"/>
      <c r="W26" s="62"/>
      <c r="X26" s="62"/>
    </row>
    <row r="27" spans="2:25" s="11" customFormat="1" ht="19.5" customHeight="1">
      <c r="B27" s="1"/>
      <c r="C27" s="1" t="s">
        <v>273</v>
      </c>
      <c r="D27" s="34"/>
      <c r="E27" s="62"/>
      <c r="F27" s="1"/>
      <c r="G27" s="1"/>
      <c r="H27" s="1"/>
      <c r="I27" s="1"/>
      <c r="J27" s="1"/>
      <c r="K27" s="1"/>
      <c r="L27" s="937" t="s">
        <v>274</v>
      </c>
      <c r="M27" s="937"/>
      <c r="N27" s="937"/>
      <c r="O27" s="937"/>
      <c r="P27" s="943">
        <v>298000</v>
      </c>
      <c r="Q27" s="943"/>
      <c r="R27" s="943"/>
      <c r="S27" s="1" t="s">
        <v>267</v>
      </c>
      <c r="T27" s="43" t="s">
        <v>263</v>
      </c>
      <c r="U27" s="939">
        <f>IF(D28="○",P27,0)</f>
        <v>0</v>
      </c>
      <c r="V27" s="939"/>
      <c r="W27" s="939"/>
      <c r="X27" s="939"/>
      <c r="Y27" s="11" t="s">
        <v>264</v>
      </c>
    </row>
    <row r="28" spans="2:25" s="11" customFormat="1" ht="19.5" customHeight="1">
      <c r="C28" s="30"/>
      <c r="D28" s="257"/>
      <c r="E28" s="940"/>
      <c r="F28" s="941"/>
      <c r="G28" s="941"/>
      <c r="H28" s="941"/>
      <c r="I28" s="941"/>
      <c r="J28" s="941"/>
      <c r="K28" s="941"/>
      <c r="L28" s="941"/>
      <c r="M28" s="941"/>
      <c r="N28" s="941"/>
      <c r="O28" s="941"/>
      <c r="P28" s="941"/>
      <c r="Q28" s="941"/>
      <c r="R28" s="941"/>
      <c r="S28" s="941"/>
      <c r="T28" s="43"/>
      <c r="U28" s="256"/>
      <c r="V28" s="256"/>
      <c r="W28" s="256"/>
      <c r="X28" s="256"/>
    </row>
    <row r="29" spans="2:25" s="11" customFormat="1" ht="30" customHeight="1">
      <c r="C29" s="30"/>
      <c r="D29" s="956" t="s">
        <v>275</v>
      </c>
      <c r="E29" s="956"/>
      <c r="F29" s="956"/>
      <c r="G29" s="956"/>
      <c r="H29" s="956"/>
      <c r="I29" s="956"/>
      <c r="J29" s="956"/>
      <c r="K29" s="956"/>
      <c r="L29" s="956"/>
      <c r="M29" s="956"/>
      <c r="N29" s="956"/>
      <c r="O29" s="956"/>
      <c r="P29" s="956"/>
      <c r="Q29" s="956"/>
      <c r="R29" s="956"/>
      <c r="S29" s="956"/>
      <c r="T29" s="43"/>
      <c r="U29" s="256"/>
      <c r="V29" s="256"/>
      <c r="W29" s="256"/>
      <c r="X29" s="256"/>
    </row>
    <row r="30" spans="2:25" ht="9" customHeight="1">
      <c r="B30" s="29"/>
      <c r="C30" s="29"/>
      <c r="D30" s="34"/>
      <c r="E30" s="154"/>
      <c r="F30" s="154"/>
      <c r="G30" s="154"/>
      <c r="K30" s="35"/>
      <c r="M30" s="36"/>
      <c r="N30" s="36"/>
      <c r="O30" s="36"/>
      <c r="P30" s="36"/>
      <c r="Q30" s="154"/>
      <c r="R30" s="154"/>
      <c r="T30" s="34"/>
      <c r="U30" s="62"/>
      <c r="V30" s="62"/>
      <c r="W30" s="62"/>
      <c r="X30" s="62"/>
    </row>
    <row r="31" spans="2:25" s="11" customFormat="1" ht="19.5" customHeight="1">
      <c r="B31" s="1"/>
      <c r="C31" s="1" t="s">
        <v>276</v>
      </c>
      <c r="D31" s="34"/>
      <c r="E31" s="62"/>
      <c r="F31" s="1"/>
      <c r="G31" s="1"/>
      <c r="H31" s="1"/>
      <c r="I31" s="1"/>
      <c r="J31" s="1"/>
      <c r="K31" s="1"/>
      <c r="L31" s="1"/>
      <c r="M31" s="1"/>
      <c r="N31" s="937" t="s">
        <v>274</v>
      </c>
      <c r="O31" s="937"/>
      <c r="P31" s="943">
        <v>725500</v>
      </c>
      <c r="Q31" s="943"/>
      <c r="R31" s="943"/>
      <c r="S31" s="1" t="s">
        <v>267</v>
      </c>
      <c r="T31" s="43" t="s">
        <v>263</v>
      </c>
      <c r="U31" s="939">
        <f>IF(D32="○",P31,0)</f>
        <v>0</v>
      </c>
      <c r="V31" s="939"/>
      <c r="W31" s="939"/>
      <c r="X31" s="939"/>
      <c r="Y31" s="11" t="s">
        <v>264</v>
      </c>
    </row>
    <row r="32" spans="2:25" s="11" customFormat="1" ht="19.5" customHeight="1">
      <c r="C32" s="30"/>
      <c r="D32" s="257"/>
      <c r="E32" s="940"/>
      <c r="F32" s="941"/>
      <c r="G32" s="941"/>
      <c r="H32" s="941"/>
      <c r="I32" s="941"/>
      <c r="J32" s="941"/>
      <c r="K32" s="941"/>
      <c r="L32" s="941"/>
      <c r="M32" s="941"/>
      <c r="N32" s="941"/>
      <c r="O32" s="941"/>
      <c r="P32" s="941"/>
      <c r="Q32" s="941"/>
      <c r="R32" s="941"/>
      <c r="S32" s="941"/>
      <c r="T32" s="43"/>
      <c r="U32" s="256"/>
      <c r="V32" s="256"/>
      <c r="W32" s="256"/>
      <c r="X32" s="256"/>
    </row>
    <row r="33" spans="2:25" s="11" customFormat="1" ht="30" customHeight="1">
      <c r="C33" s="30"/>
      <c r="D33" s="942" t="s">
        <v>277</v>
      </c>
      <c r="E33" s="942"/>
      <c r="F33" s="942"/>
      <c r="G33" s="942"/>
      <c r="H33" s="942"/>
      <c r="I33" s="942"/>
      <c r="J33" s="942"/>
      <c r="K33" s="942"/>
      <c r="L33" s="942"/>
      <c r="M33" s="942"/>
      <c r="N33" s="942"/>
      <c r="O33" s="942"/>
      <c r="P33" s="942"/>
      <c r="Q33" s="942"/>
      <c r="R33" s="942"/>
      <c r="S33" s="942"/>
      <c r="T33" s="43"/>
      <c r="U33" s="256"/>
      <c r="V33" s="256"/>
      <c r="W33" s="256"/>
      <c r="X33" s="256"/>
    </row>
    <row r="34" spans="2:25" ht="9" customHeight="1">
      <c r="B34" s="29"/>
      <c r="C34" s="29"/>
      <c r="D34" s="34"/>
      <c r="E34" s="154"/>
      <c r="F34" s="154"/>
      <c r="G34" s="154"/>
      <c r="K34" s="35"/>
      <c r="M34" s="36"/>
      <c r="N34" s="36"/>
      <c r="O34" s="36"/>
      <c r="P34" s="36"/>
      <c r="Q34" s="154"/>
      <c r="R34" s="154"/>
      <c r="T34" s="34"/>
      <c r="U34" s="62"/>
      <c r="V34" s="62"/>
      <c r="W34" s="62"/>
      <c r="X34" s="62"/>
    </row>
    <row r="35" spans="2:25" s="11" customFormat="1" ht="19.5" customHeight="1">
      <c r="B35" s="1"/>
      <c r="C35" s="1" t="s">
        <v>278</v>
      </c>
      <c r="D35" s="34"/>
      <c r="E35" s="62"/>
      <c r="F35" s="1"/>
      <c r="G35" s="1"/>
      <c r="H35" s="1"/>
      <c r="I35" s="1"/>
      <c r="J35" s="1"/>
      <c r="K35" s="1"/>
      <c r="L35" s="1"/>
      <c r="M35" s="1"/>
      <c r="N35" s="937" t="s">
        <v>274</v>
      </c>
      <c r="O35" s="937"/>
      <c r="P35" s="943">
        <v>104000</v>
      </c>
      <c r="Q35" s="943"/>
      <c r="R35" s="943"/>
      <c r="S35" s="1" t="s">
        <v>267</v>
      </c>
      <c r="T35" s="43" t="s">
        <v>263</v>
      </c>
      <c r="U35" s="939">
        <f>IF(D36="○",P35,0)</f>
        <v>0</v>
      </c>
      <c r="V35" s="939"/>
      <c r="W35" s="939"/>
      <c r="X35" s="939"/>
      <c r="Y35" s="11" t="s">
        <v>264</v>
      </c>
    </row>
    <row r="36" spans="2:25" s="11" customFormat="1" ht="19.5" customHeight="1">
      <c r="C36" s="30"/>
      <c r="D36" s="257"/>
      <c r="E36" s="940"/>
      <c r="F36" s="941"/>
      <c r="G36" s="941"/>
      <c r="H36" s="941"/>
      <c r="I36" s="941"/>
      <c r="J36" s="941"/>
      <c r="K36" s="941"/>
      <c r="L36" s="941"/>
      <c r="M36" s="941"/>
      <c r="N36" s="941"/>
      <c r="O36" s="941"/>
      <c r="P36" s="941"/>
      <c r="Q36" s="941"/>
      <c r="R36" s="941"/>
      <c r="S36" s="941"/>
      <c r="T36" s="43"/>
      <c r="U36" s="256"/>
      <c r="V36" s="256"/>
      <c r="W36" s="256"/>
      <c r="X36" s="256"/>
    </row>
    <row r="37" spans="2:25" s="11" customFormat="1" ht="30" customHeight="1">
      <c r="C37" s="30"/>
      <c r="D37" s="942" t="s">
        <v>279</v>
      </c>
      <c r="E37" s="942"/>
      <c r="F37" s="942"/>
      <c r="G37" s="942"/>
      <c r="H37" s="942"/>
      <c r="I37" s="942"/>
      <c r="J37" s="942"/>
      <c r="K37" s="942"/>
      <c r="L37" s="942"/>
      <c r="M37" s="942"/>
      <c r="N37" s="942"/>
      <c r="O37" s="942"/>
      <c r="P37" s="942"/>
      <c r="Q37" s="942"/>
      <c r="R37" s="942"/>
      <c r="S37" s="942"/>
      <c r="T37" s="43"/>
      <c r="U37" s="256"/>
      <c r="V37" s="256"/>
      <c r="W37" s="256"/>
      <c r="X37" s="256"/>
    </row>
    <row r="38" spans="2:25" ht="9" customHeight="1">
      <c r="B38" s="29"/>
      <c r="C38" s="29"/>
      <c r="D38" s="34"/>
      <c r="E38" s="154"/>
      <c r="F38" s="154"/>
      <c r="G38" s="154"/>
      <c r="K38" s="35"/>
      <c r="M38" s="36"/>
      <c r="N38" s="36"/>
      <c r="O38" s="36"/>
      <c r="P38" s="36"/>
      <c r="Q38" s="154"/>
      <c r="R38" s="154"/>
      <c r="T38" s="34"/>
      <c r="U38" s="62"/>
      <c r="V38" s="62"/>
      <c r="W38" s="62"/>
      <c r="X38" s="62"/>
    </row>
    <row r="39" spans="2:25" s="11" customFormat="1" ht="19.5" customHeight="1">
      <c r="B39" s="1"/>
      <c r="C39" s="1" t="s">
        <v>280</v>
      </c>
      <c r="D39" s="34"/>
      <c r="E39" s="62"/>
      <c r="F39" s="1"/>
      <c r="G39" s="1"/>
      <c r="H39" s="1"/>
      <c r="I39" s="1"/>
      <c r="J39" s="1"/>
      <c r="K39" s="1"/>
      <c r="L39" s="1"/>
      <c r="M39" s="1"/>
      <c r="N39" s="937" t="s">
        <v>274</v>
      </c>
      <c r="O39" s="937"/>
      <c r="P39" s="943">
        <v>187000</v>
      </c>
      <c r="Q39" s="943"/>
      <c r="R39" s="943"/>
      <c r="S39" s="1" t="s">
        <v>267</v>
      </c>
      <c r="T39" s="43" t="s">
        <v>263</v>
      </c>
      <c r="U39" s="939">
        <f>IF(D40="○",P39,0)</f>
        <v>0</v>
      </c>
      <c r="V39" s="939"/>
      <c r="W39" s="939"/>
      <c r="X39" s="939"/>
      <c r="Y39" s="11" t="s">
        <v>264</v>
      </c>
    </row>
    <row r="40" spans="2:25" s="11" customFormat="1" ht="19.5" customHeight="1">
      <c r="C40" s="30"/>
      <c r="D40" s="257"/>
      <c r="E40" s="940"/>
      <c r="F40" s="941"/>
      <c r="G40" s="941"/>
      <c r="H40" s="941"/>
      <c r="I40" s="941"/>
      <c r="J40" s="941"/>
      <c r="K40" s="941"/>
      <c r="L40" s="941"/>
      <c r="M40" s="941"/>
      <c r="N40" s="941"/>
      <c r="O40" s="941"/>
      <c r="P40" s="941"/>
      <c r="Q40" s="941"/>
      <c r="R40" s="941"/>
      <c r="S40" s="941"/>
      <c r="T40" s="43"/>
      <c r="U40" s="256"/>
      <c r="V40" s="256"/>
      <c r="W40" s="256"/>
      <c r="X40" s="256"/>
    </row>
    <row r="41" spans="2:25" s="11" customFormat="1" ht="30" customHeight="1">
      <c r="C41" s="30"/>
      <c r="D41" s="942" t="s">
        <v>281</v>
      </c>
      <c r="E41" s="942"/>
      <c r="F41" s="942"/>
      <c r="G41" s="942"/>
      <c r="H41" s="942"/>
      <c r="I41" s="942"/>
      <c r="J41" s="942"/>
      <c r="K41" s="942"/>
      <c r="L41" s="942"/>
      <c r="M41" s="942"/>
      <c r="N41" s="942"/>
      <c r="O41" s="942"/>
      <c r="P41" s="942"/>
      <c r="Q41" s="942"/>
      <c r="R41" s="942"/>
      <c r="S41" s="942"/>
      <c r="T41" s="43"/>
      <c r="U41" s="256"/>
      <c r="V41" s="256"/>
      <c r="W41" s="256"/>
      <c r="X41" s="256"/>
    </row>
    <row r="42" spans="2:25" s="11" customFormat="1" ht="19.5" customHeight="1">
      <c r="B42" s="1"/>
      <c r="C42" s="1" t="s">
        <v>282</v>
      </c>
      <c r="D42" s="34"/>
      <c r="E42" s="62"/>
      <c r="F42" s="1"/>
      <c r="G42" s="1"/>
      <c r="H42" s="1"/>
      <c r="I42" s="1"/>
      <c r="J42" s="1"/>
      <c r="K42" s="1"/>
      <c r="L42" s="1"/>
      <c r="M42" s="1"/>
      <c r="N42" s="937" t="s">
        <v>283</v>
      </c>
      <c r="O42" s="937"/>
      <c r="P42" s="937"/>
      <c r="Q42" s="938">
        <v>11800</v>
      </c>
      <c r="R42" s="938"/>
      <c r="S42" s="1" t="s">
        <v>267</v>
      </c>
      <c r="T42" s="43" t="s">
        <v>263</v>
      </c>
      <c r="U42" s="939">
        <f>IF(D43="○",Q42*H43,0)</f>
        <v>0</v>
      </c>
      <c r="V42" s="939"/>
      <c r="W42" s="939"/>
      <c r="X42" s="939"/>
      <c r="Y42" s="11" t="s">
        <v>264</v>
      </c>
    </row>
    <row r="43" spans="2:25" s="11" customFormat="1" ht="19.5" customHeight="1">
      <c r="C43" s="30"/>
      <c r="D43" s="257"/>
      <c r="E43" s="957" t="s">
        <v>284</v>
      </c>
      <c r="F43" s="958"/>
      <c r="G43" s="958"/>
      <c r="H43" s="959"/>
      <c r="I43" s="959"/>
      <c r="J43" s="29" t="s">
        <v>285</v>
      </c>
      <c r="K43" s="258"/>
      <c r="L43" s="258"/>
      <c r="M43" s="258"/>
      <c r="N43" s="258"/>
      <c r="O43" s="258"/>
      <c r="P43" s="258"/>
      <c r="Q43" s="258"/>
      <c r="R43" s="258"/>
      <c r="S43" s="258"/>
      <c r="T43" s="43"/>
      <c r="U43" s="256"/>
      <c r="V43" s="256"/>
      <c r="W43" s="256"/>
      <c r="X43" s="256"/>
    </row>
    <row r="44" spans="2:25" s="11" customFormat="1" ht="40.5" customHeight="1">
      <c r="C44" s="30"/>
      <c r="D44" s="942" t="s">
        <v>760</v>
      </c>
      <c r="E44" s="942"/>
      <c r="F44" s="942"/>
      <c r="G44" s="942"/>
      <c r="H44" s="942"/>
      <c r="I44" s="942"/>
      <c r="J44" s="942"/>
      <c r="K44" s="942"/>
      <c r="L44" s="942"/>
      <c r="M44" s="942"/>
      <c r="N44" s="942"/>
      <c r="O44" s="942"/>
      <c r="P44" s="942"/>
      <c r="Q44" s="942"/>
      <c r="R44" s="942"/>
      <c r="S44" s="942"/>
      <c r="T44" s="43"/>
      <c r="U44" s="256"/>
      <c r="V44" s="256"/>
      <c r="W44" s="256"/>
      <c r="X44" s="256"/>
    </row>
    <row r="45" spans="2:25" ht="9" customHeight="1">
      <c r="B45" s="195"/>
      <c r="C45" s="195"/>
      <c r="D45" s="34"/>
      <c r="E45" s="154"/>
      <c r="F45" s="154"/>
      <c r="G45" s="154"/>
      <c r="K45" s="35"/>
      <c r="Q45" s="154"/>
      <c r="R45" s="154"/>
      <c r="T45" s="34"/>
      <c r="U45" s="62"/>
      <c r="V45" s="62"/>
      <c r="W45" s="62"/>
      <c r="X45" s="62"/>
    </row>
    <row r="46" spans="2:25" ht="19.5" customHeight="1">
      <c r="B46" s="37"/>
      <c r="C46" s="37"/>
      <c r="D46" s="37"/>
      <c r="E46" s="37"/>
      <c r="F46" s="37"/>
      <c r="G46" s="37"/>
      <c r="H46" s="37"/>
      <c r="I46" s="37"/>
      <c r="J46" s="37"/>
      <c r="K46" s="37"/>
      <c r="L46" s="37"/>
      <c r="M46" s="37"/>
      <c r="N46" s="37"/>
      <c r="O46" s="37"/>
      <c r="P46" s="960" t="s">
        <v>287</v>
      </c>
      <c r="Q46" s="960"/>
      <c r="R46" s="960"/>
      <c r="S46" s="960"/>
      <c r="T46" s="43" t="s">
        <v>263</v>
      </c>
      <c r="U46" s="961">
        <f>SUM(U12,U27,U31,U35,U39,U42)</f>
        <v>0</v>
      </c>
      <c r="V46" s="962"/>
      <c r="W46" s="962"/>
      <c r="X46" s="962"/>
      <c r="Y46" s="11" t="s">
        <v>264</v>
      </c>
    </row>
    <row r="47" spans="2:25" ht="9" customHeight="1">
      <c r="B47" s="29"/>
      <c r="C47" s="29"/>
      <c r="D47" s="34"/>
      <c r="E47" s="154"/>
      <c r="F47" s="154"/>
      <c r="G47" s="154"/>
      <c r="K47" s="35"/>
      <c r="M47" s="36"/>
      <c r="N47" s="36"/>
      <c r="O47" s="36"/>
      <c r="P47" s="36"/>
      <c r="Q47" s="154"/>
      <c r="R47" s="154"/>
      <c r="T47" s="34"/>
      <c r="U47" s="62"/>
      <c r="V47" s="62"/>
      <c r="W47" s="62"/>
      <c r="X47" s="62"/>
    </row>
    <row r="48" spans="2:25" ht="15.75" customHeight="1">
      <c r="B48" s="213" t="s">
        <v>288</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row>
    <row r="49" spans="2:25" ht="11.1" customHeight="1">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row>
    <row r="50" spans="2:25" ht="11.25" customHeight="1">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row>
  </sheetData>
  <dataConsolidate/>
  <mergeCells count="54">
    <mergeCell ref="P46:S46"/>
    <mergeCell ref="U46:X46"/>
    <mergeCell ref="N42:P42"/>
    <mergeCell ref="Q42:R42"/>
    <mergeCell ref="U42:X42"/>
    <mergeCell ref="E43:G43"/>
    <mergeCell ref="H43:I43"/>
    <mergeCell ref="D44:S44"/>
    <mergeCell ref="D37:S37"/>
    <mergeCell ref="N39:O39"/>
    <mergeCell ref="P39:R39"/>
    <mergeCell ref="U39:X39"/>
    <mergeCell ref="E40:S40"/>
    <mergeCell ref="D41:S41"/>
    <mergeCell ref="E32:S32"/>
    <mergeCell ref="D33:S33"/>
    <mergeCell ref="N35:O35"/>
    <mergeCell ref="P35:R35"/>
    <mergeCell ref="U35:X35"/>
    <mergeCell ref="E36:S36"/>
    <mergeCell ref="N31:O31"/>
    <mergeCell ref="P31:R31"/>
    <mergeCell ref="U31:X31"/>
    <mergeCell ref="D23:T23"/>
    <mergeCell ref="B24:C24"/>
    <mergeCell ref="E24:G24"/>
    <mergeCell ref="L24:O24"/>
    <mergeCell ref="P24:Q24"/>
    <mergeCell ref="R24:S24"/>
    <mergeCell ref="L27:O27"/>
    <mergeCell ref="P27:R27"/>
    <mergeCell ref="U27:X27"/>
    <mergeCell ref="E28:S28"/>
    <mergeCell ref="D29:S29"/>
    <mergeCell ref="D20:T20"/>
    <mergeCell ref="B21:C21"/>
    <mergeCell ref="E21:G21"/>
    <mergeCell ref="L21:O21"/>
    <mergeCell ref="P21:Q21"/>
    <mergeCell ref="R21:S21"/>
    <mergeCell ref="U12:X12"/>
    <mergeCell ref="D13:Y15"/>
    <mergeCell ref="D17:T17"/>
    <mergeCell ref="B18:C18"/>
    <mergeCell ref="E18:G18"/>
    <mergeCell ref="L18:O18"/>
    <mergeCell ref="P18:Q18"/>
    <mergeCell ref="R18:S18"/>
    <mergeCell ref="C9:X10"/>
    <mergeCell ref="A3:Y3"/>
    <mergeCell ref="N6:Y6"/>
    <mergeCell ref="C8:I8"/>
    <mergeCell ref="J8:K8"/>
    <mergeCell ref="L8:M8"/>
  </mergeCells>
  <phoneticPr fontId="4"/>
  <conditionalFormatting sqref="P18:Q18">
    <cfRule type="expression" dxfId="65" priority="3" stopIfTrue="1">
      <formula>AND($J$8&gt;=1,$J$8&lt;8)</formula>
    </cfRule>
  </conditionalFormatting>
  <conditionalFormatting sqref="P21:Q21">
    <cfRule type="expression" dxfId="64" priority="2" stopIfTrue="1">
      <formula>AND($J$8&gt;=8,$J$8&lt;15)</formula>
    </cfRule>
  </conditionalFormatting>
  <conditionalFormatting sqref="P24:Q24">
    <cfRule type="expression" dxfId="63" priority="1" stopIfTrue="1">
      <formula>AND($J$8&gt;=15,$J$8&lt;22)</formula>
    </cfRule>
  </conditionalFormatting>
  <dataValidations count="1">
    <dataValidation type="list" allowBlank="1" showInputMessage="1" showErrorMessage="1" sqref="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xr:uid="{00000000-0002-0000-1D00-000000000000}">
      <formula1>$AA$1:$AA$2</formula1>
    </dataValidation>
  </dataValidations>
  <printOptions horizontalCentered="1"/>
  <pageMargins left="0.39370078740157483" right="0.31496062992125984" top="0.39370078740157483" bottom="0.19685039370078741" header="0.31496062992125984" footer="0.31496062992125984"/>
  <pageSetup paperSize="9" scale="98"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119A-C2D9-4C1E-AD4A-7EE1369BE4DB}">
  <sheetPr>
    <tabColor rgb="FFFFC000"/>
    <pageSetUpPr fitToPage="1"/>
  </sheetPr>
  <dimension ref="A1:AA45"/>
  <sheetViews>
    <sheetView view="pageBreakPreview" zoomScale="70" zoomScaleNormal="55" zoomScaleSheetLayoutView="70" workbookViewId="0"/>
  </sheetViews>
  <sheetFormatPr defaultRowHeight="12"/>
  <cols>
    <col min="1" max="2" width="10.625" style="18" customWidth="1"/>
    <col min="3" max="3" width="9.375" style="18" customWidth="1"/>
    <col min="4" max="17" width="10.625" style="18" customWidth="1"/>
    <col min="18" max="19" width="10.625" style="251" customWidth="1"/>
    <col min="20" max="23" width="10.625" style="18" customWidth="1"/>
    <col min="24" max="27" width="6.625" style="18" customWidth="1"/>
    <col min="28" max="256" width="9" style="18"/>
    <col min="257" max="258" width="10.625" style="18" customWidth="1"/>
    <col min="259" max="259" width="9.375" style="18" customWidth="1"/>
    <col min="260" max="279" width="10.625" style="18" customWidth="1"/>
    <col min="280" max="283" width="6.625" style="18" customWidth="1"/>
    <col min="284" max="512" width="9" style="18"/>
    <col min="513" max="514" width="10.625" style="18" customWidth="1"/>
    <col min="515" max="515" width="9.375" style="18" customWidth="1"/>
    <col min="516" max="535" width="10.625" style="18" customWidth="1"/>
    <col min="536" max="539" width="6.625" style="18" customWidth="1"/>
    <col min="540" max="768" width="9" style="18"/>
    <col min="769" max="770" width="10.625" style="18" customWidth="1"/>
    <col min="771" max="771" width="9.375" style="18" customWidth="1"/>
    <col min="772" max="791" width="10.625" style="18" customWidth="1"/>
    <col min="792" max="795" width="6.625" style="18" customWidth="1"/>
    <col min="796" max="1024" width="9" style="18"/>
    <col min="1025" max="1026" width="10.625" style="18" customWidth="1"/>
    <col min="1027" max="1027" width="9.375" style="18" customWidth="1"/>
    <col min="1028" max="1047" width="10.625" style="18" customWidth="1"/>
    <col min="1048" max="1051" width="6.625" style="18" customWidth="1"/>
    <col min="1052" max="1280" width="9" style="18"/>
    <col min="1281" max="1282" width="10.625" style="18" customWidth="1"/>
    <col min="1283" max="1283" width="9.375" style="18" customWidth="1"/>
    <col min="1284" max="1303" width="10.625" style="18" customWidth="1"/>
    <col min="1304" max="1307" width="6.625" style="18" customWidth="1"/>
    <col min="1308" max="1536" width="9" style="18"/>
    <col min="1537" max="1538" width="10.625" style="18" customWidth="1"/>
    <col min="1539" max="1539" width="9.375" style="18" customWidth="1"/>
    <col min="1540" max="1559" width="10.625" style="18" customWidth="1"/>
    <col min="1560" max="1563" width="6.625" style="18" customWidth="1"/>
    <col min="1564" max="1792" width="9" style="18"/>
    <col min="1793" max="1794" width="10.625" style="18" customWidth="1"/>
    <col min="1795" max="1795" width="9.375" style="18" customWidth="1"/>
    <col min="1796" max="1815" width="10.625" style="18" customWidth="1"/>
    <col min="1816" max="1819" width="6.625" style="18" customWidth="1"/>
    <col min="1820" max="2048" width="9" style="18"/>
    <col min="2049" max="2050" width="10.625" style="18" customWidth="1"/>
    <col min="2051" max="2051" width="9.375" style="18" customWidth="1"/>
    <col min="2052" max="2071" width="10.625" style="18" customWidth="1"/>
    <col min="2072" max="2075" width="6.625" style="18" customWidth="1"/>
    <col min="2076" max="2304" width="9" style="18"/>
    <col min="2305" max="2306" width="10.625" style="18" customWidth="1"/>
    <col min="2307" max="2307" width="9.375" style="18" customWidth="1"/>
    <col min="2308" max="2327" width="10.625" style="18" customWidth="1"/>
    <col min="2328" max="2331" width="6.625" style="18" customWidth="1"/>
    <col min="2332" max="2560" width="9" style="18"/>
    <col min="2561" max="2562" width="10.625" style="18" customWidth="1"/>
    <col min="2563" max="2563" width="9.375" style="18" customWidth="1"/>
    <col min="2564" max="2583" width="10.625" style="18" customWidth="1"/>
    <col min="2584" max="2587" width="6.625" style="18" customWidth="1"/>
    <col min="2588" max="2816" width="9" style="18"/>
    <col min="2817" max="2818" width="10.625" style="18" customWidth="1"/>
    <col min="2819" max="2819" width="9.375" style="18" customWidth="1"/>
    <col min="2820" max="2839" width="10.625" style="18" customWidth="1"/>
    <col min="2840" max="2843" width="6.625" style="18" customWidth="1"/>
    <col min="2844" max="3072" width="9" style="18"/>
    <col min="3073" max="3074" width="10.625" style="18" customWidth="1"/>
    <col min="3075" max="3075" width="9.375" style="18" customWidth="1"/>
    <col min="3076" max="3095" width="10.625" style="18" customWidth="1"/>
    <col min="3096" max="3099" width="6.625" style="18" customWidth="1"/>
    <col min="3100" max="3328" width="9" style="18"/>
    <col min="3329" max="3330" width="10.625" style="18" customWidth="1"/>
    <col min="3331" max="3331" width="9.375" style="18" customWidth="1"/>
    <col min="3332" max="3351" width="10.625" style="18" customWidth="1"/>
    <col min="3352" max="3355" width="6.625" style="18" customWidth="1"/>
    <col min="3356" max="3584" width="9" style="18"/>
    <col min="3585" max="3586" width="10.625" style="18" customWidth="1"/>
    <col min="3587" max="3587" width="9.375" style="18" customWidth="1"/>
    <col min="3588" max="3607" width="10.625" style="18" customWidth="1"/>
    <col min="3608" max="3611" width="6.625" style="18" customWidth="1"/>
    <col min="3612" max="3840" width="9" style="18"/>
    <col min="3841" max="3842" width="10.625" style="18" customWidth="1"/>
    <col min="3843" max="3843" width="9.375" style="18" customWidth="1"/>
    <col min="3844" max="3863" width="10.625" style="18" customWidth="1"/>
    <col min="3864" max="3867" width="6.625" style="18" customWidth="1"/>
    <col min="3868" max="4096" width="9" style="18"/>
    <col min="4097" max="4098" width="10.625" style="18" customWidth="1"/>
    <col min="4099" max="4099" width="9.375" style="18" customWidth="1"/>
    <col min="4100" max="4119" width="10.625" style="18" customWidth="1"/>
    <col min="4120" max="4123" width="6.625" style="18" customWidth="1"/>
    <col min="4124" max="4352" width="9" style="18"/>
    <col min="4353" max="4354" width="10.625" style="18" customWidth="1"/>
    <col min="4355" max="4355" width="9.375" style="18" customWidth="1"/>
    <col min="4356" max="4375" width="10.625" style="18" customWidth="1"/>
    <col min="4376" max="4379" width="6.625" style="18" customWidth="1"/>
    <col min="4380" max="4608" width="9" style="18"/>
    <col min="4609" max="4610" width="10.625" style="18" customWidth="1"/>
    <col min="4611" max="4611" width="9.375" style="18" customWidth="1"/>
    <col min="4612" max="4631" width="10.625" style="18" customWidth="1"/>
    <col min="4632" max="4635" width="6.625" style="18" customWidth="1"/>
    <col min="4636" max="4864" width="9" style="18"/>
    <col min="4865" max="4866" width="10.625" style="18" customWidth="1"/>
    <col min="4867" max="4867" width="9.375" style="18" customWidth="1"/>
    <col min="4868" max="4887" width="10.625" style="18" customWidth="1"/>
    <col min="4888" max="4891" width="6.625" style="18" customWidth="1"/>
    <col min="4892" max="5120" width="9" style="18"/>
    <col min="5121" max="5122" width="10.625" style="18" customWidth="1"/>
    <col min="5123" max="5123" width="9.375" style="18" customWidth="1"/>
    <col min="5124" max="5143" width="10.625" style="18" customWidth="1"/>
    <col min="5144" max="5147" width="6.625" style="18" customWidth="1"/>
    <col min="5148" max="5376" width="9" style="18"/>
    <col min="5377" max="5378" width="10.625" style="18" customWidth="1"/>
    <col min="5379" max="5379" width="9.375" style="18" customWidth="1"/>
    <col min="5380" max="5399" width="10.625" style="18" customWidth="1"/>
    <col min="5400" max="5403" width="6.625" style="18" customWidth="1"/>
    <col min="5404" max="5632" width="9" style="18"/>
    <col min="5633" max="5634" width="10.625" style="18" customWidth="1"/>
    <col min="5635" max="5635" width="9.375" style="18" customWidth="1"/>
    <col min="5636" max="5655" width="10.625" style="18" customWidth="1"/>
    <col min="5656" max="5659" width="6.625" style="18" customWidth="1"/>
    <col min="5660" max="5888" width="9" style="18"/>
    <col min="5889" max="5890" width="10.625" style="18" customWidth="1"/>
    <col min="5891" max="5891" width="9.375" style="18" customWidth="1"/>
    <col min="5892" max="5911" width="10.625" style="18" customWidth="1"/>
    <col min="5912" max="5915" width="6.625" style="18" customWidth="1"/>
    <col min="5916" max="6144" width="9" style="18"/>
    <col min="6145" max="6146" width="10.625" style="18" customWidth="1"/>
    <col min="6147" max="6147" width="9.375" style="18" customWidth="1"/>
    <col min="6148" max="6167" width="10.625" style="18" customWidth="1"/>
    <col min="6168" max="6171" width="6.625" style="18" customWidth="1"/>
    <col min="6172" max="6400" width="9" style="18"/>
    <col min="6401" max="6402" width="10.625" style="18" customWidth="1"/>
    <col min="6403" max="6403" width="9.375" style="18" customWidth="1"/>
    <col min="6404" max="6423" width="10.625" style="18" customWidth="1"/>
    <col min="6424" max="6427" width="6.625" style="18" customWidth="1"/>
    <col min="6428" max="6656" width="9" style="18"/>
    <col min="6657" max="6658" width="10.625" style="18" customWidth="1"/>
    <col min="6659" max="6659" width="9.375" style="18" customWidth="1"/>
    <col min="6660" max="6679" width="10.625" style="18" customWidth="1"/>
    <col min="6680" max="6683" width="6.625" style="18" customWidth="1"/>
    <col min="6684" max="6912" width="9" style="18"/>
    <col min="6913" max="6914" width="10.625" style="18" customWidth="1"/>
    <col min="6915" max="6915" width="9.375" style="18" customWidth="1"/>
    <col min="6916" max="6935" width="10.625" style="18" customWidth="1"/>
    <col min="6936" max="6939" width="6.625" style="18" customWidth="1"/>
    <col min="6940" max="7168" width="9" style="18"/>
    <col min="7169" max="7170" width="10.625" style="18" customWidth="1"/>
    <col min="7171" max="7171" width="9.375" style="18" customWidth="1"/>
    <col min="7172" max="7191" width="10.625" style="18" customWidth="1"/>
    <col min="7192" max="7195" width="6.625" style="18" customWidth="1"/>
    <col min="7196" max="7424" width="9" style="18"/>
    <col min="7425" max="7426" width="10.625" style="18" customWidth="1"/>
    <col min="7427" max="7427" width="9.375" style="18" customWidth="1"/>
    <col min="7428" max="7447" width="10.625" style="18" customWidth="1"/>
    <col min="7448" max="7451" width="6.625" style="18" customWidth="1"/>
    <col min="7452" max="7680" width="9" style="18"/>
    <col min="7681" max="7682" width="10.625" style="18" customWidth="1"/>
    <col min="7683" max="7683" width="9.375" style="18" customWidth="1"/>
    <col min="7684" max="7703" width="10.625" style="18" customWidth="1"/>
    <col min="7704" max="7707" width="6.625" style="18" customWidth="1"/>
    <col min="7708" max="7936" width="9" style="18"/>
    <col min="7937" max="7938" width="10.625" style="18" customWidth="1"/>
    <col min="7939" max="7939" width="9.375" style="18" customWidth="1"/>
    <col min="7940" max="7959" width="10.625" style="18" customWidth="1"/>
    <col min="7960" max="7963" width="6.625" style="18" customWidth="1"/>
    <col min="7964" max="8192" width="9" style="18"/>
    <col min="8193" max="8194" width="10.625" style="18" customWidth="1"/>
    <col min="8195" max="8195" width="9.375" style="18" customWidth="1"/>
    <col min="8196" max="8215" width="10.625" style="18" customWidth="1"/>
    <col min="8216" max="8219" width="6.625" style="18" customWidth="1"/>
    <col min="8220" max="8448" width="9" style="18"/>
    <col min="8449" max="8450" width="10.625" style="18" customWidth="1"/>
    <col min="8451" max="8451" width="9.375" style="18" customWidth="1"/>
    <col min="8452" max="8471" width="10.625" style="18" customWidth="1"/>
    <col min="8472" max="8475" width="6.625" style="18" customWidth="1"/>
    <col min="8476" max="8704" width="9" style="18"/>
    <col min="8705" max="8706" width="10.625" style="18" customWidth="1"/>
    <col min="8707" max="8707" width="9.375" style="18" customWidth="1"/>
    <col min="8708" max="8727" width="10.625" style="18" customWidth="1"/>
    <col min="8728" max="8731" width="6.625" style="18" customWidth="1"/>
    <col min="8732" max="8960" width="9" style="18"/>
    <col min="8961" max="8962" width="10.625" style="18" customWidth="1"/>
    <col min="8963" max="8963" width="9.375" style="18" customWidth="1"/>
    <col min="8964" max="8983" width="10.625" style="18" customWidth="1"/>
    <col min="8984" max="8987" width="6.625" style="18" customWidth="1"/>
    <col min="8988" max="9216" width="9" style="18"/>
    <col min="9217" max="9218" width="10.625" style="18" customWidth="1"/>
    <col min="9219" max="9219" width="9.375" style="18" customWidth="1"/>
    <col min="9220" max="9239" width="10.625" style="18" customWidth="1"/>
    <col min="9240" max="9243" width="6.625" style="18" customWidth="1"/>
    <col min="9244" max="9472" width="9" style="18"/>
    <col min="9473" max="9474" width="10.625" style="18" customWidth="1"/>
    <col min="9475" max="9475" width="9.375" style="18" customWidth="1"/>
    <col min="9476" max="9495" width="10.625" style="18" customWidth="1"/>
    <col min="9496" max="9499" width="6.625" style="18" customWidth="1"/>
    <col min="9500" max="9728" width="9" style="18"/>
    <col min="9729" max="9730" width="10.625" style="18" customWidth="1"/>
    <col min="9731" max="9731" width="9.375" style="18" customWidth="1"/>
    <col min="9732" max="9751" width="10.625" style="18" customWidth="1"/>
    <col min="9752" max="9755" width="6.625" style="18" customWidth="1"/>
    <col min="9756" max="9984" width="9" style="18"/>
    <col min="9985" max="9986" width="10.625" style="18" customWidth="1"/>
    <col min="9987" max="9987" width="9.375" style="18" customWidth="1"/>
    <col min="9988" max="10007" width="10.625" style="18" customWidth="1"/>
    <col min="10008" max="10011" width="6.625" style="18" customWidth="1"/>
    <col min="10012" max="10240" width="9" style="18"/>
    <col min="10241" max="10242" width="10.625" style="18" customWidth="1"/>
    <col min="10243" max="10243" width="9.375" style="18" customWidth="1"/>
    <col min="10244" max="10263" width="10.625" style="18" customWidth="1"/>
    <col min="10264" max="10267" width="6.625" style="18" customWidth="1"/>
    <col min="10268" max="10496" width="9" style="18"/>
    <col min="10497" max="10498" width="10.625" style="18" customWidth="1"/>
    <col min="10499" max="10499" width="9.375" style="18" customWidth="1"/>
    <col min="10500" max="10519" width="10.625" style="18" customWidth="1"/>
    <col min="10520" max="10523" width="6.625" style="18" customWidth="1"/>
    <col min="10524" max="10752" width="9" style="18"/>
    <col min="10753" max="10754" width="10.625" style="18" customWidth="1"/>
    <col min="10755" max="10755" width="9.375" style="18" customWidth="1"/>
    <col min="10756" max="10775" width="10.625" style="18" customWidth="1"/>
    <col min="10776" max="10779" width="6.625" style="18" customWidth="1"/>
    <col min="10780" max="11008" width="9" style="18"/>
    <col min="11009" max="11010" width="10.625" style="18" customWidth="1"/>
    <col min="11011" max="11011" width="9.375" style="18" customWidth="1"/>
    <col min="11012" max="11031" width="10.625" style="18" customWidth="1"/>
    <col min="11032" max="11035" width="6.625" style="18" customWidth="1"/>
    <col min="11036" max="11264" width="9" style="18"/>
    <col min="11265" max="11266" width="10.625" style="18" customWidth="1"/>
    <col min="11267" max="11267" width="9.375" style="18" customWidth="1"/>
    <col min="11268" max="11287" width="10.625" style="18" customWidth="1"/>
    <col min="11288" max="11291" width="6.625" style="18" customWidth="1"/>
    <col min="11292" max="11520" width="9" style="18"/>
    <col min="11521" max="11522" width="10.625" style="18" customWidth="1"/>
    <col min="11523" max="11523" width="9.375" style="18" customWidth="1"/>
    <col min="11524" max="11543" width="10.625" style="18" customWidth="1"/>
    <col min="11544" max="11547" width="6.625" style="18" customWidth="1"/>
    <col min="11548" max="11776" width="9" style="18"/>
    <col min="11777" max="11778" width="10.625" style="18" customWidth="1"/>
    <col min="11779" max="11779" width="9.375" style="18" customWidth="1"/>
    <col min="11780" max="11799" width="10.625" style="18" customWidth="1"/>
    <col min="11800" max="11803" width="6.625" style="18" customWidth="1"/>
    <col min="11804" max="12032" width="9" style="18"/>
    <col min="12033" max="12034" width="10.625" style="18" customWidth="1"/>
    <col min="12035" max="12035" width="9.375" style="18" customWidth="1"/>
    <col min="12036" max="12055" width="10.625" style="18" customWidth="1"/>
    <col min="12056" max="12059" width="6.625" style="18" customWidth="1"/>
    <col min="12060" max="12288" width="9" style="18"/>
    <col min="12289" max="12290" width="10.625" style="18" customWidth="1"/>
    <col min="12291" max="12291" width="9.375" style="18" customWidth="1"/>
    <col min="12292" max="12311" width="10.625" style="18" customWidth="1"/>
    <col min="12312" max="12315" width="6.625" style="18" customWidth="1"/>
    <col min="12316" max="12544" width="9" style="18"/>
    <col min="12545" max="12546" width="10.625" style="18" customWidth="1"/>
    <col min="12547" max="12547" width="9.375" style="18" customWidth="1"/>
    <col min="12548" max="12567" width="10.625" style="18" customWidth="1"/>
    <col min="12568" max="12571" width="6.625" style="18" customWidth="1"/>
    <col min="12572" max="12800" width="9" style="18"/>
    <col min="12801" max="12802" width="10.625" style="18" customWidth="1"/>
    <col min="12803" max="12803" width="9.375" style="18" customWidth="1"/>
    <col min="12804" max="12823" width="10.625" style="18" customWidth="1"/>
    <col min="12824" max="12827" width="6.625" style="18" customWidth="1"/>
    <col min="12828" max="13056" width="9" style="18"/>
    <col min="13057" max="13058" width="10.625" style="18" customWidth="1"/>
    <col min="13059" max="13059" width="9.375" style="18" customWidth="1"/>
    <col min="13060" max="13079" width="10.625" style="18" customWidth="1"/>
    <col min="13080" max="13083" width="6.625" style="18" customWidth="1"/>
    <col min="13084" max="13312" width="9" style="18"/>
    <col min="13313" max="13314" width="10.625" style="18" customWidth="1"/>
    <col min="13315" max="13315" width="9.375" style="18" customWidth="1"/>
    <col min="13316" max="13335" width="10.625" style="18" customWidth="1"/>
    <col min="13336" max="13339" width="6.625" style="18" customWidth="1"/>
    <col min="13340" max="13568" width="9" style="18"/>
    <col min="13569" max="13570" width="10.625" style="18" customWidth="1"/>
    <col min="13571" max="13571" width="9.375" style="18" customWidth="1"/>
    <col min="13572" max="13591" width="10.625" style="18" customWidth="1"/>
    <col min="13592" max="13595" width="6.625" style="18" customWidth="1"/>
    <col min="13596" max="13824" width="9" style="18"/>
    <col min="13825" max="13826" width="10.625" style="18" customWidth="1"/>
    <col min="13827" max="13827" width="9.375" style="18" customWidth="1"/>
    <col min="13828" max="13847" width="10.625" style="18" customWidth="1"/>
    <col min="13848" max="13851" width="6.625" style="18" customWidth="1"/>
    <col min="13852" max="14080" width="9" style="18"/>
    <col min="14081" max="14082" width="10.625" style="18" customWidth="1"/>
    <col min="14083" max="14083" width="9.375" style="18" customWidth="1"/>
    <col min="14084" max="14103" width="10.625" style="18" customWidth="1"/>
    <col min="14104" max="14107" width="6.625" style="18" customWidth="1"/>
    <col min="14108" max="14336" width="9" style="18"/>
    <col min="14337" max="14338" width="10.625" style="18" customWidth="1"/>
    <col min="14339" max="14339" width="9.375" style="18" customWidth="1"/>
    <col min="14340" max="14359" width="10.625" style="18" customWidth="1"/>
    <col min="14360" max="14363" width="6.625" style="18" customWidth="1"/>
    <col min="14364" max="14592" width="9" style="18"/>
    <col min="14593" max="14594" width="10.625" style="18" customWidth="1"/>
    <col min="14595" max="14595" width="9.375" style="18" customWidth="1"/>
    <col min="14596" max="14615" width="10.625" style="18" customWidth="1"/>
    <col min="14616" max="14619" width="6.625" style="18" customWidth="1"/>
    <col min="14620" max="14848" width="9" style="18"/>
    <col min="14849" max="14850" width="10.625" style="18" customWidth="1"/>
    <col min="14851" max="14851" width="9.375" style="18" customWidth="1"/>
    <col min="14852" max="14871" width="10.625" style="18" customWidth="1"/>
    <col min="14872" max="14875" width="6.625" style="18" customWidth="1"/>
    <col min="14876" max="15104" width="9" style="18"/>
    <col min="15105" max="15106" width="10.625" style="18" customWidth="1"/>
    <col min="15107" max="15107" width="9.375" style="18" customWidth="1"/>
    <col min="15108" max="15127" width="10.625" style="18" customWidth="1"/>
    <col min="15128" max="15131" width="6.625" style="18" customWidth="1"/>
    <col min="15132" max="15360" width="9" style="18"/>
    <col min="15361" max="15362" width="10.625" style="18" customWidth="1"/>
    <col min="15363" max="15363" width="9.375" style="18" customWidth="1"/>
    <col min="15364" max="15383" width="10.625" style="18" customWidth="1"/>
    <col min="15384" max="15387" width="6.625" style="18" customWidth="1"/>
    <col min="15388" max="15616" width="9" style="18"/>
    <col min="15617" max="15618" width="10.625" style="18" customWidth="1"/>
    <col min="15619" max="15619" width="9.375" style="18" customWidth="1"/>
    <col min="15620" max="15639" width="10.625" style="18" customWidth="1"/>
    <col min="15640" max="15643" width="6.625" style="18" customWidth="1"/>
    <col min="15644" max="15872" width="9" style="18"/>
    <col min="15873" max="15874" width="10.625" style="18" customWidth="1"/>
    <col min="15875" max="15875" width="9.375" style="18" customWidth="1"/>
    <col min="15876" max="15895" width="10.625" style="18" customWidth="1"/>
    <col min="15896" max="15899" width="6.625" style="18" customWidth="1"/>
    <col min="15900" max="16128" width="9" style="18"/>
    <col min="16129" max="16130" width="10.625" style="18" customWidth="1"/>
    <col min="16131" max="16131" width="9.375" style="18" customWidth="1"/>
    <col min="16132" max="16151" width="10.625" style="18" customWidth="1"/>
    <col min="16152" max="16155" width="6.625" style="18" customWidth="1"/>
    <col min="16156" max="16384" width="9" style="18"/>
  </cols>
  <sheetData>
    <row r="1" spans="1:27" s="1" customFormat="1" ht="23.25" customHeight="1">
      <c r="A1" s="1026" t="s">
        <v>289</v>
      </c>
      <c r="B1" s="1027"/>
      <c r="C1" s="1026"/>
      <c r="D1" s="1026"/>
      <c r="R1" s="246"/>
      <c r="S1" s="246"/>
    </row>
    <row r="2" spans="1:27" s="1" customFormat="1" ht="19.149999999999999">
      <c r="A2" s="738" t="s">
        <v>290</v>
      </c>
      <c r="B2" s="739"/>
      <c r="C2" s="739"/>
      <c r="D2" s="10"/>
      <c r="E2" s="10"/>
      <c r="F2" s="10"/>
      <c r="G2" s="10"/>
      <c r="H2" s="10"/>
      <c r="I2" s="10"/>
      <c r="J2" s="10"/>
      <c r="K2" s="10"/>
      <c r="L2" s="10"/>
      <c r="M2" s="10"/>
      <c r="N2" s="10"/>
      <c r="O2" s="10"/>
      <c r="P2" s="10"/>
      <c r="Q2" s="10"/>
      <c r="R2" s="247"/>
      <c r="S2" s="247"/>
      <c r="T2" s="10"/>
      <c r="U2" s="10"/>
      <c r="V2" s="10"/>
      <c r="W2" s="10"/>
    </row>
    <row r="3" spans="1:27" s="1" customFormat="1" ht="23.25" customHeight="1">
      <c r="A3" s="740" t="s">
        <v>291</v>
      </c>
      <c r="B3" s="741"/>
      <c r="C3" s="741"/>
      <c r="R3" s="246"/>
      <c r="S3" s="246"/>
    </row>
    <row r="4" spans="1:27" ht="10.5" customHeight="1">
      <c r="B4" s="168"/>
      <c r="C4" s="168"/>
      <c r="D4" s="168"/>
      <c r="E4" s="168"/>
      <c r="F4" s="168"/>
      <c r="G4" s="168"/>
      <c r="H4" s="168"/>
      <c r="I4" s="168"/>
      <c r="J4" s="168"/>
      <c r="K4" s="168"/>
      <c r="L4" s="168"/>
      <c r="M4" s="168"/>
      <c r="N4" s="168"/>
      <c r="O4" s="168"/>
      <c r="P4" s="168"/>
      <c r="Q4" s="248"/>
      <c r="R4" s="742"/>
      <c r="S4" s="742"/>
      <c r="T4" s="248"/>
      <c r="U4" s="248"/>
      <c r="V4" s="248"/>
      <c r="W4" s="248"/>
      <c r="X4" s="248"/>
      <c r="Y4" s="248"/>
      <c r="Z4" s="248"/>
      <c r="AA4" s="248"/>
    </row>
    <row r="5" spans="1:27" ht="20.100000000000001" customHeight="1">
      <c r="A5" s="984" t="s">
        <v>291</v>
      </c>
      <c r="B5" s="985"/>
      <c r="C5" s="986"/>
      <c r="D5" s="1028" t="s">
        <v>292</v>
      </c>
      <c r="E5" s="1029"/>
      <c r="F5" s="994" t="s">
        <v>293</v>
      </c>
      <c r="G5" s="994"/>
      <c r="H5" s="994"/>
      <c r="I5" s="994"/>
      <c r="J5" s="994"/>
      <c r="K5" s="994"/>
      <c r="L5" s="994"/>
      <c r="M5" s="994"/>
      <c r="N5" s="168"/>
      <c r="O5" s="168"/>
      <c r="P5" s="168"/>
      <c r="Q5" s="248"/>
      <c r="R5" s="742"/>
      <c r="S5" s="742"/>
      <c r="T5" s="248"/>
      <c r="U5" s="248"/>
      <c r="V5" s="248"/>
      <c r="W5" s="248"/>
      <c r="X5" s="248"/>
      <c r="Y5" s="248"/>
      <c r="Z5" s="248"/>
      <c r="AA5" s="248"/>
    </row>
    <row r="6" spans="1:27" ht="20.100000000000001" customHeight="1">
      <c r="A6" s="987"/>
      <c r="B6" s="988"/>
      <c r="C6" s="989"/>
      <c r="D6" s="1030"/>
      <c r="E6" s="1031"/>
      <c r="F6" s="995" t="s">
        <v>294</v>
      </c>
      <c r="G6" s="995"/>
      <c r="H6" s="995"/>
      <c r="I6" s="995"/>
      <c r="J6" s="995" t="s">
        <v>295</v>
      </c>
      <c r="K6" s="995"/>
      <c r="L6" s="995"/>
      <c r="M6" s="995"/>
      <c r="N6" s="168"/>
      <c r="O6" s="168"/>
      <c r="P6" s="168"/>
      <c r="Q6" s="248"/>
      <c r="R6" s="742"/>
      <c r="S6" s="742"/>
      <c r="T6" s="248"/>
      <c r="U6" s="248"/>
      <c r="V6" s="248"/>
      <c r="W6" s="248"/>
      <c r="X6" s="248"/>
      <c r="Y6" s="248"/>
      <c r="Z6" s="248"/>
      <c r="AA6" s="248"/>
    </row>
    <row r="7" spans="1:27" ht="20.100000000000001" customHeight="1">
      <c r="A7" s="990"/>
      <c r="B7" s="991"/>
      <c r="C7" s="992"/>
      <c r="D7" s="743" t="s">
        <v>296</v>
      </c>
      <c r="E7" s="744" t="s">
        <v>297</v>
      </c>
      <c r="F7" s="249" t="s">
        <v>298</v>
      </c>
      <c r="G7" s="249" t="s">
        <v>299</v>
      </c>
      <c r="H7" s="249" t="s">
        <v>300</v>
      </c>
      <c r="I7" s="249" t="s">
        <v>301</v>
      </c>
      <c r="J7" s="249" t="s">
        <v>298</v>
      </c>
      <c r="K7" s="249" t="s">
        <v>299</v>
      </c>
      <c r="L7" s="249" t="s">
        <v>300</v>
      </c>
      <c r="M7" s="249" t="s">
        <v>301</v>
      </c>
      <c r="N7" s="168"/>
      <c r="O7" s="168"/>
      <c r="P7" s="168"/>
      <c r="Q7" s="248"/>
      <c r="R7" s="742"/>
      <c r="S7" s="742"/>
      <c r="T7" s="248"/>
      <c r="U7" s="248"/>
      <c r="V7" s="248"/>
      <c r="W7" s="248"/>
      <c r="X7" s="248"/>
      <c r="Y7" s="248"/>
      <c r="Z7" s="248"/>
      <c r="AA7" s="248"/>
    </row>
    <row r="8" spans="1:27" ht="24.95" customHeight="1">
      <c r="A8" s="996" t="s">
        <v>302</v>
      </c>
      <c r="B8" s="745" t="s">
        <v>303</v>
      </c>
      <c r="C8" s="839">
        <f>'第4号様式別紙2-1（臨床研修（医師）実績報告）附表 A1'!T24</f>
        <v>0</v>
      </c>
      <c r="D8" s="839">
        <f>'第4号様式別紙2-1（臨床研修（医師）実績報告）附表 A1'!U24</f>
        <v>0</v>
      </c>
      <c r="E8" s="839">
        <f>'第4号様式別紙2-1（臨床研修（医師）実績報告）附表 A1'!V24</f>
        <v>0</v>
      </c>
      <c r="F8" s="749" t="s">
        <v>304</v>
      </c>
      <c r="G8" s="749" t="s">
        <v>305</v>
      </c>
      <c r="H8" s="749" t="s">
        <v>306</v>
      </c>
      <c r="I8" s="749" t="s">
        <v>307</v>
      </c>
      <c r="J8" s="749" t="s">
        <v>308</v>
      </c>
      <c r="K8" s="749" t="s">
        <v>309</v>
      </c>
      <c r="L8" s="749" t="s">
        <v>310</v>
      </c>
      <c r="M8" s="749" t="s">
        <v>202</v>
      </c>
      <c r="N8" s="168"/>
      <c r="O8" s="168"/>
      <c r="P8" s="168"/>
      <c r="Q8" s="742"/>
      <c r="R8" s="742"/>
      <c r="S8" s="742"/>
      <c r="T8" s="248"/>
      <c r="U8" s="248"/>
      <c r="V8" s="248"/>
      <c r="W8" s="248"/>
      <c r="X8" s="248"/>
      <c r="Y8" s="248"/>
      <c r="Z8" s="248"/>
      <c r="AA8" s="248"/>
    </row>
    <row r="9" spans="1:27" ht="24.95" customHeight="1">
      <c r="A9" s="998"/>
      <c r="B9" s="745" t="s">
        <v>311</v>
      </c>
      <c r="C9" s="838">
        <f>'第4号様式別紙2-1（臨床研修（医師）実績報告）附表 A1'!T25</f>
        <v>0</v>
      </c>
      <c r="D9" s="838">
        <f>'第4号様式別紙2-1（臨床研修（医師）実績報告）附表 A1'!U25</f>
        <v>0</v>
      </c>
      <c r="E9" s="838">
        <f>'第4号様式別紙2-1（臨床研修（医師）実績報告）附表 A1'!V25</f>
        <v>0</v>
      </c>
      <c r="F9" s="838">
        <f>'第4号様式別紙2-1（臨床研修（医師）実績報告）附表 A1'!W25</f>
        <v>0</v>
      </c>
      <c r="G9" s="838">
        <f>'第4号様式別紙2-1（臨床研修（医師）実績報告）附表 A1'!X25</f>
        <v>0</v>
      </c>
      <c r="H9" s="838">
        <f>'第4号様式別紙2-1（臨床研修（医師）実績報告）附表 A1'!Y25</f>
        <v>0</v>
      </c>
      <c r="I9" s="838">
        <f>'第4号様式別紙2-1（臨床研修（医師）実績報告）附表 A1'!Z25</f>
        <v>0</v>
      </c>
      <c r="J9" s="838">
        <f>'第4号様式別紙2-1（臨床研修（医師）実績報告）附表 A1'!AA25</f>
        <v>0</v>
      </c>
      <c r="K9" s="838">
        <f>'第4号様式別紙2-1（臨床研修（医師）実績報告）附表 A1'!AB25</f>
        <v>0</v>
      </c>
      <c r="L9" s="838">
        <f>'第4号様式別紙2-1（臨床研修（医師）実績報告）附表 A1'!AC25</f>
        <v>0</v>
      </c>
      <c r="M9" s="838">
        <f>'第4号様式別紙2-1（臨床研修（医師）実績報告）附表 A1'!AD25</f>
        <v>0</v>
      </c>
      <c r="R9" s="753"/>
      <c r="T9" s="742"/>
      <c r="U9" s="742"/>
      <c r="V9" s="742"/>
      <c r="W9" s="742"/>
      <c r="X9" s="742"/>
      <c r="Y9" s="742"/>
      <c r="Z9" s="742"/>
      <c r="AA9" s="742"/>
    </row>
    <row r="10" spans="1:27" ht="24.95" customHeight="1">
      <c r="A10" s="132"/>
      <c r="B10" s="132"/>
      <c r="C10" s="754"/>
      <c r="D10" s="754"/>
      <c r="E10" s="132"/>
      <c r="F10" s="132"/>
      <c r="G10" s="132"/>
      <c r="H10" s="132"/>
      <c r="I10" s="132"/>
      <c r="J10" s="132"/>
      <c r="K10" s="132"/>
      <c r="L10" s="132"/>
      <c r="M10" s="132"/>
      <c r="N10" s="132"/>
      <c r="O10" s="132"/>
      <c r="P10" s="132"/>
      <c r="Q10" s="132"/>
      <c r="R10" s="755"/>
      <c r="S10" s="755"/>
      <c r="T10" s="756"/>
      <c r="U10" s="756"/>
      <c r="V10" s="756"/>
      <c r="W10" s="756"/>
      <c r="X10" s="756"/>
      <c r="Y10" s="756"/>
      <c r="Z10" s="756"/>
      <c r="AA10" s="756"/>
    </row>
    <row r="11" spans="1:27" ht="24.95" customHeight="1">
      <c r="A11" s="132"/>
      <c r="B11" s="132"/>
      <c r="C11" s="754"/>
      <c r="D11" s="983" t="s">
        <v>312</v>
      </c>
      <c r="E11" s="983"/>
      <c r="F11" s="983"/>
      <c r="G11" s="983"/>
      <c r="H11" s="983" t="s">
        <v>313</v>
      </c>
      <c r="I11" s="983"/>
      <c r="J11" s="983"/>
      <c r="K11" s="983"/>
      <c r="L11" s="132"/>
      <c r="M11" s="132"/>
      <c r="N11" s="132"/>
      <c r="O11" s="132"/>
      <c r="P11" s="132"/>
      <c r="Q11" s="132"/>
      <c r="R11" s="755"/>
      <c r="S11" s="755"/>
      <c r="T11" s="756"/>
      <c r="U11" s="756"/>
      <c r="V11" s="756"/>
      <c r="W11" s="756"/>
      <c r="X11" s="756"/>
      <c r="Y11" s="756"/>
      <c r="Z11" s="756"/>
      <c r="AA11" s="756"/>
    </row>
    <row r="12" spans="1:27" ht="24.95" customHeight="1">
      <c r="A12" s="1012" t="s">
        <v>291</v>
      </c>
      <c r="B12" s="1005" t="s">
        <v>314</v>
      </c>
      <c r="C12" s="979"/>
      <c r="D12" s="250" t="s">
        <v>198</v>
      </c>
      <c r="E12" s="1006">
        <f>'第4号様式別紙2-1（臨床研修（医師）実績報告）附表 A1'!AI21</f>
        <v>0</v>
      </c>
      <c r="F12" s="1006"/>
      <c r="G12" s="253" t="s">
        <v>315</v>
      </c>
      <c r="H12" s="254" t="s">
        <v>316</v>
      </c>
      <c r="I12" s="1006">
        <f>'第4号様式別紙2-1（臨床研修（医師）実績報告）附表 A1'!AJ21</f>
        <v>0</v>
      </c>
      <c r="J12" s="1006"/>
      <c r="K12" s="253" t="s">
        <v>315</v>
      </c>
      <c r="L12" s="132"/>
      <c r="M12" s="132"/>
      <c r="N12" s="132"/>
      <c r="O12" s="132"/>
      <c r="P12" s="132"/>
      <c r="Q12" s="132"/>
      <c r="R12" s="755"/>
      <c r="S12" s="755"/>
      <c r="T12" s="754"/>
      <c r="U12" s="754"/>
      <c r="V12" s="754"/>
      <c r="W12" s="754"/>
      <c r="X12" s="754"/>
      <c r="Y12" s="754"/>
      <c r="Z12" s="754"/>
      <c r="AA12" s="754"/>
    </row>
    <row r="13" spans="1:27" ht="24.95" customHeight="1">
      <c r="A13" s="1025"/>
      <c r="B13" s="1012" t="s">
        <v>317</v>
      </c>
      <c r="C13" s="970"/>
      <c r="D13" s="1014" t="s">
        <v>221</v>
      </c>
      <c r="E13" s="965" t="s">
        <v>318</v>
      </c>
      <c r="F13" s="965"/>
      <c r="G13" s="966"/>
      <c r="H13" s="1010" t="s">
        <v>222</v>
      </c>
      <c r="I13" s="965" t="s">
        <v>319</v>
      </c>
      <c r="J13" s="965"/>
      <c r="K13" s="966"/>
      <c r="L13" s="757"/>
      <c r="M13" s="757"/>
      <c r="N13" s="757"/>
      <c r="O13" s="757"/>
      <c r="P13" s="757"/>
      <c r="Q13" s="758"/>
      <c r="R13" s="759"/>
      <c r="S13" s="759"/>
      <c r="T13" s="757"/>
      <c r="U13" s="757"/>
      <c r="V13" s="757"/>
      <c r="W13" s="757"/>
      <c r="X13" s="757"/>
      <c r="Y13" s="757"/>
      <c r="Z13" s="757"/>
      <c r="AA13" s="757"/>
    </row>
    <row r="14" spans="1:27" ht="24.95" customHeight="1">
      <c r="A14" s="1013"/>
      <c r="B14" s="1013"/>
      <c r="C14" s="972"/>
      <c r="D14" s="974"/>
      <c r="E14" s="1011">
        <f>'第4号様式別紙2-1（臨床研修（医師）実績報告）附表 A1'!AI23</f>
        <v>0</v>
      </c>
      <c r="F14" s="1011"/>
      <c r="G14" s="255" t="s">
        <v>320</v>
      </c>
      <c r="H14" s="964"/>
      <c r="I14" s="1011">
        <f>'第4号様式別紙2-1（臨床研修（医師）実績報告）附表 A1'!AJ23</f>
        <v>0</v>
      </c>
      <c r="J14" s="1011"/>
      <c r="K14" s="255" t="s">
        <v>320</v>
      </c>
      <c r="L14" s="131"/>
      <c r="M14" s="131"/>
      <c r="N14" s="131"/>
      <c r="O14" s="131"/>
      <c r="P14" s="131"/>
      <c r="Q14" s="760"/>
      <c r="R14" s="761"/>
      <c r="S14" s="761"/>
      <c r="T14" s="132"/>
      <c r="U14" s="132"/>
      <c r="V14" s="132"/>
      <c r="W14" s="132"/>
      <c r="X14" s="132"/>
      <c r="Y14" s="132"/>
      <c r="Z14" s="1022"/>
      <c r="AA14" s="1022"/>
    </row>
    <row r="15" spans="1:27" ht="21.75" customHeight="1">
      <c r="A15" s="132"/>
      <c r="B15" s="754"/>
      <c r="C15" s="754"/>
      <c r="D15" s="131"/>
      <c r="E15" s="131"/>
      <c r="F15" s="1024"/>
      <c r="G15" s="1024"/>
      <c r="H15" s="131"/>
      <c r="I15" s="131"/>
      <c r="J15" s="1024"/>
      <c r="K15" s="1024"/>
      <c r="L15" s="131"/>
      <c r="M15" s="131"/>
      <c r="N15" s="131"/>
      <c r="O15" s="131"/>
      <c r="P15" s="131"/>
      <c r="Q15" s="760"/>
      <c r="R15" s="761"/>
      <c r="S15" s="761"/>
      <c r="T15" s="132"/>
      <c r="U15" s="132"/>
      <c r="V15" s="132"/>
      <c r="W15" s="132"/>
      <c r="X15" s="132"/>
      <c r="Y15" s="132"/>
      <c r="Z15" s="1022"/>
      <c r="AA15" s="1022"/>
    </row>
    <row r="16" spans="1:27" ht="24.95" customHeight="1">
      <c r="A16" s="145" t="s">
        <v>321</v>
      </c>
      <c r="B16" s="754"/>
      <c r="C16" s="754"/>
      <c r="D16" s="762"/>
      <c r="E16" s="131"/>
      <c r="F16" s="131"/>
      <c r="G16" s="131"/>
      <c r="H16" s="131"/>
      <c r="I16" s="131"/>
      <c r="J16" s="131"/>
      <c r="K16" s="131"/>
      <c r="L16" s="131"/>
      <c r="M16" s="131"/>
      <c r="N16" s="131"/>
      <c r="O16" s="131"/>
      <c r="P16" s="131"/>
      <c r="Q16" s="760"/>
      <c r="R16" s="761"/>
      <c r="S16" s="761"/>
      <c r="T16" s="132"/>
      <c r="U16" s="132"/>
      <c r="V16" s="132"/>
      <c r="W16" s="132"/>
      <c r="X16" s="132"/>
      <c r="Y16" s="132"/>
      <c r="Z16" s="132"/>
      <c r="AA16" s="132"/>
    </row>
    <row r="17" spans="1:27" ht="10.5" customHeight="1">
      <c r="A17" s="131"/>
      <c r="B17" s="754"/>
      <c r="C17" s="754"/>
      <c r="D17" s="762"/>
      <c r="E17" s="131"/>
      <c r="F17" s="131"/>
      <c r="G17" s="131"/>
      <c r="H17" s="131"/>
      <c r="I17" s="131"/>
      <c r="J17" s="131"/>
      <c r="K17" s="131"/>
      <c r="L17" s="131"/>
      <c r="M17" s="131"/>
      <c r="N17" s="131"/>
      <c r="O17" s="131"/>
      <c r="P17" s="131"/>
      <c r="Q17" s="760"/>
      <c r="R17" s="761"/>
      <c r="S17" s="761"/>
      <c r="T17" s="132"/>
      <c r="U17" s="132"/>
      <c r="V17" s="132"/>
      <c r="W17" s="132"/>
      <c r="X17" s="132"/>
      <c r="Y17" s="132"/>
      <c r="Z17" s="1022"/>
      <c r="AA17" s="1022"/>
    </row>
    <row r="18" spans="1:27" ht="20.100000000000001" customHeight="1">
      <c r="A18" s="1023" t="s">
        <v>322</v>
      </c>
      <c r="B18" s="985"/>
      <c r="C18" s="986"/>
      <c r="D18" s="993" t="s">
        <v>292</v>
      </c>
      <c r="E18" s="993"/>
      <c r="F18" s="994" t="s">
        <v>293</v>
      </c>
      <c r="G18" s="994"/>
      <c r="H18" s="994"/>
      <c r="I18" s="994"/>
      <c r="J18" s="994"/>
      <c r="K18" s="994"/>
      <c r="L18" s="994"/>
      <c r="M18" s="994"/>
      <c r="N18" s="131"/>
      <c r="O18" s="131"/>
      <c r="P18" s="131"/>
      <c r="Q18" s="760"/>
      <c r="R18" s="761"/>
      <c r="S18" s="761"/>
      <c r="T18" s="132"/>
      <c r="U18" s="132"/>
      <c r="V18" s="132"/>
      <c r="W18" s="132"/>
      <c r="X18" s="132"/>
      <c r="Y18" s="132"/>
      <c r="Z18" s="1022"/>
      <c r="AA18" s="1022"/>
    </row>
    <row r="19" spans="1:27" ht="20.100000000000001" customHeight="1">
      <c r="A19" s="987"/>
      <c r="B19" s="988"/>
      <c r="C19" s="989"/>
      <c r="D19" s="993"/>
      <c r="E19" s="993"/>
      <c r="F19" s="995" t="s">
        <v>294</v>
      </c>
      <c r="G19" s="995"/>
      <c r="H19" s="995"/>
      <c r="I19" s="995"/>
      <c r="J19" s="995" t="s">
        <v>295</v>
      </c>
      <c r="K19" s="995"/>
      <c r="L19" s="995"/>
      <c r="M19" s="995"/>
      <c r="N19" s="131"/>
      <c r="O19" s="131"/>
      <c r="P19" s="131"/>
      <c r="Q19" s="760"/>
      <c r="R19" s="761"/>
      <c r="S19" s="132"/>
      <c r="U19" s="132"/>
      <c r="V19" s="132"/>
      <c r="W19" s="132"/>
      <c r="X19" s="132"/>
      <c r="Y19" s="132"/>
      <c r="Z19" s="1022"/>
      <c r="AA19" s="1022"/>
    </row>
    <row r="20" spans="1:27" ht="20.100000000000001" customHeight="1">
      <c r="A20" s="990"/>
      <c r="B20" s="991"/>
      <c r="C20" s="989"/>
      <c r="D20" s="744" t="s">
        <v>296</v>
      </c>
      <c r="E20" s="744" t="s">
        <v>297</v>
      </c>
      <c r="F20" s="249" t="s">
        <v>298</v>
      </c>
      <c r="G20" s="249" t="s">
        <v>299</v>
      </c>
      <c r="H20" s="249" t="s">
        <v>300</v>
      </c>
      <c r="I20" s="249" t="s">
        <v>301</v>
      </c>
      <c r="J20" s="249" t="s">
        <v>298</v>
      </c>
      <c r="K20" s="249" t="s">
        <v>299</v>
      </c>
      <c r="L20" s="249" t="s">
        <v>300</v>
      </c>
      <c r="M20" s="249" t="s">
        <v>301</v>
      </c>
      <c r="N20" s="131"/>
      <c r="O20" s="131"/>
      <c r="P20" s="131"/>
      <c r="Q20" s="760"/>
      <c r="R20" s="761"/>
      <c r="S20" s="132"/>
      <c r="U20" s="132"/>
      <c r="V20" s="132"/>
      <c r="W20" s="132"/>
      <c r="X20" s="132"/>
      <c r="Y20" s="132"/>
      <c r="Z20" s="1022"/>
      <c r="AA20" s="1022"/>
    </row>
    <row r="21" spans="1:27" ht="24.95" customHeight="1">
      <c r="A21" s="996" t="s">
        <v>302</v>
      </c>
      <c r="B21" s="763" t="s">
        <v>303</v>
      </c>
      <c r="C21" s="764">
        <f>'第4号様式別紙2-1（臨床研修（医師）実績報告）附表 A2'!T32</f>
        <v>0</v>
      </c>
      <c r="D21" s="765">
        <f>'第4号様式別紙2-1（臨床研修（医師）実績報告）附表 A2'!U32</f>
        <v>0</v>
      </c>
      <c r="E21" s="766">
        <f>'第4号様式別紙2-1（臨床研修（医師）実績報告）附表 A2'!V32</f>
        <v>0</v>
      </c>
      <c r="F21" s="749" t="s">
        <v>304</v>
      </c>
      <c r="G21" s="749" t="s">
        <v>305</v>
      </c>
      <c r="H21" s="749" t="s">
        <v>306</v>
      </c>
      <c r="I21" s="749" t="s">
        <v>307</v>
      </c>
      <c r="J21" s="749" t="s">
        <v>308</v>
      </c>
      <c r="K21" s="749" t="s">
        <v>309</v>
      </c>
      <c r="L21" s="749" t="s">
        <v>310</v>
      </c>
      <c r="M21" s="749" t="s">
        <v>202</v>
      </c>
      <c r="N21" s="132"/>
      <c r="O21" s="208"/>
      <c r="P21" s="208"/>
      <c r="Q21" s="131"/>
      <c r="R21" s="761"/>
      <c r="S21" s="761"/>
      <c r="T21" s="767"/>
      <c r="U21" s="767"/>
      <c r="V21" s="767"/>
      <c r="W21" s="767"/>
      <c r="X21" s="767"/>
      <c r="Y21" s="767"/>
      <c r="Z21" s="767"/>
      <c r="AA21" s="767"/>
    </row>
    <row r="22" spans="1:27" ht="24.95" customHeight="1">
      <c r="A22" s="997"/>
      <c r="B22" s="763" t="s">
        <v>311</v>
      </c>
      <c r="C22" s="768">
        <f>'第4号様式別紙2-1（臨床研修（医師）実績報告）附表 A2'!T33</f>
        <v>0</v>
      </c>
      <c r="D22" s="769">
        <f>'第4号様式別紙2-1（臨床研修（医師）実績報告）附表 A2'!U33</f>
        <v>0</v>
      </c>
      <c r="E22" s="766">
        <f>'第4号様式別紙2-1（臨床研修（医師）実績報告）附表 A2'!V33</f>
        <v>0</v>
      </c>
      <c r="F22" s="770">
        <f>'第4号様式別紙2-1（臨床研修（医師）実績報告）附表 A2'!W33</f>
        <v>0</v>
      </c>
      <c r="G22" s="770">
        <f>'第4号様式別紙2-1（臨床研修（医師）実績報告）附表 A2'!X33</f>
        <v>0</v>
      </c>
      <c r="H22" s="770">
        <f>'第4号様式別紙2-1（臨床研修（医師）実績報告）附表 A2'!Y33</f>
        <v>0</v>
      </c>
      <c r="I22" s="770">
        <f>'第4号様式別紙2-1（臨床研修（医師）実績報告）附表 A2'!Z33</f>
        <v>0</v>
      </c>
      <c r="J22" s="770">
        <f>'第4号様式別紙2-1（臨床研修（医師）実績報告）附表 A2'!AA33</f>
        <v>0</v>
      </c>
      <c r="K22" s="770">
        <f>'第4号様式別紙2-1（臨床研修（医師）実績報告）附表 A2'!AB33</f>
        <v>0</v>
      </c>
      <c r="L22" s="770">
        <f>'第4号様式別紙2-1（臨床研修（医師）実績報告）附表 A2'!AC33</f>
        <v>0</v>
      </c>
      <c r="M22" s="770">
        <f>'第4号様式別紙2-1（臨床研修（医師）実績報告）附表 A2'!AD33</f>
        <v>0</v>
      </c>
      <c r="N22" s="132"/>
      <c r="O22" s="208"/>
      <c r="P22" s="208"/>
      <c r="Q22" s="131"/>
      <c r="R22" s="761"/>
      <c r="S22" s="761"/>
      <c r="T22" s="187"/>
      <c r="U22" s="187"/>
      <c r="V22" s="187"/>
      <c r="W22" s="187"/>
      <c r="X22" s="187"/>
      <c r="Y22" s="187"/>
      <c r="Z22" s="187"/>
      <c r="AA22" s="187"/>
    </row>
    <row r="23" spans="1:27" ht="24.95" customHeight="1">
      <c r="A23" s="997"/>
      <c r="B23" s="1015" t="s">
        <v>323</v>
      </c>
      <c r="C23" s="1016">
        <f>'第4号様式別紙2-1（臨床研修（医師）実績報告）附表 A2'!AI33</f>
        <v>0</v>
      </c>
      <c r="D23" s="1018">
        <f>'第4号様式別紙2-1（臨床研修（医師）実績報告）附表 A2'!AJ33</f>
        <v>0</v>
      </c>
      <c r="E23" s="1020">
        <f>'第4号様式別紙2-1（臨床研修（医師）実績報告）附表 A2'!AK33</f>
        <v>0</v>
      </c>
      <c r="F23" s="749" t="s">
        <v>205</v>
      </c>
      <c r="G23" s="771" t="s">
        <v>206</v>
      </c>
      <c r="H23" s="749" t="s">
        <v>324</v>
      </c>
      <c r="I23" s="771" t="s">
        <v>325</v>
      </c>
      <c r="J23" s="749" t="s">
        <v>326</v>
      </c>
      <c r="K23" s="771" t="s">
        <v>327</v>
      </c>
      <c r="L23" s="749" t="s">
        <v>328</v>
      </c>
      <c r="M23" s="772" t="s">
        <v>329</v>
      </c>
      <c r="Q23" s="17"/>
      <c r="T23" s="17"/>
      <c r="U23" s="17"/>
      <c r="V23" s="17"/>
      <c r="W23" s="17"/>
      <c r="X23" s="17"/>
      <c r="Y23" s="17"/>
      <c r="Z23" s="17"/>
      <c r="AA23" s="17"/>
    </row>
    <row r="24" spans="1:27" ht="26.25" customHeight="1">
      <c r="A24" s="998"/>
      <c r="B24" s="1015"/>
      <c r="C24" s="1017"/>
      <c r="D24" s="1019"/>
      <c r="E24" s="1021"/>
      <c r="F24" s="773">
        <f>'第4号様式別紙2-1（臨床研修（医師）実績報告）附表 A2'!W35</f>
        <v>0</v>
      </c>
      <c r="G24" s="773">
        <f>'第4号様式別紙2-1（臨床研修（医師）実績報告）附表 A2'!X35</f>
        <v>0</v>
      </c>
      <c r="H24" s="773">
        <f>'第4号様式別紙2-1（臨床研修（医師）実績報告）附表 A2'!Y35</f>
        <v>0</v>
      </c>
      <c r="I24" s="773">
        <f>'第4号様式別紙2-1（臨床研修（医師）実績報告）附表 A2'!Z35</f>
        <v>0</v>
      </c>
      <c r="J24" s="773">
        <f>'第4号様式別紙2-1（臨床研修（医師）実績報告）附表 A2'!AA35</f>
        <v>0</v>
      </c>
      <c r="K24" s="773">
        <f>'第4号様式別紙2-1（臨床研修（医師）実績報告）附表 A2'!AB35</f>
        <v>0</v>
      </c>
      <c r="L24" s="773">
        <f>'第4号様式別紙2-1（臨床研修（医師）実績報告）附表 A2'!AC35</f>
        <v>0</v>
      </c>
      <c r="M24" s="773">
        <f>'第4号様式別紙2-1（臨床研修（医師）実績報告）附表 A2'!AD35</f>
        <v>0</v>
      </c>
      <c r="R24" s="18"/>
      <c r="S24" s="18"/>
    </row>
    <row r="25" spans="1:27" ht="24.95" customHeight="1">
      <c r="A25" s="774"/>
      <c r="B25" s="774"/>
      <c r="C25" s="774"/>
      <c r="D25" s="774"/>
      <c r="E25" s="774"/>
      <c r="F25" s="774"/>
      <c r="G25" s="774"/>
      <c r="H25" s="774"/>
      <c r="I25" s="774"/>
      <c r="J25" s="774"/>
      <c r="K25" s="774"/>
      <c r="L25" s="774"/>
      <c r="R25" s="18"/>
      <c r="S25" s="18"/>
    </row>
    <row r="26" spans="1:27" ht="24.95" customHeight="1">
      <c r="A26" s="980" t="s">
        <v>330</v>
      </c>
      <c r="B26" s="981"/>
      <c r="C26" s="982"/>
      <c r="D26" s="983" t="s">
        <v>312</v>
      </c>
      <c r="E26" s="983"/>
      <c r="F26" s="983"/>
      <c r="G26" s="983"/>
      <c r="H26" s="983" t="s">
        <v>313</v>
      </c>
      <c r="I26" s="983"/>
      <c r="J26" s="983"/>
      <c r="K26" s="983"/>
      <c r="L26" s="774"/>
      <c r="M26" s="980" t="s">
        <v>331</v>
      </c>
      <c r="N26" s="981"/>
      <c r="O26" s="982"/>
      <c r="P26" s="983" t="s">
        <v>312</v>
      </c>
      <c r="Q26" s="983"/>
      <c r="R26" s="983"/>
      <c r="S26" s="983"/>
      <c r="T26" s="983" t="s">
        <v>313</v>
      </c>
      <c r="U26" s="983"/>
      <c r="V26" s="983"/>
      <c r="W26" s="983"/>
    </row>
    <row r="27" spans="1:27" ht="24.75" customHeight="1">
      <c r="A27" s="1002" t="s">
        <v>322</v>
      </c>
      <c r="B27" s="1005" t="s">
        <v>314</v>
      </c>
      <c r="C27" s="979"/>
      <c r="D27" s="250" t="s">
        <v>198</v>
      </c>
      <c r="E27" s="1006">
        <f>'第4号様式別紙2-1（臨床研修（医師）実績報告）附表 A2'!AH37</f>
        <v>0</v>
      </c>
      <c r="F27" s="1006"/>
      <c r="G27" s="253" t="s">
        <v>315</v>
      </c>
      <c r="H27" s="254" t="s">
        <v>316</v>
      </c>
      <c r="I27" s="1006">
        <f>'第4号様式別紙2-1（臨床研修（医師）実績報告）附表 A2'!AI37</f>
        <v>0</v>
      </c>
      <c r="J27" s="1006"/>
      <c r="K27" s="253" t="s">
        <v>315</v>
      </c>
      <c r="L27" s="774"/>
      <c r="M27" s="1007" t="s">
        <v>322</v>
      </c>
      <c r="N27" s="978" t="s">
        <v>314</v>
      </c>
      <c r="O27" s="979"/>
      <c r="P27" s="250" t="s">
        <v>325</v>
      </c>
      <c r="Q27" s="1006">
        <f>'第4号様式別紙2-1（臨床研修（医師）実績報告）附表 A2'!AH44</f>
        <v>0</v>
      </c>
      <c r="R27" s="1006"/>
      <c r="S27" s="253" t="s">
        <v>315</v>
      </c>
      <c r="T27" s="254" t="s">
        <v>329</v>
      </c>
      <c r="U27" s="1006">
        <f>'第4号様式別紙2-1（臨床研修（医師）実績報告）附表 A2'!AI44</f>
        <v>0</v>
      </c>
      <c r="V27" s="1006"/>
      <c r="W27" s="253" t="s">
        <v>315</v>
      </c>
    </row>
    <row r="28" spans="1:27" ht="24.95" customHeight="1">
      <c r="A28" s="1003"/>
      <c r="B28" s="1012" t="s">
        <v>317</v>
      </c>
      <c r="C28" s="970"/>
      <c r="D28" s="1014" t="s">
        <v>221</v>
      </c>
      <c r="E28" s="965" t="s">
        <v>318</v>
      </c>
      <c r="F28" s="965"/>
      <c r="G28" s="966"/>
      <c r="H28" s="1010" t="s">
        <v>222</v>
      </c>
      <c r="I28" s="965" t="s">
        <v>319</v>
      </c>
      <c r="J28" s="965"/>
      <c r="K28" s="966"/>
      <c r="M28" s="1008"/>
      <c r="N28" s="969" t="s">
        <v>317</v>
      </c>
      <c r="O28" s="970"/>
      <c r="P28" s="1014" t="s">
        <v>332</v>
      </c>
      <c r="Q28" s="965" t="s">
        <v>333</v>
      </c>
      <c r="R28" s="965"/>
      <c r="S28" s="966"/>
      <c r="T28" s="1010" t="s">
        <v>334</v>
      </c>
      <c r="U28" s="965" t="s">
        <v>335</v>
      </c>
      <c r="V28" s="965"/>
      <c r="W28" s="966"/>
    </row>
    <row r="29" spans="1:27" ht="24.95" customHeight="1">
      <c r="A29" s="1004"/>
      <c r="B29" s="1013"/>
      <c r="C29" s="972"/>
      <c r="D29" s="974"/>
      <c r="E29" s="1011">
        <f>'第4号様式別紙2-1（臨床研修（医師）実績報告）附表 A2'!AH39</f>
        <v>0</v>
      </c>
      <c r="F29" s="1011"/>
      <c r="G29" s="255" t="s">
        <v>320</v>
      </c>
      <c r="H29" s="964"/>
      <c r="I29" s="1011">
        <f>'第4号様式別紙2-1（臨床研修（医師）実績報告）附表 A2'!AI39</f>
        <v>0</v>
      </c>
      <c r="J29" s="1011"/>
      <c r="K29" s="255" t="s">
        <v>320</v>
      </c>
      <c r="M29" s="1009"/>
      <c r="N29" s="971"/>
      <c r="O29" s="972"/>
      <c r="P29" s="974"/>
      <c r="Q29" s="1011">
        <f>'第4号様式別紙2-1（臨床研修（医師）実績報告）附表 A2'!AH46</f>
        <v>0</v>
      </c>
      <c r="R29" s="1011"/>
      <c r="S29" s="255" t="s">
        <v>320</v>
      </c>
      <c r="T29" s="964"/>
      <c r="U29" s="1011">
        <f>'第4号様式別紙2-1（臨床研修（医師）実績報告）附表 A2'!AI46</f>
        <v>0</v>
      </c>
      <c r="V29" s="1011"/>
      <c r="W29" s="255" t="s">
        <v>320</v>
      </c>
    </row>
    <row r="30" spans="1:27" ht="23.25" customHeight="1">
      <c r="B30" s="178"/>
    </row>
    <row r="31" spans="1:27" ht="24.95" customHeight="1">
      <c r="A31" s="145" t="s">
        <v>336</v>
      </c>
      <c r="B31" s="178"/>
    </row>
    <row r="32" spans="1:27" ht="10.5" customHeight="1">
      <c r="A32" s="252"/>
    </row>
    <row r="33" spans="1:23" ht="24.95" customHeight="1">
      <c r="A33" s="984" t="s">
        <v>337</v>
      </c>
      <c r="B33" s="985"/>
      <c r="C33" s="986"/>
      <c r="D33" s="993" t="s">
        <v>292</v>
      </c>
      <c r="E33" s="993"/>
      <c r="F33" s="994" t="s">
        <v>293</v>
      </c>
      <c r="G33" s="994"/>
      <c r="H33" s="994"/>
      <c r="I33" s="994"/>
      <c r="J33" s="994"/>
      <c r="K33" s="994"/>
      <c r="L33" s="994"/>
      <c r="M33" s="994"/>
    </row>
    <row r="34" spans="1:23" ht="24.95" customHeight="1">
      <c r="A34" s="987"/>
      <c r="B34" s="988"/>
      <c r="C34" s="989"/>
      <c r="D34" s="993"/>
      <c r="E34" s="993"/>
      <c r="F34" s="995" t="s">
        <v>294</v>
      </c>
      <c r="G34" s="995"/>
      <c r="H34" s="995"/>
      <c r="I34" s="995"/>
      <c r="J34" s="995" t="s">
        <v>295</v>
      </c>
      <c r="K34" s="995"/>
      <c r="L34" s="995"/>
      <c r="M34" s="995"/>
    </row>
    <row r="35" spans="1:23" ht="24.95" customHeight="1">
      <c r="A35" s="990"/>
      <c r="B35" s="991"/>
      <c r="C35" s="992"/>
      <c r="D35" s="744" t="s">
        <v>296</v>
      </c>
      <c r="E35" s="744" t="s">
        <v>297</v>
      </c>
      <c r="F35" s="249" t="s">
        <v>298</v>
      </c>
      <c r="G35" s="249" t="s">
        <v>299</v>
      </c>
      <c r="H35" s="249" t="s">
        <v>300</v>
      </c>
      <c r="I35" s="249" t="s">
        <v>301</v>
      </c>
      <c r="J35" s="249" t="s">
        <v>298</v>
      </c>
      <c r="K35" s="249" t="s">
        <v>299</v>
      </c>
      <c r="L35" s="249" t="s">
        <v>300</v>
      </c>
      <c r="M35" s="249" t="s">
        <v>301</v>
      </c>
    </row>
    <row r="36" spans="1:23" ht="24.95" customHeight="1">
      <c r="A36" s="996" t="s">
        <v>302</v>
      </c>
      <c r="B36" s="745" t="s">
        <v>303</v>
      </c>
      <c r="C36" s="775">
        <f t="shared" ref="C36:E37" si="0">C8+C21</f>
        <v>0</v>
      </c>
      <c r="D36" s="776">
        <f t="shared" si="0"/>
        <v>0</v>
      </c>
      <c r="E36" s="777">
        <f t="shared" si="0"/>
        <v>0</v>
      </c>
      <c r="F36" s="778" t="s">
        <v>304</v>
      </c>
      <c r="G36" s="778" t="s">
        <v>305</v>
      </c>
      <c r="H36" s="778" t="s">
        <v>306</v>
      </c>
      <c r="I36" s="778" t="s">
        <v>307</v>
      </c>
      <c r="J36" s="778" t="s">
        <v>308</v>
      </c>
      <c r="K36" s="778" t="s">
        <v>309</v>
      </c>
      <c r="L36" s="778" t="s">
        <v>310</v>
      </c>
      <c r="M36" s="778" t="s">
        <v>202</v>
      </c>
    </row>
    <row r="37" spans="1:23" ht="24.95" customHeight="1">
      <c r="A37" s="997"/>
      <c r="B37" s="745" t="s">
        <v>311</v>
      </c>
      <c r="C37" s="779">
        <f t="shared" si="0"/>
        <v>0</v>
      </c>
      <c r="D37" s="780">
        <f t="shared" si="0"/>
        <v>0</v>
      </c>
      <c r="E37" s="781">
        <f t="shared" si="0"/>
        <v>0</v>
      </c>
      <c r="F37" s="782">
        <f>F9+F22</f>
        <v>0</v>
      </c>
      <c r="G37" s="782">
        <f t="shared" ref="G37:L37" si="1">G9+G22</f>
        <v>0</v>
      </c>
      <c r="H37" s="782">
        <f t="shared" si="1"/>
        <v>0</v>
      </c>
      <c r="I37" s="782">
        <f t="shared" si="1"/>
        <v>0</v>
      </c>
      <c r="J37" s="782">
        <f t="shared" si="1"/>
        <v>0</v>
      </c>
      <c r="K37" s="782">
        <f t="shared" si="1"/>
        <v>0</v>
      </c>
      <c r="L37" s="782">
        <f t="shared" si="1"/>
        <v>0</v>
      </c>
      <c r="M37" s="782">
        <f>M9+M22</f>
        <v>0</v>
      </c>
    </row>
    <row r="38" spans="1:23" ht="24.95" customHeight="1">
      <c r="A38" s="997"/>
      <c r="B38" s="999" t="s">
        <v>323</v>
      </c>
      <c r="C38" s="1000">
        <f>C23</f>
        <v>0</v>
      </c>
      <c r="D38" s="1000">
        <f>D23</f>
        <v>0</v>
      </c>
      <c r="E38" s="1000">
        <f>E23</f>
        <v>0</v>
      </c>
      <c r="F38" s="783" t="s">
        <v>205</v>
      </c>
      <c r="G38" s="784" t="s">
        <v>206</v>
      </c>
      <c r="H38" s="783" t="s">
        <v>324</v>
      </c>
      <c r="I38" s="784" t="s">
        <v>325</v>
      </c>
      <c r="J38" s="783" t="s">
        <v>326</v>
      </c>
      <c r="K38" s="784" t="s">
        <v>327</v>
      </c>
      <c r="L38" s="783" t="s">
        <v>328</v>
      </c>
      <c r="M38" s="785" t="s">
        <v>329</v>
      </c>
    </row>
    <row r="39" spans="1:23" ht="24.95" customHeight="1">
      <c r="A39" s="998"/>
      <c r="B39" s="999"/>
      <c r="C39" s="1001"/>
      <c r="D39" s="1001"/>
      <c r="E39" s="1001"/>
      <c r="F39" s="782">
        <f>F24</f>
        <v>0</v>
      </c>
      <c r="G39" s="782">
        <f t="shared" ref="G39:M39" si="2">G24</f>
        <v>0</v>
      </c>
      <c r="H39" s="782">
        <f t="shared" si="2"/>
        <v>0</v>
      </c>
      <c r="I39" s="782">
        <f t="shared" si="2"/>
        <v>0</v>
      </c>
      <c r="J39" s="782">
        <f t="shared" si="2"/>
        <v>0</v>
      </c>
      <c r="K39" s="782">
        <f t="shared" si="2"/>
        <v>0</v>
      </c>
      <c r="L39" s="782">
        <f t="shared" si="2"/>
        <v>0</v>
      </c>
      <c r="M39" s="782">
        <f t="shared" si="2"/>
        <v>0</v>
      </c>
    </row>
    <row r="40" spans="1:23" ht="24.95" customHeight="1"/>
    <row r="41" spans="1:23" ht="24.95" customHeight="1">
      <c r="A41" s="980" t="s">
        <v>330</v>
      </c>
      <c r="B41" s="981"/>
      <c r="C41" s="982"/>
      <c r="D41" s="983" t="s">
        <v>312</v>
      </c>
      <c r="E41" s="983"/>
      <c r="F41" s="983"/>
      <c r="G41" s="983"/>
      <c r="H41" s="983" t="s">
        <v>313</v>
      </c>
      <c r="I41" s="983"/>
      <c r="J41" s="983"/>
      <c r="K41" s="983"/>
      <c r="M41" s="980" t="s">
        <v>331</v>
      </c>
      <c r="N41" s="981"/>
      <c r="O41" s="982"/>
      <c r="P41" s="983" t="s">
        <v>312</v>
      </c>
      <c r="Q41" s="983"/>
      <c r="R41" s="983"/>
      <c r="S41" s="983"/>
      <c r="T41" s="983" t="s">
        <v>313</v>
      </c>
      <c r="U41" s="983"/>
      <c r="V41" s="983"/>
      <c r="W41" s="983"/>
    </row>
    <row r="42" spans="1:23" ht="24.75" customHeight="1">
      <c r="A42" s="975" t="s">
        <v>302</v>
      </c>
      <c r="B42" s="978" t="s">
        <v>314</v>
      </c>
      <c r="C42" s="979"/>
      <c r="D42" s="250" t="s">
        <v>198</v>
      </c>
      <c r="E42" s="968">
        <f>I37</f>
        <v>0</v>
      </c>
      <c r="F42" s="968"/>
      <c r="G42" s="253" t="s">
        <v>315</v>
      </c>
      <c r="H42" s="254" t="s">
        <v>316</v>
      </c>
      <c r="I42" s="968">
        <f>M37</f>
        <v>0</v>
      </c>
      <c r="J42" s="968"/>
      <c r="K42" s="253" t="s">
        <v>315</v>
      </c>
      <c r="M42" s="975" t="s">
        <v>302</v>
      </c>
      <c r="N42" s="978" t="s">
        <v>314</v>
      </c>
      <c r="O42" s="979"/>
      <c r="P42" s="250" t="s">
        <v>325</v>
      </c>
      <c r="Q42" s="968">
        <f>I39</f>
        <v>0</v>
      </c>
      <c r="R42" s="968"/>
      <c r="S42" s="253" t="s">
        <v>315</v>
      </c>
      <c r="T42" s="254" t="s">
        <v>329</v>
      </c>
      <c r="U42" s="968">
        <f>M39</f>
        <v>0</v>
      </c>
      <c r="V42" s="968"/>
      <c r="W42" s="253" t="s">
        <v>315</v>
      </c>
    </row>
    <row r="43" spans="1:23" ht="24.95" customHeight="1">
      <c r="A43" s="976"/>
      <c r="B43" s="969" t="s">
        <v>317</v>
      </c>
      <c r="C43" s="970"/>
      <c r="D43" s="973" t="s">
        <v>221</v>
      </c>
      <c r="E43" s="965" t="s">
        <v>318</v>
      </c>
      <c r="F43" s="965"/>
      <c r="G43" s="966"/>
      <c r="H43" s="963" t="s">
        <v>222</v>
      </c>
      <c r="I43" s="965" t="s">
        <v>319</v>
      </c>
      <c r="J43" s="965"/>
      <c r="K43" s="966"/>
      <c r="M43" s="976"/>
      <c r="N43" s="969" t="s">
        <v>317</v>
      </c>
      <c r="O43" s="970"/>
      <c r="P43" s="973" t="s">
        <v>332</v>
      </c>
      <c r="Q43" s="965" t="s">
        <v>333</v>
      </c>
      <c r="R43" s="965"/>
      <c r="S43" s="966"/>
      <c r="T43" s="963" t="s">
        <v>334</v>
      </c>
      <c r="U43" s="965" t="s">
        <v>335</v>
      </c>
      <c r="V43" s="965"/>
      <c r="W43" s="966"/>
    </row>
    <row r="44" spans="1:23" ht="24.95" customHeight="1">
      <c r="A44" s="977"/>
      <c r="B44" s="971"/>
      <c r="C44" s="972"/>
      <c r="D44" s="974"/>
      <c r="E44" s="967">
        <f>E14+E29</f>
        <v>0</v>
      </c>
      <c r="F44" s="967"/>
      <c r="G44" s="255" t="s">
        <v>320</v>
      </c>
      <c r="H44" s="964"/>
      <c r="I44" s="967">
        <f>I14+I29</f>
        <v>0</v>
      </c>
      <c r="J44" s="967"/>
      <c r="K44" s="255" t="s">
        <v>320</v>
      </c>
      <c r="M44" s="977"/>
      <c r="N44" s="971"/>
      <c r="O44" s="972"/>
      <c r="P44" s="974"/>
      <c r="Q44" s="967">
        <f>Q29</f>
        <v>0</v>
      </c>
      <c r="R44" s="967"/>
      <c r="S44" s="255" t="s">
        <v>320</v>
      </c>
      <c r="T44" s="964"/>
      <c r="U44" s="967">
        <f>U29</f>
        <v>0</v>
      </c>
      <c r="V44" s="967"/>
      <c r="W44" s="255" t="s">
        <v>320</v>
      </c>
    </row>
    <row r="45" spans="1:23" ht="24.95" customHeight="1">
      <c r="B45" s="178"/>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4"/>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xr:uid="{41444E34-EA6F-41FD-9B9F-72D4F72B5BD8}"/>
  </dataValidations>
  <printOptions horizontalCentered="1"/>
  <pageMargins left="0.23622047244094491" right="0.23622047244094491" top="0.74803149606299213" bottom="0.74803149606299213" header="0.31496062992125984" footer="0.31496062992125984"/>
  <pageSetup paperSize="9" scale="51" orientation="landscape" blackAndWhite="1" errors="blank"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2A3-23D3-4535-8E04-2AD6C17F7433}">
  <sheetPr>
    <tabColor rgb="FFFFC000"/>
    <pageSetUpPr fitToPage="1"/>
  </sheetPr>
  <dimension ref="A1:AL58"/>
  <sheetViews>
    <sheetView showZeros="0" view="pageBreakPreview" zoomScale="85" zoomScaleNormal="100" zoomScaleSheetLayoutView="85" workbookViewId="0"/>
  </sheetViews>
  <sheetFormatPr defaultColWidth="9" defaultRowHeight="15" customHeight="1"/>
  <cols>
    <col min="1" max="1" width="19.5" style="614" bestFit="1" customWidth="1"/>
    <col min="2" max="2" width="15.5" style="614" customWidth="1"/>
    <col min="3" max="3" width="13.125" style="614" customWidth="1"/>
    <col min="4" max="6" width="9.375" style="614" customWidth="1"/>
    <col min="7" max="7" width="7.5" style="614" bestFit="1" customWidth="1"/>
    <col min="8" max="19" width="4" style="614" customWidth="1"/>
    <col min="20" max="20" width="15.5" style="614" bestFit="1" customWidth="1"/>
    <col min="21" max="22" width="4.375" style="613" customWidth="1"/>
    <col min="23" max="30" width="6.625" style="614" customWidth="1"/>
    <col min="31" max="31" width="38.125" style="614" customWidth="1"/>
    <col min="32" max="33" width="9" style="614"/>
    <col min="34" max="34" width="9" style="614" hidden="1" customWidth="1"/>
    <col min="35" max="35" width="12.625" style="614" hidden="1" customWidth="1"/>
    <col min="36" max="36" width="13.625" style="614" hidden="1" customWidth="1"/>
    <col min="37" max="37" width="11.875" style="614" hidden="1" customWidth="1"/>
    <col min="38" max="38" width="9" style="614" hidden="1" customWidth="1"/>
    <col min="39" max="16384" width="9" style="614"/>
  </cols>
  <sheetData>
    <row r="1" spans="1:37" s="609" customFormat="1" ht="13.15">
      <c r="A1" s="1092" t="s">
        <v>338</v>
      </c>
      <c r="B1" s="1092"/>
      <c r="C1" s="1092"/>
      <c r="U1" s="610"/>
      <c r="V1" s="610"/>
    </row>
    <row r="2" spans="1:37" s="609" customFormat="1" ht="14.45">
      <c r="C2" s="611"/>
      <c r="U2" s="612"/>
      <c r="V2" s="613"/>
    </row>
    <row r="3" spans="1:37" ht="24.95" customHeight="1">
      <c r="C3" s="1093" t="s">
        <v>339</v>
      </c>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7" ht="17.25" customHeight="1">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7" ht="17.25" customHeight="1">
      <c r="A5" s="1094" t="s">
        <v>341</v>
      </c>
      <c r="B5" s="1094"/>
      <c r="C5" s="109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7" ht="17.25" customHeight="1">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7" ht="24.95" customHeight="1">
      <c r="A7" s="588" t="s">
        <v>342</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7" ht="24.95" customHeight="1">
      <c r="A8" s="588" t="s">
        <v>343</v>
      </c>
      <c r="B8" s="904">
        <f>第2号様式!G9</f>
        <v>0</v>
      </c>
      <c r="C8" s="905"/>
      <c r="D8" s="905"/>
      <c r="E8" s="905"/>
      <c r="F8" s="621" t="s">
        <v>344</v>
      </c>
      <c r="G8" s="622"/>
      <c r="H8" s="615"/>
      <c r="I8" s="1085" t="s">
        <v>346</v>
      </c>
      <c r="J8" s="1086"/>
      <c r="K8" s="1095"/>
      <c r="L8" s="1096"/>
      <c r="M8" s="623"/>
      <c r="N8" s="624"/>
      <c r="O8" s="615"/>
      <c r="P8" s="615"/>
      <c r="Q8" s="615"/>
      <c r="R8" s="615"/>
      <c r="S8" s="615"/>
      <c r="T8" s="616"/>
      <c r="U8" s="617"/>
      <c r="V8" s="617"/>
      <c r="W8" s="616"/>
      <c r="X8" s="616"/>
      <c r="Y8" s="616"/>
      <c r="Z8" s="616"/>
      <c r="AA8" s="616"/>
      <c r="AB8" s="616"/>
      <c r="AC8" s="616"/>
      <c r="AD8" s="616"/>
      <c r="AE8" s="616"/>
    </row>
    <row r="9" spans="1:37" ht="24.95" customHeight="1">
      <c r="A9" s="625" t="s">
        <v>347</v>
      </c>
      <c r="B9" s="1082"/>
      <c r="C9" s="1083"/>
      <c r="D9" s="1083"/>
      <c r="E9" s="1083"/>
      <c r="F9" s="1083"/>
      <c r="G9" s="1084"/>
      <c r="H9" s="615"/>
      <c r="I9" s="1085" t="s">
        <v>348</v>
      </c>
      <c r="J9" s="1086"/>
      <c r="K9" s="1085"/>
      <c r="L9" s="1086"/>
      <c r="M9" s="623"/>
      <c r="N9" s="624"/>
      <c r="O9" s="615"/>
      <c r="P9" s="615"/>
      <c r="Q9" s="615"/>
      <c r="S9" s="615"/>
      <c r="T9" s="616"/>
      <c r="U9" s="617"/>
      <c r="V9" s="617"/>
      <c r="W9" s="616"/>
      <c r="X9" s="616"/>
      <c r="Y9" s="616"/>
      <c r="Z9" s="616"/>
      <c r="AA9" s="616"/>
      <c r="AB9" s="616"/>
      <c r="AC9" s="616"/>
      <c r="AD9" s="616"/>
      <c r="AE9" s="616"/>
    </row>
    <row r="10" spans="1:37" ht="24.95" customHeight="1">
      <c r="A10" s="626"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7" ht="24.95" customHeight="1">
      <c r="A11" s="631" t="s">
        <v>352</v>
      </c>
      <c r="B11" s="632"/>
      <c r="C11" s="621" t="s">
        <v>353</v>
      </c>
      <c r="D11" s="1082"/>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7" ht="12.75" customHeight="1">
      <c r="C12" s="633"/>
      <c r="U12" s="612"/>
      <c r="W12" s="1087"/>
      <c r="X12" s="1087"/>
      <c r="Y12" s="1087"/>
      <c r="Z12" s="1087"/>
      <c r="AA12" s="1087"/>
      <c r="AB12" s="1087"/>
      <c r="AC12" s="1087"/>
      <c r="AD12" s="1087"/>
      <c r="AE12" s="1087"/>
    </row>
    <row r="13" spans="1:37" ht="14.25" customHeight="1">
      <c r="A13" s="1088" t="s">
        <v>354</v>
      </c>
      <c r="B13" s="1081" t="s">
        <v>355</v>
      </c>
      <c r="C13" s="1081"/>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7" ht="13.5" customHeight="1">
      <c r="A14" s="1088"/>
      <c r="B14" s="1081"/>
      <c r="C14" s="1081"/>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I14" s="634" t="s">
        <v>361</v>
      </c>
      <c r="AJ14" s="634" t="s">
        <v>362</v>
      </c>
      <c r="AK14" s="634" t="s">
        <v>363</v>
      </c>
    </row>
    <row r="15" spans="1:37" ht="38.1" customHeight="1">
      <c r="A15" s="1088"/>
      <c r="B15" s="1081"/>
      <c r="C15" s="1081"/>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I15" s="639" t="str">
        <f>IF(G8="第３種","○","×")</f>
        <v>×</v>
      </c>
      <c r="AJ15" s="639" t="str">
        <f>IF(G8="第４種","○","×")</f>
        <v>×</v>
      </c>
      <c r="AK15" s="639" t="str">
        <f>IF(G8="第５種","○","×")</f>
        <v>×</v>
      </c>
    </row>
    <row r="16" spans="1:37" ht="24.95" customHeight="1" thickBot="1">
      <c r="A16" s="1406"/>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1056"/>
      <c r="X16" s="1056"/>
      <c r="Y16" s="1056"/>
      <c r="Z16" s="1056"/>
      <c r="AA16" s="1056"/>
      <c r="AB16" s="1056"/>
      <c r="AC16" s="1056"/>
      <c r="AD16" s="1056"/>
      <c r="AE16" s="1058"/>
    </row>
    <row r="17" spans="1:36" ht="24.95" customHeight="1" thickBot="1">
      <c r="A17" s="1407"/>
      <c r="B17" s="1120"/>
      <c r="C17" s="1121"/>
      <c r="D17" s="1063"/>
      <c r="E17" s="1063"/>
      <c r="F17" s="1063"/>
      <c r="G17" s="645" t="s">
        <v>311</v>
      </c>
      <c r="H17" s="646"/>
      <c r="I17" s="646"/>
      <c r="J17" s="646"/>
      <c r="K17" s="646"/>
      <c r="L17" s="646"/>
      <c r="M17" s="646"/>
      <c r="N17" s="646"/>
      <c r="O17" s="646"/>
      <c r="P17" s="646"/>
      <c r="Q17" s="646"/>
      <c r="R17" s="646"/>
      <c r="S17" s="646"/>
      <c r="T17" s="647">
        <f>SUM(H17:S17)</f>
        <v>0</v>
      </c>
      <c r="U17" s="648"/>
      <c r="V17" s="649"/>
      <c r="W17" s="1056"/>
      <c r="X17" s="1056"/>
      <c r="Y17" s="1056"/>
      <c r="Z17" s="1056"/>
      <c r="AA17" s="1056"/>
      <c r="AB17" s="1056"/>
      <c r="AC17" s="1056"/>
      <c r="AD17" s="1056"/>
      <c r="AE17" s="1059"/>
      <c r="AJ17" s="650" t="str">
        <f>IF(COUNTIF(AI15:AK15,"○"),"入力不可","入力可")</f>
        <v>入力可</v>
      </c>
    </row>
    <row r="18" spans="1:36" ht="24.95" customHeight="1">
      <c r="A18" s="1406"/>
      <c r="B18" s="1116"/>
      <c r="C18" s="1117"/>
      <c r="D18" s="1062"/>
      <c r="E18" s="1064"/>
      <c r="F18" s="1062"/>
      <c r="G18" s="640" t="s">
        <v>303</v>
      </c>
      <c r="H18" s="641"/>
      <c r="I18" s="641"/>
      <c r="J18" s="641"/>
      <c r="K18" s="641"/>
      <c r="L18" s="641"/>
      <c r="M18" s="641"/>
      <c r="N18" s="641"/>
      <c r="O18" s="641"/>
      <c r="P18" s="641"/>
      <c r="Q18" s="641"/>
      <c r="R18" s="641"/>
      <c r="S18" s="641"/>
      <c r="T18" s="642">
        <f>COUNTA(H18:S18)</f>
        <v>0</v>
      </c>
      <c r="U18" s="643"/>
      <c r="V18" s="644"/>
      <c r="W18" s="1056"/>
      <c r="X18" s="1056"/>
      <c r="Y18" s="1056"/>
      <c r="Z18" s="1056"/>
      <c r="AA18" s="1056"/>
      <c r="AB18" s="1056"/>
      <c r="AC18" s="1056"/>
      <c r="AD18" s="1056"/>
      <c r="AE18" s="1058"/>
    </row>
    <row r="19" spans="1:36" ht="24.95" customHeight="1" thickBot="1">
      <c r="A19" s="1407"/>
      <c r="B19" s="1120"/>
      <c r="C19" s="1121"/>
      <c r="D19" s="1063"/>
      <c r="E19" s="1065"/>
      <c r="F19" s="1063"/>
      <c r="G19" s="645" t="s">
        <v>311</v>
      </c>
      <c r="H19" s="646"/>
      <c r="I19" s="651"/>
      <c r="J19" s="646"/>
      <c r="K19" s="646"/>
      <c r="L19" s="646"/>
      <c r="M19" s="646"/>
      <c r="N19" s="646"/>
      <c r="O19" s="646"/>
      <c r="P19" s="646"/>
      <c r="Q19" s="646"/>
      <c r="R19" s="646"/>
      <c r="S19" s="646"/>
      <c r="T19" s="647">
        <f>SUM(H19:S19)</f>
        <v>0</v>
      </c>
      <c r="U19" s="648"/>
      <c r="V19" s="648"/>
      <c r="W19" s="1056"/>
      <c r="X19" s="1056"/>
      <c r="Y19" s="1056"/>
      <c r="Z19" s="1056"/>
      <c r="AA19" s="1056"/>
      <c r="AB19" s="1056"/>
      <c r="AC19" s="1056"/>
      <c r="AD19" s="1056"/>
      <c r="AE19" s="1059"/>
    </row>
    <row r="20" spans="1:36" ht="24.95" customHeight="1" thickBot="1">
      <c r="A20" s="1406"/>
      <c r="B20" s="1116"/>
      <c r="C20" s="1117"/>
      <c r="D20" s="1062"/>
      <c r="E20" s="1064"/>
      <c r="F20" s="1062"/>
      <c r="G20" s="652" t="s">
        <v>303</v>
      </c>
      <c r="H20" s="641"/>
      <c r="I20" s="641"/>
      <c r="J20" s="641"/>
      <c r="K20" s="641"/>
      <c r="L20" s="641"/>
      <c r="M20" s="641"/>
      <c r="N20" s="641"/>
      <c r="O20" s="641"/>
      <c r="P20" s="641"/>
      <c r="Q20" s="641"/>
      <c r="R20" s="641"/>
      <c r="S20" s="641"/>
      <c r="T20" s="642">
        <f>COUNTA(H20:S20)</f>
        <v>0</v>
      </c>
      <c r="U20" s="643"/>
      <c r="V20" s="644"/>
      <c r="W20" s="1056"/>
      <c r="X20" s="1056"/>
      <c r="Y20" s="1056"/>
      <c r="Z20" s="1056"/>
      <c r="AA20" s="1056"/>
      <c r="AB20" s="1056"/>
      <c r="AC20" s="1056"/>
      <c r="AD20" s="1056"/>
      <c r="AE20" s="1058"/>
      <c r="AI20" s="653" t="s">
        <v>378</v>
      </c>
      <c r="AJ20" s="654" t="s">
        <v>379</v>
      </c>
    </row>
    <row r="21" spans="1:36" ht="24.95" customHeight="1" thickBot="1">
      <c r="A21" s="1407"/>
      <c r="B21" s="1120"/>
      <c r="C21" s="1121"/>
      <c r="D21" s="1063"/>
      <c r="E21" s="1065"/>
      <c r="F21" s="1063"/>
      <c r="G21" s="655" t="s">
        <v>311</v>
      </c>
      <c r="H21" s="646"/>
      <c r="I21" s="646"/>
      <c r="J21" s="646"/>
      <c r="K21" s="646"/>
      <c r="L21" s="646"/>
      <c r="M21" s="646"/>
      <c r="N21" s="646"/>
      <c r="O21" s="646"/>
      <c r="P21" s="646"/>
      <c r="Q21" s="646"/>
      <c r="R21" s="646"/>
      <c r="S21" s="646"/>
      <c r="T21" s="647">
        <f>SUM(H21:S21)</f>
        <v>0</v>
      </c>
      <c r="U21" s="648"/>
      <c r="V21" s="648"/>
      <c r="W21" s="1056"/>
      <c r="X21" s="1056"/>
      <c r="Y21" s="1056"/>
      <c r="Z21" s="1056"/>
      <c r="AA21" s="1056"/>
      <c r="AB21" s="1056"/>
      <c r="AC21" s="1056"/>
      <c r="AD21" s="1056"/>
      <c r="AE21" s="1059"/>
      <c r="AI21" s="656">
        <f>X27</f>
        <v>0</v>
      </c>
      <c r="AJ21" s="657">
        <f>AB27</f>
        <v>0</v>
      </c>
    </row>
    <row r="22" spans="1:36" ht="24.95" customHeight="1" thickBot="1">
      <c r="A22" s="1406"/>
      <c r="B22" s="1116"/>
      <c r="C22" s="1117"/>
      <c r="D22" s="1062"/>
      <c r="E22" s="1064"/>
      <c r="F22" s="1062"/>
      <c r="G22" s="640" t="s">
        <v>303</v>
      </c>
      <c r="H22" s="641"/>
      <c r="I22" s="641"/>
      <c r="J22" s="641"/>
      <c r="K22" s="641"/>
      <c r="L22" s="641"/>
      <c r="M22" s="641"/>
      <c r="N22" s="641"/>
      <c r="O22" s="641"/>
      <c r="P22" s="641"/>
      <c r="Q22" s="641"/>
      <c r="R22" s="641"/>
      <c r="S22" s="641"/>
      <c r="T22" s="642">
        <f>COUNTA(H22:S22)</f>
        <v>0</v>
      </c>
      <c r="U22" s="643"/>
      <c r="V22" s="644"/>
      <c r="W22" s="1056"/>
      <c r="X22" s="1056"/>
      <c r="Y22" s="1056"/>
      <c r="Z22" s="1056"/>
      <c r="AA22" s="1056"/>
      <c r="AB22" s="1056"/>
      <c r="AC22" s="1056"/>
      <c r="AD22" s="1056"/>
      <c r="AE22" s="1058"/>
      <c r="AI22" s="653" t="s">
        <v>380</v>
      </c>
      <c r="AJ22" s="654" t="s">
        <v>381</v>
      </c>
    </row>
    <row r="23" spans="1:36" ht="24.95" customHeight="1" thickBot="1">
      <c r="A23" s="1407"/>
      <c r="B23" s="1120"/>
      <c r="C23" s="1121"/>
      <c r="D23" s="1063"/>
      <c r="E23" s="1065"/>
      <c r="F23" s="1063"/>
      <c r="G23" s="658" t="s">
        <v>311</v>
      </c>
      <c r="H23" s="646"/>
      <c r="I23" s="646"/>
      <c r="J23" s="646"/>
      <c r="K23" s="646"/>
      <c r="L23" s="646"/>
      <c r="M23" s="646"/>
      <c r="N23" s="646"/>
      <c r="O23" s="646"/>
      <c r="P23" s="659"/>
      <c r="Q23" s="659"/>
      <c r="R23" s="659"/>
      <c r="S23" s="659"/>
      <c r="T23" s="660">
        <f>SUM(H23:S23)</f>
        <v>0</v>
      </c>
      <c r="U23" s="661"/>
      <c r="V23" s="661"/>
      <c r="W23" s="1057"/>
      <c r="X23" s="1057"/>
      <c r="Y23" s="1057"/>
      <c r="Z23" s="1057"/>
      <c r="AA23" s="1057"/>
      <c r="AB23" s="1057"/>
      <c r="AC23" s="1057"/>
      <c r="AD23" s="1057"/>
      <c r="AE23" s="1059"/>
      <c r="AI23" s="656">
        <f>X29</f>
        <v>0</v>
      </c>
      <c r="AJ23" s="662">
        <f>AB29</f>
        <v>0</v>
      </c>
    </row>
    <row r="24" spans="1:36" ht="20.100000000000001" customHeight="1">
      <c r="F24" s="663"/>
      <c r="G24" s="664"/>
      <c r="H24" s="665"/>
      <c r="I24" s="665"/>
      <c r="J24" s="665"/>
      <c r="K24" s="665"/>
      <c r="L24" s="665"/>
      <c r="M24" s="665"/>
      <c r="N24" s="665"/>
      <c r="O24" s="665"/>
      <c r="P24" s="1046" t="s">
        <v>302</v>
      </c>
      <c r="Q24" s="1047"/>
      <c r="R24" s="1050" t="s">
        <v>303</v>
      </c>
      <c r="S24" s="1050"/>
      <c r="T24" s="666">
        <f>T16+T18+T20+T22</f>
        <v>0</v>
      </c>
      <c r="U24" s="667">
        <f>U16+U18+U20+U22</f>
        <v>0</v>
      </c>
      <c r="V24" s="667">
        <f>V16+V18+V20+V22</f>
        <v>0</v>
      </c>
      <c r="W24" s="668" t="s">
        <v>304</v>
      </c>
      <c r="X24" s="668" t="s">
        <v>305</v>
      </c>
      <c r="Y24" s="668" t="s">
        <v>306</v>
      </c>
      <c r="Z24" s="668" t="s">
        <v>307</v>
      </c>
      <c r="AA24" s="668" t="s">
        <v>308</v>
      </c>
      <c r="AB24" s="668" t="s">
        <v>309</v>
      </c>
      <c r="AC24" s="668" t="s">
        <v>310</v>
      </c>
      <c r="AD24" s="669" t="s">
        <v>202</v>
      </c>
    </row>
    <row r="25" spans="1:36" ht="20.100000000000001" customHeight="1" thickBot="1">
      <c r="C25" s="670"/>
      <c r="D25" s="671"/>
      <c r="E25" s="671"/>
      <c r="F25" s="663"/>
      <c r="G25" s="664"/>
      <c r="H25" s="665"/>
      <c r="I25" s="665"/>
      <c r="J25" s="665"/>
      <c r="K25" s="665"/>
      <c r="L25" s="665"/>
      <c r="M25" s="665"/>
      <c r="N25" s="665"/>
      <c r="O25" s="665"/>
      <c r="P25" s="1048"/>
      <c r="Q25" s="1049"/>
      <c r="R25" s="1051" t="s">
        <v>311</v>
      </c>
      <c r="S25" s="1051"/>
      <c r="T25" s="672">
        <f t="shared" ref="T25:V25" si="0">T17+T19+T21+T23</f>
        <v>0</v>
      </c>
      <c r="U25" s="673">
        <f t="shared" si="0"/>
        <v>0</v>
      </c>
      <c r="V25" s="673">
        <f t="shared" si="0"/>
        <v>0</v>
      </c>
      <c r="W25" s="674">
        <f t="shared" ref="W25:AD25" si="1">SUM(W16:W23)</f>
        <v>0</v>
      </c>
      <c r="X25" s="674">
        <f t="shared" si="1"/>
        <v>0</v>
      </c>
      <c r="Y25" s="674">
        <f t="shared" si="1"/>
        <v>0</v>
      </c>
      <c r="Z25" s="674">
        <f t="shared" si="1"/>
        <v>0</v>
      </c>
      <c r="AA25" s="674">
        <f t="shared" si="1"/>
        <v>0</v>
      </c>
      <c r="AB25" s="674">
        <f t="shared" si="1"/>
        <v>0</v>
      </c>
      <c r="AC25" s="674">
        <f t="shared" si="1"/>
        <v>0</v>
      </c>
      <c r="AD25" s="675">
        <f t="shared" si="1"/>
        <v>0</v>
      </c>
    </row>
    <row r="26" spans="1:36" ht="12">
      <c r="C26" s="676"/>
      <c r="D26" s="676"/>
      <c r="E26" s="676"/>
      <c r="F26" s="676"/>
      <c r="G26" s="671"/>
      <c r="T26" s="671"/>
      <c r="W26" s="671"/>
      <c r="X26" s="671"/>
      <c r="Y26" s="671"/>
      <c r="Z26" s="671"/>
      <c r="AA26" s="671"/>
      <c r="AB26" s="671"/>
      <c r="AC26" s="671"/>
      <c r="AD26" s="671"/>
    </row>
    <row r="27" spans="1:36" ht="26.25" customHeight="1">
      <c r="A27" s="1052" t="s">
        <v>382</v>
      </c>
      <c r="B27" s="1052"/>
      <c r="C27" s="1052"/>
      <c r="D27" s="1052"/>
      <c r="E27" s="1052"/>
      <c r="F27" s="1052"/>
      <c r="G27" s="1052"/>
      <c r="H27" s="1052"/>
      <c r="I27" s="1052"/>
      <c r="J27" s="1052"/>
      <c r="K27" s="1052"/>
      <c r="L27" s="1052"/>
      <c r="M27" s="1052"/>
      <c r="N27" s="1052"/>
      <c r="O27" s="1052"/>
      <c r="T27" s="1053" t="s">
        <v>383</v>
      </c>
      <c r="U27" s="1054"/>
      <c r="V27" s="1055"/>
      <c r="W27" s="677" t="s">
        <v>198</v>
      </c>
      <c r="X27" s="1032">
        <f>Z25</f>
        <v>0</v>
      </c>
      <c r="Y27" s="1032"/>
      <c r="Z27" s="678" t="s">
        <v>315</v>
      </c>
      <c r="AA27" s="679" t="s">
        <v>316</v>
      </c>
      <c r="AB27" s="1032">
        <f>AD25</f>
        <v>0</v>
      </c>
      <c r="AC27" s="1032"/>
      <c r="AD27" s="678" t="s">
        <v>315</v>
      </c>
    </row>
    <row r="28" spans="1:36" ht="25.5" customHeight="1">
      <c r="A28" s="1052"/>
      <c r="B28" s="1052"/>
      <c r="C28" s="1052"/>
      <c r="D28" s="1052"/>
      <c r="E28" s="1052"/>
      <c r="F28" s="1052"/>
      <c r="G28" s="1052"/>
      <c r="H28" s="1052"/>
      <c r="I28" s="1052"/>
      <c r="J28" s="1052"/>
      <c r="K28" s="1052"/>
      <c r="L28" s="1052"/>
      <c r="M28" s="1052"/>
      <c r="N28" s="1052"/>
      <c r="O28" s="1052"/>
      <c r="T28" s="1033" t="s">
        <v>384</v>
      </c>
      <c r="U28" s="1034"/>
      <c r="V28" s="1035"/>
      <c r="W28" s="1039" t="s">
        <v>221</v>
      </c>
      <c r="X28" s="1041" t="s">
        <v>318</v>
      </c>
      <c r="Y28" s="1041"/>
      <c r="Z28" s="1042"/>
      <c r="AA28" s="1043" t="s">
        <v>222</v>
      </c>
      <c r="AB28" s="1041" t="s">
        <v>319</v>
      </c>
      <c r="AC28" s="1041"/>
      <c r="AD28" s="1042"/>
    </row>
    <row r="29" spans="1:36" ht="45" customHeight="1">
      <c r="A29" s="1052"/>
      <c r="B29" s="1052"/>
      <c r="C29" s="1052"/>
      <c r="D29" s="1052"/>
      <c r="E29" s="1052"/>
      <c r="F29" s="1052"/>
      <c r="G29" s="1052"/>
      <c r="H29" s="1052"/>
      <c r="I29" s="1052"/>
      <c r="J29" s="1052"/>
      <c r="K29" s="1052"/>
      <c r="L29" s="1052"/>
      <c r="M29" s="1052"/>
      <c r="N29" s="1052"/>
      <c r="O29" s="1052"/>
      <c r="T29" s="1036"/>
      <c r="U29" s="1037"/>
      <c r="V29" s="1038"/>
      <c r="W29" s="1040"/>
      <c r="X29" s="1045">
        <f>W25+(X25*2)+(Y25*3)</f>
        <v>0</v>
      </c>
      <c r="Y29" s="1045"/>
      <c r="Z29" s="680" t="s">
        <v>320</v>
      </c>
      <c r="AA29" s="1044"/>
      <c r="AB29" s="1045">
        <f>AA25+(AB25*2)+(AC25*3)</f>
        <v>0</v>
      </c>
      <c r="AC29" s="1045"/>
      <c r="AD29" s="680" t="s">
        <v>320</v>
      </c>
    </row>
    <row r="30" spans="1:36" ht="12">
      <c r="C30" s="681"/>
      <c r="D30" s="681"/>
      <c r="E30" s="681"/>
      <c r="F30" s="681"/>
      <c r="G30" s="681"/>
      <c r="H30" s="681"/>
      <c r="I30" s="681"/>
      <c r="J30" s="681"/>
      <c r="K30" s="681"/>
      <c r="L30" s="681"/>
      <c r="M30" s="681"/>
      <c r="N30" s="681"/>
      <c r="O30" s="681"/>
      <c r="P30" s="681"/>
      <c r="Q30" s="681"/>
      <c r="R30" s="681"/>
      <c r="S30" s="681"/>
      <c r="T30" s="681"/>
      <c r="W30" s="681"/>
      <c r="X30" s="681"/>
      <c r="Y30" s="681"/>
      <c r="Z30" s="681"/>
      <c r="AA30" s="681"/>
      <c r="AB30" s="681"/>
      <c r="AC30" s="681"/>
      <c r="AD30" s="681"/>
      <c r="AE30" s="681"/>
    </row>
    <row r="31" spans="1:36" ht="12"/>
    <row r="32" spans="1:36" ht="24.95" customHeight="1">
      <c r="D32" s="682"/>
    </row>
    <row r="33" spans="4:22" ht="24.95" customHeight="1">
      <c r="D33" s="682"/>
      <c r="U33" s="614"/>
      <c r="V33" s="614"/>
    </row>
    <row r="34" spans="4:22" ht="12">
      <c r="U34" s="614"/>
      <c r="V34" s="614"/>
    </row>
    <row r="35" spans="4:22" ht="12">
      <c r="U35" s="614"/>
      <c r="V35" s="614"/>
    </row>
    <row r="36" spans="4:22" ht="12">
      <c r="U36" s="614"/>
      <c r="V36" s="614"/>
    </row>
    <row r="37" spans="4:22" ht="12">
      <c r="U37" s="614"/>
      <c r="V37" s="614"/>
    </row>
    <row r="38" spans="4:22" ht="12">
      <c r="U38" s="614"/>
      <c r="V38" s="614"/>
    </row>
    <row r="39" spans="4:22" ht="12">
      <c r="U39" s="614"/>
      <c r="V39" s="614"/>
    </row>
    <row r="40" spans="4:22" ht="12">
      <c r="U40" s="614"/>
      <c r="V40" s="614"/>
    </row>
    <row r="41" spans="4:22" ht="12">
      <c r="U41" s="614"/>
      <c r="V41" s="614"/>
    </row>
    <row r="42" spans="4:22" ht="12">
      <c r="U42" s="614"/>
      <c r="V42" s="614"/>
    </row>
    <row r="43" spans="4:22" ht="12">
      <c r="U43" s="614"/>
      <c r="V43" s="614"/>
    </row>
    <row r="44" spans="4:22" ht="12">
      <c r="U44" s="614"/>
      <c r="V44" s="614"/>
    </row>
    <row r="45" spans="4:22" ht="12">
      <c r="U45" s="614"/>
      <c r="V45" s="614"/>
    </row>
    <row r="46" spans="4:22" ht="12">
      <c r="U46" s="614"/>
      <c r="V46" s="614"/>
    </row>
    <row r="47" spans="4:22" ht="12">
      <c r="U47" s="614"/>
      <c r="V47" s="614"/>
    </row>
    <row r="48" spans="4:22" ht="12">
      <c r="U48" s="614"/>
      <c r="V48" s="614"/>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sheetData>
  <mergeCells count="93">
    <mergeCell ref="AB27:AC27"/>
    <mergeCell ref="T28:V29"/>
    <mergeCell ref="W28:W29"/>
    <mergeCell ref="X28:Z28"/>
    <mergeCell ref="AA28:AA29"/>
    <mergeCell ref="AB28:AD28"/>
    <mergeCell ref="X29:Y29"/>
    <mergeCell ref="AB29:AC29"/>
    <mergeCell ref="X27:Y27"/>
    <mergeCell ref="P24:Q25"/>
    <mergeCell ref="R24:S24"/>
    <mergeCell ref="R25:S25"/>
    <mergeCell ref="A27:O29"/>
    <mergeCell ref="T27:V27"/>
    <mergeCell ref="Z22:Z23"/>
    <mergeCell ref="AA22:AA23"/>
    <mergeCell ref="AB22:AB23"/>
    <mergeCell ref="AC22:AC23"/>
    <mergeCell ref="AD22:AD23"/>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AC20:AC21"/>
    <mergeCell ref="A20:A21"/>
    <mergeCell ref="B20:C21"/>
    <mergeCell ref="D20:D21"/>
    <mergeCell ref="E20:E21"/>
    <mergeCell ref="F20:F21"/>
    <mergeCell ref="W20:W21"/>
    <mergeCell ref="Z18:Z19"/>
    <mergeCell ref="AA18:AA19"/>
    <mergeCell ref="AB18:AB19"/>
    <mergeCell ref="AC18:AC19"/>
    <mergeCell ref="AD18:AD19"/>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AC16:AC17"/>
    <mergeCell ref="A16:A17"/>
    <mergeCell ref="B16:C17"/>
    <mergeCell ref="D16:D17"/>
    <mergeCell ref="E16:E17"/>
    <mergeCell ref="F16:F17"/>
    <mergeCell ref="W16:W17"/>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C1"/>
    <mergeCell ref="C3:AE3"/>
    <mergeCell ref="A5:C5"/>
    <mergeCell ref="B8:E8"/>
    <mergeCell ref="I8:J8"/>
    <mergeCell ref="K8:L8"/>
  </mergeCells>
  <phoneticPr fontId="4"/>
  <conditionalFormatting sqref="A16:B16 A18:B18 A20:B20 A22:B22">
    <cfRule type="containsBlanks" dxfId="62" priority="4" stopIfTrue="1">
      <formula>LEN(TRIM(A16))=0</formula>
    </cfRule>
  </conditionalFormatting>
  <conditionalFormatting sqref="B7:B8 F8:G8 B9:G9 F10 D16:F23 U16:V23">
    <cfRule type="containsBlanks" dxfId="61" priority="5" stopIfTrue="1">
      <formula>LEN(TRIM(B7))=0</formula>
    </cfRule>
  </conditionalFormatting>
  <conditionalFormatting sqref="B10:B11 D10:D11">
    <cfRule type="containsBlanks" dxfId="60" priority="3" stopIfTrue="1">
      <formula>LEN(TRIM(B10))=0</formula>
    </cfRule>
  </conditionalFormatting>
  <conditionalFormatting sqref="H16:S23 W16:AD23">
    <cfRule type="containsBlanks" dxfId="59" priority="2">
      <formula>LEN(TRIM(H16))=0</formula>
    </cfRule>
  </conditionalFormatting>
  <conditionalFormatting sqref="K8:L9">
    <cfRule type="expression" dxfId="58" priority="1">
      <formula>IF($AJ$17="入力不可",TRUE,FALSE)</formula>
    </cfRule>
  </conditionalFormatting>
  <dataValidations count="6">
    <dataValidation type="list" allowBlank="1" showInputMessage="1" sqref="H20:S20 H22:S22 H18:S18 H16:S16" xr:uid="{235EFF16-82C0-44D9-8A96-EB250A1C9B83}">
      <formula1>"→,内,救,地,外,小,産,麻,精,選"</formula1>
    </dataValidation>
    <dataValidation type="custom" allowBlank="1" showInputMessage="1" showErrorMessage="1" sqref="AH21" xr:uid="{01A7A878-3ABE-49B6-BD0A-BE20B81E2C37}">
      <formula1>IF($AJ$17="入力不可",FALSE,TRUE)</formula1>
    </dataValidation>
    <dataValidation type="list" allowBlank="1" showInputMessage="1" showErrorMessage="1" sqref="F16:F23" xr:uid="{6F498BD2-AEC3-48D2-B2FE-2A472950E084}">
      <formula1>"第1種,第2種,第3種,第4種,第5種"</formula1>
    </dataValidation>
    <dataValidation type="custom" allowBlank="1" showInputMessage="1" showErrorMessage="1" errorTitle="!入力不要！" error="地域種別が第３種、第４種及び第５種に該当する場合は入力不要です。" sqref="K9:L9" xr:uid="{B3B20163-42FD-4D16-BECC-BE3C29769A25}">
      <formula1>IF(AJ17="入力不可",FALSE,TRUE)</formula1>
    </dataValidation>
    <dataValidation type="list" allowBlank="1" showInputMessage="1" showErrorMessage="1" sqref="G8" xr:uid="{95BD7815-B305-458E-897F-BD9D79DF8643}">
      <formula1>"第１種,第２種,第３種,第４種,第５種"</formula1>
    </dataValidation>
    <dataValidation type="custom" allowBlank="1" showInputMessage="1" showErrorMessage="1" errorTitle="!入力不要！" error="地域種別が第３種、第４種及び第５種に該当する場合は入力不要です。" sqref="K8:L8" xr:uid="{774A960E-B469-4FA0-BA7B-36912FF81A95}">
      <formula1>IF(AJ17="入力不可",FALSE,TRUE)</formula1>
    </dataValidation>
  </dataValidations>
  <printOptions horizontalCentered="1"/>
  <pageMargins left="0.23622047244094491" right="0.23622047244094491" top="0.74803149606299213" bottom="0.74803149606299213" header="0.31496062992125984" footer="0.31496062992125984"/>
  <pageSetup paperSize="9" scale="59" orientation="landscape" blackAndWhite="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N27"/>
  <sheetViews>
    <sheetView view="pageBreakPreview" zoomScale="70" zoomScaleNormal="100" zoomScaleSheetLayoutView="70" workbookViewId="0">
      <selection activeCell="D17" sqref="D17"/>
    </sheetView>
  </sheetViews>
  <sheetFormatPr defaultColWidth="12.625" defaultRowHeight="24" customHeight="1"/>
  <cols>
    <col min="1" max="1" width="3.125" style="86" customWidth="1"/>
    <col min="2" max="2" width="29.25" style="86" customWidth="1"/>
    <col min="3" max="3" width="15.625" style="86" customWidth="1"/>
    <col min="4" max="256" width="12.625" style="86"/>
    <col min="257" max="257" width="3.125" style="86" customWidth="1"/>
    <col min="258" max="258" width="29.25" style="86" customWidth="1"/>
    <col min="259" max="259" width="15.625" style="86" customWidth="1"/>
    <col min="260" max="512" width="12.625" style="86"/>
    <col min="513" max="513" width="3.125" style="86" customWidth="1"/>
    <col min="514" max="514" width="29.25" style="86" customWidth="1"/>
    <col min="515" max="515" width="15.625" style="86" customWidth="1"/>
    <col min="516" max="768" width="12.625" style="86"/>
    <col min="769" max="769" width="3.125" style="86" customWidth="1"/>
    <col min="770" max="770" width="29.25" style="86" customWidth="1"/>
    <col min="771" max="771" width="15.625" style="86" customWidth="1"/>
    <col min="772" max="1024" width="12.625" style="86"/>
    <col min="1025" max="1025" width="3.125" style="86" customWidth="1"/>
    <col min="1026" max="1026" width="29.25" style="86" customWidth="1"/>
    <col min="1027" max="1027" width="15.625" style="86" customWidth="1"/>
    <col min="1028" max="1280" width="12.625" style="86"/>
    <col min="1281" max="1281" width="3.125" style="86" customWidth="1"/>
    <col min="1282" max="1282" width="29.25" style="86" customWidth="1"/>
    <col min="1283" max="1283" width="15.625" style="86" customWidth="1"/>
    <col min="1284" max="1536" width="12.625" style="86"/>
    <col min="1537" max="1537" width="3.125" style="86" customWidth="1"/>
    <col min="1538" max="1538" width="29.25" style="86" customWidth="1"/>
    <col min="1539" max="1539" width="15.625" style="86" customWidth="1"/>
    <col min="1540" max="1792" width="12.625" style="86"/>
    <col min="1793" max="1793" width="3.125" style="86" customWidth="1"/>
    <col min="1794" max="1794" width="29.25" style="86" customWidth="1"/>
    <col min="1795" max="1795" width="15.625" style="86" customWidth="1"/>
    <col min="1796" max="2048" width="12.625" style="86"/>
    <col min="2049" max="2049" width="3.125" style="86" customWidth="1"/>
    <col min="2050" max="2050" width="29.25" style="86" customWidth="1"/>
    <col min="2051" max="2051" width="15.625" style="86" customWidth="1"/>
    <col min="2052" max="2304" width="12.625" style="86"/>
    <col min="2305" max="2305" width="3.125" style="86" customWidth="1"/>
    <col min="2306" max="2306" width="29.25" style="86" customWidth="1"/>
    <col min="2307" max="2307" width="15.625" style="86" customWidth="1"/>
    <col min="2308" max="2560" width="12.625" style="86"/>
    <col min="2561" max="2561" width="3.125" style="86" customWidth="1"/>
    <col min="2562" max="2562" width="29.25" style="86" customWidth="1"/>
    <col min="2563" max="2563" width="15.625" style="86" customWidth="1"/>
    <col min="2564" max="2816" width="12.625" style="86"/>
    <col min="2817" max="2817" width="3.125" style="86" customWidth="1"/>
    <col min="2818" max="2818" width="29.25" style="86" customWidth="1"/>
    <col min="2819" max="2819" width="15.625" style="86" customWidth="1"/>
    <col min="2820" max="3072" width="12.625" style="86"/>
    <col min="3073" max="3073" width="3.125" style="86" customWidth="1"/>
    <col min="3074" max="3074" width="29.25" style="86" customWidth="1"/>
    <col min="3075" max="3075" width="15.625" style="86" customWidth="1"/>
    <col min="3076" max="3328" width="12.625" style="86"/>
    <col min="3329" max="3329" width="3.125" style="86" customWidth="1"/>
    <col min="3330" max="3330" width="29.25" style="86" customWidth="1"/>
    <col min="3331" max="3331" width="15.625" style="86" customWidth="1"/>
    <col min="3332" max="3584" width="12.625" style="86"/>
    <col min="3585" max="3585" width="3.125" style="86" customWidth="1"/>
    <col min="3586" max="3586" width="29.25" style="86" customWidth="1"/>
    <col min="3587" max="3587" width="15.625" style="86" customWidth="1"/>
    <col min="3588" max="3840" width="12.625" style="86"/>
    <col min="3841" max="3841" width="3.125" style="86" customWidth="1"/>
    <col min="3842" max="3842" width="29.25" style="86" customWidth="1"/>
    <col min="3843" max="3843" width="15.625" style="86" customWidth="1"/>
    <col min="3844" max="4096" width="12.625" style="86"/>
    <col min="4097" max="4097" width="3.125" style="86" customWidth="1"/>
    <col min="4098" max="4098" width="29.25" style="86" customWidth="1"/>
    <col min="4099" max="4099" width="15.625" style="86" customWidth="1"/>
    <col min="4100" max="4352" width="12.625" style="86"/>
    <col min="4353" max="4353" width="3.125" style="86" customWidth="1"/>
    <col min="4354" max="4354" width="29.25" style="86" customWidth="1"/>
    <col min="4355" max="4355" width="15.625" style="86" customWidth="1"/>
    <col min="4356" max="4608" width="12.625" style="86"/>
    <col min="4609" max="4609" width="3.125" style="86" customWidth="1"/>
    <col min="4610" max="4610" width="29.25" style="86" customWidth="1"/>
    <col min="4611" max="4611" width="15.625" style="86" customWidth="1"/>
    <col min="4612" max="4864" width="12.625" style="86"/>
    <col min="4865" max="4865" width="3.125" style="86" customWidth="1"/>
    <col min="4866" max="4866" width="29.25" style="86" customWidth="1"/>
    <col min="4867" max="4867" width="15.625" style="86" customWidth="1"/>
    <col min="4868" max="5120" width="12.625" style="86"/>
    <col min="5121" max="5121" width="3.125" style="86" customWidth="1"/>
    <col min="5122" max="5122" width="29.25" style="86" customWidth="1"/>
    <col min="5123" max="5123" width="15.625" style="86" customWidth="1"/>
    <col min="5124" max="5376" width="12.625" style="86"/>
    <col min="5377" max="5377" width="3.125" style="86" customWidth="1"/>
    <col min="5378" max="5378" width="29.25" style="86" customWidth="1"/>
    <col min="5379" max="5379" width="15.625" style="86" customWidth="1"/>
    <col min="5380" max="5632" width="12.625" style="86"/>
    <col min="5633" max="5633" width="3.125" style="86" customWidth="1"/>
    <col min="5634" max="5634" width="29.25" style="86" customWidth="1"/>
    <col min="5635" max="5635" width="15.625" style="86" customWidth="1"/>
    <col min="5636" max="5888" width="12.625" style="86"/>
    <col min="5889" max="5889" width="3.125" style="86" customWidth="1"/>
    <col min="5890" max="5890" width="29.25" style="86" customWidth="1"/>
    <col min="5891" max="5891" width="15.625" style="86" customWidth="1"/>
    <col min="5892" max="6144" width="12.625" style="86"/>
    <col min="6145" max="6145" width="3.125" style="86" customWidth="1"/>
    <col min="6146" max="6146" width="29.25" style="86" customWidth="1"/>
    <col min="6147" max="6147" width="15.625" style="86" customWidth="1"/>
    <col min="6148" max="6400" width="12.625" style="86"/>
    <col min="6401" max="6401" width="3.125" style="86" customWidth="1"/>
    <col min="6402" max="6402" width="29.25" style="86" customWidth="1"/>
    <col min="6403" max="6403" width="15.625" style="86" customWidth="1"/>
    <col min="6404" max="6656" width="12.625" style="86"/>
    <col min="6657" max="6657" width="3.125" style="86" customWidth="1"/>
    <col min="6658" max="6658" width="29.25" style="86" customWidth="1"/>
    <col min="6659" max="6659" width="15.625" style="86" customWidth="1"/>
    <col min="6660" max="6912" width="12.625" style="86"/>
    <col min="6913" max="6913" width="3.125" style="86" customWidth="1"/>
    <col min="6914" max="6914" width="29.25" style="86" customWidth="1"/>
    <col min="6915" max="6915" width="15.625" style="86" customWidth="1"/>
    <col min="6916" max="7168" width="12.625" style="86"/>
    <col min="7169" max="7169" width="3.125" style="86" customWidth="1"/>
    <col min="7170" max="7170" width="29.25" style="86" customWidth="1"/>
    <col min="7171" max="7171" width="15.625" style="86" customWidth="1"/>
    <col min="7172" max="7424" width="12.625" style="86"/>
    <col min="7425" max="7425" width="3.125" style="86" customWidth="1"/>
    <col min="7426" max="7426" width="29.25" style="86" customWidth="1"/>
    <col min="7427" max="7427" width="15.625" style="86" customWidth="1"/>
    <col min="7428" max="7680" width="12.625" style="86"/>
    <col min="7681" max="7681" width="3.125" style="86" customWidth="1"/>
    <col min="7682" max="7682" width="29.25" style="86" customWidth="1"/>
    <col min="7683" max="7683" width="15.625" style="86" customWidth="1"/>
    <col min="7684" max="7936" width="12.625" style="86"/>
    <col min="7937" max="7937" width="3.125" style="86" customWidth="1"/>
    <col min="7938" max="7938" width="29.25" style="86" customWidth="1"/>
    <col min="7939" max="7939" width="15.625" style="86" customWidth="1"/>
    <col min="7940" max="8192" width="12.625" style="86"/>
    <col min="8193" max="8193" width="3.125" style="86" customWidth="1"/>
    <col min="8194" max="8194" width="29.25" style="86" customWidth="1"/>
    <col min="8195" max="8195" width="15.625" style="86" customWidth="1"/>
    <col min="8196" max="8448" width="12.625" style="86"/>
    <col min="8449" max="8449" width="3.125" style="86" customWidth="1"/>
    <col min="8450" max="8450" width="29.25" style="86" customWidth="1"/>
    <col min="8451" max="8451" width="15.625" style="86" customWidth="1"/>
    <col min="8452" max="8704" width="12.625" style="86"/>
    <col min="8705" max="8705" width="3.125" style="86" customWidth="1"/>
    <col min="8706" max="8706" width="29.25" style="86" customWidth="1"/>
    <col min="8707" max="8707" width="15.625" style="86" customWidth="1"/>
    <col min="8708" max="8960" width="12.625" style="86"/>
    <col min="8961" max="8961" width="3.125" style="86" customWidth="1"/>
    <col min="8962" max="8962" width="29.25" style="86" customWidth="1"/>
    <col min="8963" max="8963" width="15.625" style="86" customWidth="1"/>
    <col min="8964" max="9216" width="12.625" style="86"/>
    <col min="9217" max="9217" width="3.125" style="86" customWidth="1"/>
    <col min="9218" max="9218" width="29.25" style="86" customWidth="1"/>
    <col min="9219" max="9219" width="15.625" style="86" customWidth="1"/>
    <col min="9220" max="9472" width="12.625" style="86"/>
    <col min="9473" max="9473" width="3.125" style="86" customWidth="1"/>
    <col min="9474" max="9474" width="29.25" style="86" customWidth="1"/>
    <col min="9475" max="9475" width="15.625" style="86" customWidth="1"/>
    <col min="9476" max="9728" width="12.625" style="86"/>
    <col min="9729" max="9729" width="3.125" style="86" customWidth="1"/>
    <col min="9730" max="9730" width="29.25" style="86" customWidth="1"/>
    <col min="9731" max="9731" width="15.625" style="86" customWidth="1"/>
    <col min="9732" max="9984" width="12.625" style="86"/>
    <col min="9985" max="9985" width="3.125" style="86" customWidth="1"/>
    <col min="9986" max="9986" width="29.25" style="86" customWidth="1"/>
    <col min="9987" max="9987" width="15.625" style="86" customWidth="1"/>
    <col min="9988" max="10240" width="12.625" style="86"/>
    <col min="10241" max="10241" width="3.125" style="86" customWidth="1"/>
    <col min="10242" max="10242" width="29.25" style="86" customWidth="1"/>
    <col min="10243" max="10243" width="15.625" style="86" customWidth="1"/>
    <col min="10244" max="10496" width="12.625" style="86"/>
    <col min="10497" max="10497" width="3.125" style="86" customWidth="1"/>
    <col min="10498" max="10498" width="29.25" style="86" customWidth="1"/>
    <col min="10499" max="10499" width="15.625" style="86" customWidth="1"/>
    <col min="10500" max="10752" width="12.625" style="86"/>
    <col min="10753" max="10753" width="3.125" style="86" customWidth="1"/>
    <col min="10754" max="10754" width="29.25" style="86" customWidth="1"/>
    <col min="10755" max="10755" width="15.625" style="86" customWidth="1"/>
    <col min="10756" max="11008" width="12.625" style="86"/>
    <col min="11009" max="11009" width="3.125" style="86" customWidth="1"/>
    <col min="11010" max="11010" width="29.25" style="86" customWidth="1"/>
    <col min="11011" max="11011" width="15.625" style="86" customWidth="1"/>
    <col min="11012" max="11264" width="12.625" style="86"/>
    <col min="11265" max="11265" width="3.125" style="86" customWidth="1"/>
    <col min="11266" max="11266" width="29.25" style="86" customWidth="1"/>
    <col min="11267" max="11267" width="15.625" style="86" customWidth="1"/>
    <col min="11268" max="11520" width="12.625" style="86"/>
    <col min="11521" max="11521" width="3.125" style="86" customWidth="1"/>
    <col min="11522" max="11522" width="29.25" style="86" customWidth="1"/>
    <col min="11523" max="11523" width="15.625" style="86" customWidth="1"/>
    <col min="11524" max="11776" width="12.625" style="86"/>
    <col min="11777" max="11777" width="3.125" style="86" customWidth="1"/>
    <col min="11778" max="11778" width="29.25" style="86" customWidth="1"/>
    <col min="11779" max="11779" width="15.625" style="86" customWidth="1"/>
    <col min="11780" max="12032" width="12.625" style="86"/>
    <col min="12033" max="12033" width="3.125" style="86" customWidth="1"/>
    <col min="12034" max="12034" width="29.25" style="86" customWidth="1"/>
    <col min="12035" max="12035" width="15.625" style="86" customWidth="1"/>
    <col min="12036" max="12288" width="12.625" style="86"/>
    <col min="12289" max="12289" width="3.125" style="86" customWidth="1"/>
    <col min="12290" max="12290" width="29.25" style="86" customWidth="1"/>
    <col min="12291" max="12291" width="15.625" style="86" customWidth="1"/>
    <col min="12292" max="12544" width="12.625" style="86"/>
    <col min="12545" max="12545" width="3.125" style="86" customWidth="1"/>
    <col min="12546" max="12546" width="29.25" style="86" customWidth="1"/>
    <col min="12547" max="12547" width="15.625" style="86" customWidth="1"/>
    <col min="12548" max="12800" width="12.625" style="86"/>
    <col min="12801" max="12801" width="3.125" style="86" customWidth="1"/>
    <col min="12802" max="12802" width="29.25" style="86" customWidth="1"/>
    <col min="12803" max="12803" width="15.625" style="86" customWidth="1"/>
    <col min="12804" max="13056" width="12.625" style="86"/>
    <col min="13057" max="13057" width="3.125" style="86" customWidth="1"/>
    <col min="13058" max="13058" width="29.25" style="86" customWidth="1"/>
    <col min="13059" max="13059" width="15.625" style="86" customWidth="1"/>
    <col min="13060" max="13312" width="12.625" style="86"/>
    <col min="13313" max="13313" width="3.125" style="86" customWidth="1"/>
    <col min="13314" max="13314" width="29.25" style="86" customWidth="1"/>
    <col min="13315" max="13315" width="15.625" style="86" customWidth="1"/>
    <col min="13316" max="13568" width="12.625" style="86"/>
    <col min="13569" max="13569" width="3.125" style="86" customWidth="1"/>
    <col min="13570" max="13570" width="29.25" style="86" customWidth="1"/>
    <col min="13571" max="13571" width="15.625" style="86" customWidth="1"/>
    <col min="13572" max="13824" width="12.625" style="86"/>
    <col min="13825" max="13825" width="3.125" style="86" customWidth="1"/>
    <col min="13826" max="13826" width="29.25" style="86" customWidth="1"/>
    <col min="13827" max="13827" width="15.625" style="86" customWidth="1"/>
    <col min="13828" max="14080" width="12.625" style="86"/>
    <col min="14081" max="14081" width="3.125" style="86" customWidth="1"/>
    <col min="14082" max="14082" width="29.25" style="86" customWidth="1"/>
    <col min="14083" max="14083" width="15.625" style="86" customWidth="1"/>
    <col min="14084" max="14336" width="12.625" style="86"/>
    <col min="14337" max="14337" width="3.125" style="86" customWidth="1"/>
    <col min="14338" max="14338" width="29.25" style="86" customWidth="1"/>
    <col min="14339" max="14339" width="15.625" style="86" customWidth="1"/>
    <col min="14340" max="14592" width="12.625" style="86"/>
    <col min="14593" max="14593" width="3.125" style="86" customWidth="1"/>
    <col min="14594" max="14594" width="29.25" style="86" customWidth="1"/>
    <col min="14595" max="14595" width="15.625" style="86" customWidth="1"/>
    <col min="14596" max="14848" width="12.625" style="86"/>
    <col min="14849" max="14849" width="3.125" style="86" customWidth="1"/>
    <col min="14850" max="14850" width="29.25" style="86" customWidth="1"/>
    <col min="14851" max="14851" width="15.625" style="86" customWidth="1"/>
    <col min="14852" max="15104" width="12.625" style="86"/>
    <col min="15105" max="15105" width="3.125" style="86" customWidth="1"/>
    <col min="15106" max="15106" width="29.25" style="86" customWidth="1"/>
    <col min="15107" max="15107" width="15.625" style="86" customWidth="1"/>
    <col min="15108" max="15360" width="12.625" style="86"/>
    <col min="15361" max="15361" width="3.125" style="86" customWidth="1"/>
    <col min="15362" max="15362" width="29.25" style="86" customWidth="1"/>
    <col min="15363" max="15363" width="15.625" style="86" customWidth="1"/>
    <col min="15364" max="15616" width="12.625" style="86"/>
    <col min="15617" max="15617" width="3.125" style="86" customWidth="1"/>
    <col min="15618" max="15618" width="29.25" style="86" customWidth="1"/>
    <col min="15619" max="15619" width="15.625" style="86" customWidth="1"/>
    <col min="15620" max="15872" width="12.625" style="86"/>
    <col min="15873" max="15873" width="3.125" style="86" customWidth="1"/>
    <col min="15874" max="15874" width="29.25" style="86" customWidth="1"/>
    <col min="15875" max="15875" width="15.625" style="86" customWidth="1"/>
    <col min="15876" max="16128" width="12.625" style="86"/>
    <col min="16129" max="16129" width="3.125" style="86" customWidth="1"/>
    <col min="16130" max="16130" width="29.25" style="86" customWidth="1"/>
    <col min="16131" max="16131" width="15.625" style="86" customWidth="1"/>
    <col min="16132" max="16384" width="12.625" style="86"/>
  </cols>
  <sheetData>
    <row r="1" spans="2:14" ht="24" customHeight="1">
      <c r="B1" s="86" t="s">
        <v>122</v>
      </c>
    </row>
    <row r="2" spans="2:14" ht="24" customHeight="1">
      <c r="B2" s="883" t="s">
        <v>123</v>
      </c>
      <c r="C2" s="883"/>
      <c r="D2" s="883"/>
      <c r="E2" s="883"/>
      <c r="F2" s="883"/>
      <c r="G2" s="883"/>
      <c r="H2" s="883"/>
      <c r="I2" s="883"/>
      <c r="J2" s="883"/>
      <c r="K2" s="883"/>
      <c r="L2" s="883"/>
      <c r="M2" s="883"/>
      <c r="N2" s="883"/>
    </row>
    <row r="3" spans="2:14" ht="24" customHeight="1">
      <c r="B3" s="86" t="s">
        <v>124</v>
      </c>
      <c r="K3" s="87" t="s">
        <v>125</v>
      </c>
      <c r="L3" s="87"/>
      <c r="M3" s="87"/>
      <c r="N3" s="87"/>
    </row>
    <row r="4" spans="2:14" ht="7.5" customHeight="1"/>
    <row r="5" spans="2:14" ht="24" customHeight="1">
      <c r="B5" s="884" t="s">
        <v>126</v>
      </c>
      <c r="C5" s="885"/>
      <c r="D5" s="884" t="s">
        <v>127</v>
      </c>
      <c r="E5" s="886"/>
      <c r="F5" s="886"/>
      <c r="G5" s="886"/>
      <c r="H5" s="886"/>
      <c r="I5" s="886"/>
      <c r="J5" s="886"/>
      <c r="K5" s="886"/>
      <c r="L5" s="886"/>
      <c r="M5" s="885"/>
      <c r="N5" s="88"/>
    </row>
    <row r="6" spans="2:14" ht="24" customHeight="1">
      <c r="B6" s="89"/>
      <c r="C6" s="90"/>
      <c r="D6" s="887" t="s">
        <v>128</v>
      </c>
      <c r="E6" s="888"/>
      <c r="F6" s="889"/>
      <c r="G6" s="887" t="s">
        <v>129</v>
      </c>
      <c r="H6" s="888"/>
      <c r="I6" s="888"/>
      <c r="J6" s="888"/>
      <c r="K6" s="888"/>
      <c r="L6" s="888"/>
      <c r="M6" s="889"/>
      <c r="N6" s="90"/>
    </row>
    <row r="7" spans="2:14" ht="24" customHeight="1">
      <c r="B7" s="91" t="s">
        <v>130</v>
      </c>
      <c r="C7" s="92" t="s">
        <v>131</v>
      </c>
      <c r="D7" s="93"/>
      <c r="E7" s="93"/>
      <c r="F7" s="92"/>
      <c r="G7" s="93"/>
      <c r="H7" s="881" t="s">
        <v>132</v>
      </c>
      <c r="I7" s="882"/>
      <c r="J7" s="881" t="s">
        <v>133</v>
      </c>
      <c r="K7" s="882"/>
      <c r="L7" s="881" t="s">
        <v>134</v>
      </c>
      <c r="M7" s="882"/>
      <c r="N7" s="92" t="s">
        <v>135</v>
      </c>
    </row>
    <row r="8" spans="2:14" ht="24" customHeight="1">
      <c r="B8" s="89"/>
      <c r="C8" s="92" t="s">
        <v>136</v>
      </c>
      <c r="D8" s="91" t="s">
        <v>137</v>
      </c>
      <c r="E8" s="91" t="s">
        <v>138</v>
      </c>
      <c r="F8" s="92" t="s">
        <v>139</v>
      </c>
      <c r="G8" s="91" t="s">
        <v>137</v>
      </c>
      <c r="H8" s="91"/>
      <c r="I8" s="93" t="s">
        <v>140</v>
      </c>
      <c r="J8" s="91"/>
      <c r="K8" s="93" t="s">
        <v>140</v>
      </c>
      <c r="L8" s="91"/>
      <c r="M8" s="93" t="s">
        <v>140</v>
      </c>
      <c r="N8" s="90"/>
    </row>
    <row r="9" spans="2:14" ht="24" customHeight="1">
      <c r="B9" s="94"/>
      <c r="C9" s="95"/>
      <c r="D9" s="96"/>
      <c r="E9" s="96"/>
      <c r="F9" s="95"/>
      <c r="G9" s="96"/>
      <c r="H9" s="96"/>
      <c r="I9" s="96" t="s">
        <v>141</v>
      </c>
      <c r="J9" s="96"/>
      <c r="K9" s="96" t="s">
        <v>141</v>
      </c>
      <c r="L9" s="96"/>
      <c r="M9" s="96" t="s">
        <v>141</v>
      </c>
      <c r="N9" s="97"/>
    </row>
    <row r="10" spans="2:14" ht="20.100000000000001" customHeight="1">
      <c r="B10" s="89"/>
      <c r="C10" s="98" t="s">
        <v>142</v>
      </c>
      <c r="D10" s="99"/>
      <c r="E10" s="99" t="s">
        <v>142</v>
      </c>
      <c r="F10" s="98" t="s">
        <v>142</v>
      </c>
      <c r="G10" s="99"/>
      <c r="H10" s="99" t="s">
        <v>142</v>
      </c>
      <c r="I10" s="99" t="s">
        <v>142</v>
      </c>
      <c r="J10" s="99" t="s">
        <v>142</v>
      </c>
      <c r="K10" s="99" t="s">
        <v>142</v>
      </c>
      <c r="L10" s="99" t="s">
        <v>142</v>
      </c>
      <c r="M10" s="98" t="s">
        <v>142</v>
      </c>
      <c r="N10" s="98"/>
    </row>
    <row r="11" spans="2:14" ht="24" hidden="1" customHeight="1">
      <c r="B11" s="843" t="s">
        <v>143</v>
      </c>
      <c r="C11" s="98"/>
      <c r="D11" s="99"/>
      <c r="E11" s="99"/>
      <c r="F11" s="98"/>
      <c r="G11" s="99"/>
      <c r="H11" s="99"/>
      <c r="I11" s="99"/>
      <c r="J11" s="99"/>
      <c r="K11" s="99"/>
      <c r="L11" s="99"/>
      <c r="M11" s="98"/>
      <c r="N11" s="98"/>
    </row>
    <row r="12" spans="2:14" ht="24" hidden="1" customHeight="1">
      <c r="B12" s="843"/>
      <c r="C12" s="98"/>
      <c r="D12" s="99"/>
      <c r="E12" s="99"/>
      <c r="F12" s="98"/>
      <c r="G12" s="99"/>
      <c r="H12" s="99"/>
      <c r="I12" s="99"/>
      <c r="J12" s="99"/>
      <c r="K12" s="99"/>
      <c r="L12" s="99"/>
      <c r="M12" s="98"/>
      <c r="N12" s="98"/>
    </row>
    <row r="13" spans="2:14" ht="24" hidden="1" customHeight="1">
      <c r="B13" s="843" t="s">
        <v>144</v>
      </c>
      <c r="C13" s="98"/>
      <c r="D13" s="99"/>
      <c r="E13" s="99"/>
      <c r="F13" s="98"/>
      <c r="G13" s="99"/>
      <c r="H13" s="99"/>
      <c r="I13" s="99"/>
      <c r="J13" s="99"/>
      <c r="K13" s="99"/>
      <c r="L13" s="99"/>
      <c r="M13" s="98"/>
      <c r="N13" s="98"/>
    </row>
    <row r="14" spans="2:14" ht="24" hidden="1" customHeight="1">
      <c r="B14" s="843"/>
      <c r="C14" s="98"/>
      <c r="D14" s="99"/>
      <c r="E14" s="99"/>
      <c r="F14" s="98"/>
      <c r="G14" s="99"/>
      <c r="H14" s="99"/>
      <c r="I14" s="99"/>
      <c r="J14" s="99"/>
      <c r="K14" s="99"/>
      <c r="L14" s="99"/>
      <c r="M14" s="98"/>
      <c r="N14" s="98"/>
    </row>
    <row r="15" spans="2:14" ht="24" customHeight="1">
      <c r="B15" s="843" t="s">
        <v>145</v>
      </c>
      <c r="C15" s="844"/>
      <c r="D15" s="845"/>
      <c r="E15" s="845"/>
      <c r="F15" s="844"/>
      <c r="G15" s="845"/>
      <c r="H15" s="845"/>
      <c r="I15" s="845"/>
      <c r="J15" s="845"/>
      <c r="K15" s="845"/>
      <c r="L15" s="845"/>
      <c r="M15" s="844"/>
      <c r="N15" s="90"/>
    </row>
    <row r="16" spans="2:14" ht="24" customHeight="1">
      <c r="B16" s="843"/>
      <c r="C16" s="844"/>
      <c r="D16" s="845"/>
      <c r="E16" s="845"/>
      <c r="F16" s="844"/>
      <c r="G16" s="845"/>
      <c r="H16" s="845"/>
      <c r="I16" s="845"/>
      <c r="J16" s="845"/>
      <c r="K16" s="845"/>
      <c r="L16" s="845"/>
      <c r="M16" s="844"/>
      <c r="N16" s="90"/>
    </row>
    <row r="17" spans="1:14" ht="24" customHeight="1">
      <c r="B17" s="843" t="s">
        <v>146</v>
      </c>
      <c r="C17" s="844"/>
      <c r="D17" s="845"/>
      <c r="E17" s="845"/>
      <c r="F17" s="844"/>
      <c r="G17" s="845"/>
      <c r="H17" s="845"/>
      <c r="I17" s="845"/>
      <c r="J17" s="845"/>
      <c r="K17" s="845"/>
      <c r="L17" s="845"/>
      <c r="M17" s="844"/>
      <c r="N17" s="90"/>
    </row>
    <row r="18" spans="1:14" s="100" customFormat="1" ht="20.100000000000001" customHeight="1">
      <c r="A18" s="86"/>
      <c r="B18" s="89" t="s">
        <v>147</v>
      </c>
      <c r="C18" s="844"/>
      <c r="D18" s="845"/>
      <c r="E18" s="845"/>
      <c r="F18" s="844"/>
      <c r="G18" s="845"/>
      <c r="H18" s="845"/>
      <c r="I18" s="845"/>
      <c r="J18" s="845"/>
      <c r="K18" s="845"/>
      <c r="L18" s="845"/>
      <c r="M18" s="844"/>
      <c r="N18" s="90"/>
    </row>
    <row r="19" spans="1:14" s="100" customFormat="1" ht="20.100000000000001" customHeight="1">
      <c r="A19" s="86"/>
      <c r="B19" s="89"/>
      <c r="C19" s="844"/>
      <c r="D19" s="845"/>
      <c r="E19" s="845"/>
      <c r="F19" s="844"/>
      <c r="G19" s="845"/>
      <c r="H19" s="845"/>
      <c r="I19" s="845"/>
      <c r="J19" s="845"/>
      <c r="K19" s="845"/>
      <c r="L19" s="845"/>
      <c r="M19" s="844"/>
      <c r="N19" s="90"/>
    </row>
    <row r="20" spans="1:14" s="100" customFormat="1" ht="20.100000000000001" customHeight="1">
      <c r="A20" s="86"/>
      <c r="B20" s="89"/>
      <c r="C20" s="844"/>
      <c r="D20" s="845"/>
      <c r="E20" s="845"/>
      <c r="F20" s="844"/>
      <c r="G20" s="845"/>
      <c r="H20" s="845"/>
      <c r="I20" s="845"/>
      <c r="J20" s="845"/>
      <c r="K20" s="845"/>
      <c r="L20" s="845"/>
      <c r="M20" s="844"/>
      <c r="N20" s="90"/>
    </row>
    <row r="21" spans="1:14" s="100" customFormat="1" ht="20.100000000000001" customHeight="1">
      <c r="A21" s="86"/>
      <c r="B21" s="94"/>
      <c r="C21" s="846"/>
      <c r="D21" s="847"/>
      <c r="E21" s="847"/>
      <c r="F21" s="846"/>
      <c r="G21" s="847"/>
      <c r="H21" s="847"/>
      <c r="I21" s="847"/>
      <c r="J21" s="847"/>
      <c r="K21" s="847"/>
      <c r="L21" s="847"/>
      <c r="M21" s="846"/>
      <c r="N21" s="97"/>
    </row>
    <row r="22" spans="1:14" s="100" customFormat="1" ht="20.100000000000001" customHeight="1">
      <c r="B22" s="100" t="s">
        <v>148</v>
      </c>
    </row>
    <row r="23" spans="1:14" s="100" customFormat="1" ht="20.100000000000001" customHeight="1">
      <c r="B23" s="100" t="s">
        <v>149</v>
      </c>
    </row>
    <row r="24" spans="1:14" ht="24" customHeight="1">
      <c r="A24" s="100"/>
      <c r="B24" s="100" t="s">
        <v>150</v>
      </c>
      <c r="C24" s="100"/>
      <c r="D24" s="100"/>
      <c r="E24" s="100"/>
      <c r="F24" s="100"/>
      <c r="G24" s="100"/>
      <c r="H24" s="100"/>
      <c r="I24" s="100"/>
      <c r="J24" s="100"/>
      <c r="K24" s="100"/>
      <c r="L24" s="100"/>
      <c r="M24" s="100"/>
      <c r="N24" s="100"/>
    </row>
    <row r="25" spans="1:14" ht="24" customHeight="1">
      <c r="A25" s="100"/>
      <c r="B25" s="100" t="s">
        <v>151</v>
      </c>
      <c r="C25" s="100"/>
      <c r="D25" s="100"/>
      <c r="E25" s="100"/>
      <c r="F25" s="100"/>
      <c r="G25" s="100"/>
      <c r="H25" s="100"/>
      <c r="I25" s="100"/>
      <c r="J25" s="100"/>
      <c r="K25" s="100"/>
      <c r="L25" s="100"/>
      <c r="M25" s="100"/>
      <c r="N25" s="100"/>
    </row>
    <row r="26" spans="1:14" ht="24" customHeight="1">
      <c r="A26" s="100"/>
      <c r="B26" s="100" t="s">
        <v>152</v>
      </c>
      <c r="C26" s="100"/>
      <c r="D26" s="100"/>
      <c r="E26" s="100"/>
      <c r="F26" s="100"/>
      <c r="G26" s="100"/>
      <c r="H26" s="100"/>
      <c r="I26" s="100"/>
      <c r="J26" s="100"/>
      <c r="K26" s="100"/>
      <c r="L26" s="100"/>
      <c r="M26" s="100"/>
      <c r="N26" s="100"/>
    </row>
    <row r="27" spans="1:14" ht="24" customHeight="1">
      <c r="A27" s="100"/>
      <c r="B27" s="100" t="s">
        <v>153</v>
      </c>
      <c r="C27" s="100"/>
      <c r="D27" s="100"/>
      <c r="E27" s="100"/>
      <c r="F27" s="100"/>
      <c r="G27" s="100"/>
      <c r="H27" s="100"/>
      <c r="I27" s="100"/>
      <c r="J27" s="100"/>
      <c r="K27" s="100"/>
      <c r="L27" s="100"/>
      <c r="M27" s="100"/>
      <c r="N27" s="100"/>
    </row>
  </sheetData>
  <mergeCells count="8">
    <mergeCell ref="H7:I7"/>
    <mergeCell ref="J7:K7"/>
    <mergeCell ref="L7:M7"/>
    <mergeCell ref="B2:N2"/>
    <mergeCell ref="B5:C5"/>
    <mergeCell ref="D5:M5"/>
    <mergeCell ref="D6:F6"/>
    <mergeCell ref="G6:M6"/>
  </mergeCells>
  <phoneticPr fontId="4"/>
  <printOptions horizontalCentered="1"/>
  <pageMargins left="0.23622047244094491" right="0.23622047244094491" top="0.74803149606299213" bottom="0.74803149606299213" header="0.31496062992125984" footer="0.31496062992125984"/>
  <pageSetup paperSize="9" scale="76" orientation="landscape" blackAndWhite="1" errors="blank"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071E3-62A6-4127-AF32-1CB3422BB82F}">
  <sheetPr>
    <tabColor rgb="FFFFC000"/>
    <pageSetUpPr fitToPage="1"/>
  </sheetPr>
  <dimension ref="A1:AK95"/>
  <sheetViews>
    <sheetView showZeros="0" view="pageBreakPreview" zoomScale="85" zoomScaleNormal="100" zoomScaleSheetLayoutView="85" workbookViewId="0"/>
  </sheetViews>
  <sheetFormatPr defaultColWidth="9" defaultRowHeight="15" customHeight="1"/>
  <cols>
    <col min="1" max="1" width="16.625" style="614" bestFit="1" customWidth="1"/>
    <col min="2" max="2" width="19.625" style="614" customWidth="1"/>
    <col min="3" max="3" width="13.625" style="614" customWidth="1"/>
    <col min="4" max="6" width="9.375" style="614" customWidth="1"/>
    <col min="7" max="7" width="7.5" style="614" bestFit="1" customWidth="1"/>
    <col min="8" max="19" width="4" style="614" customWidth="1"/>
    <col min="20" max="20" width="14.625" style="614" customWidth="1"/>
    <col min="21" max="22" width="4.375" style="613" customWidth="1"/>
    <col min="23" max="30" width="6.625" style="614" customWidth="1"/>
    <col min="31" max="31" width="38.125" style="614" customWidth="1"/>
    <col min="32" max="33" width="9" style="614"/>
    <col min="34" max="34" width="14.5" style="614" customWidth="1"/>
    <col min="35" max="37" width="9" style="614" customWidth="1"/>
    <col min="38" max="16384" width="9" style="614"/>
  </cols>
  <sheetData>
    <row r="1" spans="1:36" s="609" customFormat="1" ht="13.15">
      <c r="A1" s="1092" t="s">
        <v>385</v>
      </c>
      <c r="B1" s="1092"/>
      <c r="C1" s="683"/>
      <c r="U1" s="610"/>
      <c r="V1" s="610"/>
    </row>
    <row r="2" spans="1:36" s="609" customFormat="1" ht="14.45">
      <c r="B2" s="611"/>
      <c r="C2" s="611"/>
      <c r="U2" s="612"/>
      <c r="V2" s="613"/>
    </row>
    <row r="3" spans="1:36" ht="24.95" customHeight="1">
      <c r="B3" s="1093" t="s">
        <v>339</v>
      </c>
      <c r="C3" s="1093"/>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1093"/>
      <c r="AE3" s="1093"/>
    </row>
    <row r="4" spans="1:36" ht="17.25" customHeight="1">
      <c r="B4" s="615"/>
      <c r="C4" s="615"/>
      <c r="D4" s="615"/>
      <c r="E4" s="615"/>
      <c r="F4" s="615"/>
      <c r="G4" s="615"/>
      <c r="H4" s="615"/>
      <c r="I4" s="615"/>
      <c r="J4" s="615"/>
      <c r="K4" s="615"/>
      <c r="L4" s="615"/>
      <c r="M4" s="615"/>
      <c r="N4" s="615"/>
      <c r="O4" s="615"/>
      <c r="P4" s="615"/>
      <c r="Q4" s="615"/>
      <c r="R4" s="615"/>
      <c r="S4" s="615"/>
      <c r="T4" s="616" t="s">
        <v>340</v>
      </c>
      <c r="U4" s="617"/>
      <c r="V4" s="617"/>
      <c r="W4" s="616"/>
      <c r="X4" s="616"/>
      <c r="Y4" s="616"/>
      <c r="Z4" s="616"/>
      <c r="AA4" s="616"/>
      <c r="AB4" s="616"/>
      <c r="AC4" s="616"/>
      <c r="AD4" s="616"/>
      <c r="AE4" s="616"/>
    </row>
    <row r="5" spans="1:36" ht="17.25" customHeight="1">
      <c r="A5" s="1094" t="s">
        <v>386</v>
      </c>
      <c r="B5" s="1094"/>
      <c r="C5" s="684"/>
      <c r="D5" s="615"/>
      <c r="E5" s="615"/>
      <c r="F5" s="615"/>
      <c r="G5" s="615"/>
      <c r="H5" s="615"/>
      <c r="I5" s="615"/>
      <c r="J5" s="615"/>
      <c r="K5" s="615"/>
      <c r="L5" s="615"/>
      <c r="M5" s="615"/>
      <c r="N5" s="615"/>
      <c r="O5" s="615"/>
      <c r="P5" s="615"/>
      <c r="Q5" s="615"/>
      <c r="R5" s="615"/>
      <c r="S5" s="615"/>
      <c r="T5" s="616"/>
      <c r="U5" s="617"/>
      <c r="V5" s="617"/>
      <c r="W5" s="616"/>
      <c r="X5" s="616"/>
      <c r="Y5" s="616"/>
      <c r="Z5" s="616"/>
      <c r="AA5" s="616"/>
      <c r="AB5" s="616"/>
      <c r="AC5" s="616"/>
      <c r="AD5" s="616"/>
      <c r="AE5" s="616"/>
    </row>
    <row r="6" spans="1:36" ht="17.25" customHeight="1">
      <c r="B6" s="615"/>
      <c r="C6" s="615"/>
      <c r="D6" s="615"/>
      <c r="E6" s="615"/>
      <c r="F6" s="615"/>
      <c r="G6" s="615"/>
      <c r="H6" s="615"/>
      <c r="I6" s="615"/>
      <c r="J6" s="615"/>
      <c r="K6" s="615"/>
      <c r="L6" s="615"/>
      <c r="M6" s="615"/>
      <c r="N6" s="615"/>
      <c r="O6" s="615"/>
      <c r="P6" s="615"/>
      <c r="Q6" s="615"/>
      <c r="R6" s="615"/>
      <c r="S6" s="615"/>
      <c r="T6" s="616"/>
      <c r="U6" s="617"/>
      <c r="V6" s="617"/>
      <c r="W6" s="616"/>
      <c r="X6" s="616"/>
      <c r="Y6" s="616"/>
      <c r="Z6" s="616"/>
      <c r="AA6" s="616"/>
      <c r="AB6" s="616"/>
      <c r="AC6" s="616"/>
      <c r="AD6" s="616"/>
      <c r="AE6" s="616"/>
    </row>
    <row r="7" spans="1:36" ht="24.95" customHeight="1">
      <c r="A7" s="589" t="s">
        <v>387</v>
      </c>
      <c r="B7" s="618"/>
      <c r="C7" s="619"/>
      <c r="D7" s="620"/>
      <c r="E7" s="620"/>
      <c r="F7" s="620"/>
      <c r="G7" s="620"/>
      <c r="H7" s="615"/>
      <c r="I7" s="615"/>
      <c r="J7" s="615"/>
      <c r="K7" s="615"/>
      <c r="L7" s="615"/>
      <c r="M7" s="615"/>
      <c r="N7" s="615"/>
      <c r="O7" s="615"/>
      <c r="P7" s="615"/>
      <c r="Q7" s="615"/>
      <c r="R7" s="615"/>
      <c r="S7" s="615"/>
      <c r="T7" s="616"/>
      <c r="U7" s="617"/>
      <c r="V7" s="617"/>
      <c r="W7" s="616"/>
      <c r="X7" s="616"/>
      <c r="Y7" s="616"/>
      <c r="Z7" s="616"/>
      <c r="AA7" s="616"/>
      <c r="AB7" s="616"/>
      <c r="AC7" s="616"/>
      <c r="AD7" s="616"/>
      <c r="AE7" s="616"/>
    </row>
    <row r="8" spans="1:36" ht="24.95" customHeight="1">
      <c r="A8" s="589" t="s">
        <v>343</v>
      </c>
      <c r="B8" s="1123">
        <f>第2号様式!G9</f>
        <v>0</v>
      </c>
      <c r="C8" s="1123"/>
      <c r="D8" s="1123"/>
      <c r="E8" s="1123"/>
      <c r="F8" s="621" t="s">
        <v>344</v>
      </c>
      <c r="G8" s="621"/>
      <c r="H8" s="615"/>
      <c r="I8" s="1124" t="s">
        <v>346</v>
      </c>
      <c r="J8" s="1125"/>
      <c r="K8" s="1128"/>
      <c r="L8" s="1129"/>
      <c r="M8" s="615"/>
      <c r="N8" s="615"/>
      <c r="O8" s="615"/>
      <c r="P8" s="615"/>
      <c r="Q8" s="615"/>
      <c r="R8" s="615"/>
      <c r="S8" s="615"/>
      <c r="T8" s="616"/>
      <c r="U8" s="617"/>
      <c r="V8" s="617"/>
      <c r="W8" s="616"/>
      <c r="X8" s="616"/>
      <c r="Y8" s="616"/>
      <c r="Z8" s="616"/>
      <c r="AA8" s="616"/>
      <c r="AB8" s="616"/>
      <c r="AC8" s="616"/>
      <c r="AD8" s="616"/>
      <c r="AE8" s="616"/>
    </row>
    <row r="9" spans="1:36" ht="24.95" customHeight="1">
      <c r="A9" s="625" t="s">
        <v>347</v>
      </c>
      <c r="B9" s="1123"/>
      <c r="C9" s="1123"/>
      <c r="D9" s="1123"/>
      <c r="E9" s="1123"/>
      <c r="F9" s="1123"/>
      <c r="G9" s="1123"/>
      <c r="H9" s="615"/>
      <c r="I9" s="1124" t="s">
        <v>348</v>
      </c>
      <c r="J9" s="1125"/>
      <c r="K9" s="1126"/>
      <c r="L9" s="1127"/>
      <c r="M9" s="615"/>
      <c r="N9" s="615"/>
      <c r="O9" s="615"/>
      <c r="P9" s="615"/>
      <c r="Q9" s="615"/>
      <c r="R9" s="615"/>
      <c r="S9" s="615"/>
      <c r="T9" s="616"/>
      <c r="U9" s="617"/>
      <c r="V9" s="617"/>
      <c r="W9" s="616"/>
      <c r="X9" s="616"/>
      <c r="Y9" s="616"/>
      <c r="Z9" s="616"/>
      <c r="AA9" s="616"/>
      <c r="AB9" s="616"/>
      <c r="AC9" s="616"/>
      <c r="AD9" s="616"/>
      <c r="AE9" s="616"/>
    </row>
    <row r="10" spans="1:36" ht="24.95" customHeight="1">
      <c r="A10" s="625" t="s">
        <v>349</v>
      </c>
      <c r="B10" s="627"/>
      <c r="C10" s="628" t="s">
        <v>350</v>
      </c>
      <c r="D10" s="629"/>
      <c r="E10" s="628" t="s">
        <v>315</v>
      </c>
      <c r="F10" s="629"/>
      <c r="G10" s="630" t="s">
        <v>351</v>
      </c>
      <c r="H10" s="615"/>
      <c r="I10" s="615"/>
      <c r="J10" s="615"/>
      <c r="K10" s="615"/>
      <c r="L10" s="615"/>
      <c r="M10" s="615"/>
      <c r="O10" s="615"/>
      <c r="P10" s="615"/>
      <c r="Q10" s="615"/>
      <c r="R10" s="615"/>
      <c r="S10" s="615"/>
      <c r="T10" s="617"/>
      <c r="U10" s="617"/>
      <c r="V10" s="617"/>
      <c r="W10" s="616"/>
      <c r="X10" s="616"/>
      <c r="Y10" s="616"/>
      <c r="Z10" s="616"/>
      <c r="AA10" s="616"/>
      <c r="AB10" s="616"/>
      <c r="AC10" s="616"/>
      <c r="AD10" s="616"/>
      <c r="AE10" s="616"/>
    </row>
    <row r="11" spans="1:36" ht="24.95" customHeight="1">
      <c r="A11" s="631" t="s">
        <v>352</v>
      </c>
      <c r="B11" s="685"/>
      <c r="C11" s="621" t="s">
        <v>353</v>
      </c>
      <c r="D11" s="1083"/>
      <c r="E11" s="1083"/>
      <c r="F11" s="1083"/>
      <c r="G11" s="1084"/>
      <c r="H11" s="615"/>
      <c r="I11" s="615"/>
      <c r="J11" s="615"/>
      <c r="K11" s="615"/>
      <c r="L11" s="615"/>
      <c r="M11" s="615"/>
      <c r="N11" s="615"/>
      <c r="O11" s="615"/>
      <c r="P11" s="615"/>
      <c r="Q11" s="615"/>
      <c r="R11" s="615"/>
      <c r="S11" s="615"/>
      <c r="T11" s="617"/>
      <c r="U11" s="617"/>
      <c r="V11" s="617"/>
      <c r="W11" s="616"/>
      <c r="X11" s="616"/>
      <c r="Y11" s="616"/>
      <c r="Z11" s="616"/>
      <c r="AA11" s="616"/>
      <c r="AB11" s="616"/>
      <c r="AC11" s="616"/>
      <c r="AD11" s="616"/>
      <c r="AE11" s="616"/>
    </row>
    <row r="12" spans="1:36" ht="12.75" customHeight="1">
      <c r="B12" s="633"/>
      <c r="C12" s="633"/>
      <c r="U12" s="612"/>
      <c r="W12" s="1087"/>
      <c r="X12" s="1087"/>
      <c r="Y12" s="1087"/>
      <c r="Z12" s="1087"/>
      <c r="AA12" s="1087"/>
      <c r="AB12" s="1087"/>
      <c r="AC12" s="1087"/>
      <c r="AD12" s="1087"/>
      <c r="AE12" s="1087"/>
    </row>
    <row r="13" spans="1:36" ht="14.25" customHeight="1">
      <c r="A13" s="1088" t="s">
        <v>388</v>
      </c>
      <c r="B13" s="1088" t="s">
        <v>389</v>
      </c>
      <c r="C13" s="1088"/>
      <c r="D13" s="996" t="s">
        <v>356</v>
      </c>
      <c r="E13" s="1089" t="s">
        <v>357</v>
      </c>
      <c r="F13" s="1066" t="s">
        <v>344</v>
      </c>
      <c r="G13" s="1066" t="s">
        <v>358</v>
      </c>
      <c r="H13" s="1069" t="s">
        <v>359</v>
      </c>
      <c r="I13" s="1070"/>
      <c r="J13" s="1070"/>
      <c r="K13" s="1070"/>
      <c r="L13" s="1070"/>
      <c r="M13" s="1070"/>
      <c r="N13" s="1070"/>
      <c r="O13" s="1070"/>
      <c r="P13" s="1070"/>
      <c r="Q13" s="1070"/>
      <c r="R13" s="1070"/>
      <c r="S13" s="1070"/>
      <c r="T13" s="1070"/>
      <c r="U13" s="1073" t="s">
        <v>292</v>
      </c>
      <c r="V13" s="1074"/>
      <c r="W13" s="1077" t="s">
        <v>293</v>
      </c>
      <c r="X13" s="1077"/>
      <c r="Y13" s="1077"/>
      <c r="Z13" s="1077"/>
      <c r="AA13" s="1077"/>
      <c r="AB13" s="1077"/>
      <c r="AC13" s="1077"/>
      <c r="AD13" s="1077"/>
      <c r="AE13" s="1078" t="s">
        <v>360</v>
      </c>
    </row>
    <row r="14" spans="1:36" ht="13.5" customHeight="1">
      <c r="A14" s="1088"/>
      <c r="B14" s="1088"/>
      <c r="C14" s="1088"/>
      <c r="D14" s="997"/>
      <c r="E14" s="1090"/>
      <c r="F14" s="1447"/>
      <c r="G14" s="1067"/>
      <c r="H14" s="1071"/>
      <c r="I14" s="1072"/>
      <c r="J14" s="1072"/>
      <c r="K14" s="1072"/>
      <c r="L14" s="1072"/>
      <c r="M14" s="1072"/>
      <c r="N14" s="1072"/>
      <c r="O14" s="1072"/>
      <c r="P14" s="1072"/>
      <c r="Q14" s="1072"/>
      <c r="R14" s="1072"/>
      <c r="S14" s="1072"/>
      <c r="T14" s="1072"/>
      <c r="U14" s="1075"/>
      <c r="V14" s="1076"/>
      <c r="W14" s="1081" t="s">
        <v>294</v>
      </c>
      <c r="X14" s="1081"/>
      <c r="Y14" s="1081"/>
      <c r="Z14" s="1081"/>
      <c r="AA14" s="1081" t="s">
        <v>295</v>
      </c>
      <c r="AB14" s="1081"/>
      <c r="AC14" s="1081"/>
      <c r="AD14" s="1081"/>
      <c r="AE14" s="1079"/>
      <c r="AH14" s="634" t="s">
        <v>361</v>
      </c>
      <c r="AI14" s="634" t="s">
        <v>362</v>
      </c>
      <c r="AJ14" s="634" t="s">
        <v>363</v>
      </c>
    </row>
    <row r="15" spans="1:36" ht="38.1" customHeight="1">
      <c r="A15" s="1088"/>
      <c r="B15" s="1088"/>
      <c r="C15" s="1088"/>
      <c r="D15" s="998"/>
      <c r="E15" s="1091"/>
      <c r="F15" s="1448"/>
      <c r="G15" s="1068"/>
      <c r="H15" s="635" t="s">
        <v>364</v>
      </c>
      <c r="I15" s="636" t="s">
        <v>365</v>
      </c>
      <c r="J15" s="636" t="s">
        <v>366</v>
      </c>
      <c r="K15" s="636" t="s">
        <v>367</v>
      </c>
      <c r="L15" s="636" t="s">
        <v>368</v>
      </c>
      <c r="M15" s="636" t="s">
        <v>369</v>
      </c>
      <c r="N15" s="636" t="s">
        <v>370</v>
      </c>
      <c r="O15" s="636" t="s">
        <v>371</v>
      </c>
      <c r="P15" s="636" t="s">
        <v>372</v>
      </c>
      <c r="Q15" s="636" t="s">
        <v>373</v>
      </c>
      <c r="R15" s="636" t="s">
        <v>374</v>
      </c>
      <c r="S15" s="636" t="s">
        <v>375</v>
      </c>
      <c r="T15" s="637" t="s">
        <v>376</v>
      </c>
      <c r="U15" s="638" t="s">
        <v>296</v>
      </c>
      <c r="V15" s="638" t="s">
        <v>377</v>
      </c>
      <c r="W15" s="636" t="s">
        <v>298</v>
      </c>
      <c r="X15" s="636" t="s">
        <v>299</v>
      </c>
      <c r="Y15" s="636" t="s">
        <v>300</v>
      </c>
      <c r="Z15" s="636" t="s">
        <v>301</v>
      </c>
      <c r="AA15" s="636" t="s">
        <v>298</v>
      </c>
      <c r="AB15" s="636" t="s">
        <v>299</v>
      </c>
      <c r="AC15" s="636" t="s">
        <v>300</v>
      </c>
      <c r="AD15" s="636" t="s">
        <v>301</v>
      </c>
      <c r="AE15" s="1080"/>
      <c r="AH15" s="639" t="str">
        <f>IF(G8="第３種","○","×")</f>
        <v>×</v>
      </c>
      <c r="AI15" s="639" t="str">
        <f>IF(G8="第４種","○","×")</f>
        <v>×</v>
      </c>
      <c r="AJ15" s="639" t="str">
        <f>IF(G8="第５種","○","×")</f>
        <v>×</v>
      </c>
    </row>
    <row r="16" spans="1:36" ht="24.95" customHeight="1" thickBot="1">
      <c r="A16" s="1113"/>
      <c r="B16" s="1116"/>
      <c r="C16" s="1117"/>
      <c r="D16" s="1062"/>
      <c r="E16" s="1062"/>
      <c r="F16" s="1062"/>
      <c r="G16" s="640" t="s">
        <v>303</v>
      </c>
      <c r="H16" s="641"/>
      <c r="I16" s="641"/>
      <c r="J16" s="641"/>
      <c r="K16" s="641"/>
      <c r="L16" s="641"/>
      <c r="M16" s="641"/>
      <c r="N16" s="641"/>
      <c r="O16" s="641"/>
      <c r="P16" s="641"/>
      <c r="Q16" s="641"/>
      <c r="R16" s="641"/>
      <c r="S16" s="641"/>
      <c r="T16" s="642">
        <f>COUNTA(H16:S16)</f>
        <v>0</v>
      </c>
      <c r="U16" s="643"/>
      <c r="V16" s="644"/>
      <c r="W16" s="686"/>
      <c r="X16" s="686"/>
      <c r="Y16" s="686"/>
      <c r="Z16" s="686"/>
      <c r="AA16" s="686"/>
      <c r="AB16" s="686"/>
      <c r="AC16" s="686"/>
      <c r="AD16" s="686"/>
      <c r="AE16" s="687"/>
    </row>
    <row r="17" spans="1:35" ht="24.95" customHeight="1" thickBot="1">
      <c r="A17" s="1114"/>
      <c r="B17" s="1118"/>
      <c r="C17" s="1119"/>
      <c r="D17" s="1122"/>
      <c r="E17" s="1122"/>
      <c r="F17" s="1122"/>
      <c r="G17" s="688" t="s">
        <v>390</v>
      </c>
      <c r="H17" s="689"/>
      <c r="I17" s="689"/>
      <c r="J17" s="689"/>
      <c r="K17" s="689"/>
      <c r="L17" s="689"/>
      <c r="M17" s="689"/>
      <c r="N17" s="689"/>
      <c r="O17" s="689"/>
      <c r="P17" s="689"/>
      <c r="Q17" s="689"/>
      <c r="R17" s="689"/>
      <c r="S17" s="689"/>
      <c r="T17" s="690">
        <f>SUM(H17:S17)</f>
        <v>0</v>
      </c>
      <c r="U17" s="691"/>
      <c r="V17" s="692"/>
      <c r="W17" s="693"/>
      <c r="X17" s="693"/>
      <c r="Y17" s="693"/>
      <c r="Z17" s="693"/>
      <c r="AA17" s="693"/>
      <c r="AB17" s="693"/>
      <c r="AC17" s="693"/>
      <c r="AD17" s="693"/>
      <c r="AE17" s="687"/>
      <c r="AI17" s="694" t="str">
        <f>IF(COUNTIF(AH15:AJ15,"○"),"入力不可","入力可")</f>
        <v>入力可</v>
      </c>
    </row>
    <row r="18" spans="1:35" ht="24.95" customHeight="1">
      <c r="A18" s="1114"/>
      <c r="B18" s="1118"/>
      <c r="C18" s="1119"/>
      <c r="D18" s="1122"/>
      <c r="E18" s="1122"/>
      <c r="F18" s="1122"/>
      <c r="G18" s="695" t="s">
        <v>391</v>
      </c>
      <c r="H18" s="696"/>
      <c r="I18" s="697"/>
      <c r="J18" s="696"/>
      <c r="K18" s="696"/>
      <c r="L18" s="696"/>
      <c r="M18" s="696"/>
      <c r="N18" s="696"/>
      <c r="O18" s="696"/>
      <c r="P18" s="696"/>
      <c r="Q18" s="696"/>
      <c r="R18" s="696"/>
      <c r="S18" s="696"/>
      <c r="T18" s="698">
        <f>SUM(H18:S18)</f>
        <v>0</v>
      </c>
      <c r="U18" s="699"/>
      <c r="V18" s="700"/>
      <c r="W18" s="693"/>
      <c r="X18" s="693"/>
      <c r="Y18" s="693"/>
      <c r="Z18" s="693"/>
      <c r="AA18" s="693"/>
      <c r="AB18" s="693"/>
      <c r="AC18" s="693"/>
      <c r="AD18" s="693"/>
      <c r="AE18" s="687"/>
    </row>
    <row r="19" spans="1:35" ht="24.95" customHeight="1">
      <c r="A19" s="1115"/>
      <c r="B19" s="1120"/>
      <c r="C19" s="1121"/>
      <c r="D19" s="1063"/>
      <c r="E19" s="1063"/>
      <c r="F19" s="1063"/>
      <c r="G19" s="701" t="s">
        <v>302</v>
      </c>
      <c r="H19" s="702">
        <f t="shared" ref="H19:S19" si="0">IF(H17+H18&lt;4,H17+H18,4)</f>
        <v>0</v>
      </c>
      <c r="I19" s="702">
        <f t="shared" si="0"/>
        <v>0</v>
      </c>
      <c r="J19" s="702">
        <f t="shared" si="0"/>
        <v>0</v>
      </c>
      <c r="K19" s="702">
        <f t="shared" si="0"/>
        <v>0</v>
      </c>
      <c r="L19" s="702">
        <f t="shared" si="0"/>
        <v>0</v>
      </c>
      <c r="M19" s="702">
        <f t="shared" si="0"/>
        <v>0</v>
      </c>
      <c r="N19" s="702">
        <f t="shared" si="0"/>
        <v>0</v>
      </c>
      <c r="O19" s="702">
        <f t="shared" si="0"/>
        <v>0</v>
      </c>
      <c r="P19" s="702">
        <f t="shared" si="0"/>
        <v>0</v>
      </c>
      <c r="Q19" s="702">
        <f t="shared" si="0"/>
        <v>0</v>
      </c>
      <c r="R19" s="702">
        <f t="shared" si="0"/>
        <v>0</v>
      </c>
      <c r="S19" s="702">
        <f t="shared" si="0"/>
        <v>0</v>
      </c>
      <c r="T19" s="703">
        <f>SUM(H19:S19)</f>
        <v>0</v>
      </c>
      <c r="U19" s="704"/>
      <c r="V19" s="704"/>
      <c r="W19" s="686"/>
      <c r="X19" s="686"/>
      <c r="Y19" s="686"/>
      <c r="Z19" s="686"/>
      <c r="AA19" s="686"/>
      <c r="AB19" s="686"/>
      <c r="AC19" s="686"/>
      <c r="AD19" s="686"/>
      <c r="AE19" s="705"/>
    </row>
    <row r="20" spans="1:35" ht="24.95" customHeight="1">
      <c r="A20" s="1113"/>
      <c r="B20" s="1116"/>
      <c r="C20" s="1117"/>
      <c r="D20" s="1062"/>
      <c r="E20" s="1062"/>
      <c r="F20" s="1062"/>
      <c r="G20" s="640" t="s">
        <v>303</v>
      </c>
      <c r="H20" s="641"/>
      <c r="I20" s="641"/>
      <c r="J20" s="641"/>
      <c r="K20" s="641"/>
      <c r="L20" s="641"/>
      <c r="M20" s="641"/>
      <c r="N20" s="641"/>
      <c r="O20" s="641"/>
      <c r="P20" s="641"/>
      <c r="Q20" s="641"/>
      <c r="R20" s="641"/>
      <c r="S20" s="641"/>
      <c r="T20" s="642">
        <f>COUNTA(H20:S20)</f>
        <v>0</v>
      </c>
      <c r="U20" s="643"/>
      <c r="V20" s="644"/>
      <c r="W20" s="686"/>
      <c r="X20" s="686"/>
      <c r="Y20" s="686"/>
      <c r="Z20" s="686"/>
      <c r="AA20" s="686"/>
      <c r="AB20" s="686"/>
      <c r="AC20" s="686"/>
      <c r="AD20" s="686"/>
      <c r="AE20" s="687"/>
    </row>
    <row r="21" spans="1:35" ht="24.95" customHeight="1">
      <c r="A21" s="1114"/>
      <c r="B21" s="1118"/>
      <c r="C21" s="1119"/>
      <c r="D21" s="1122"/>
      <c r="E21" s="1122"/>
      <c r="F21" s="1122"/>
      <c r="G21" s="688" t="s">
        <v>390</v>
      </c>
      <c r="H21" s="689"/>
      <c r="I21" s="689"/>
      <c r="J21" s="689"/>
      <c r="K21" s="689"/>
      <c r="L21" s="689"/>
      <c r="M21" s="689"/>
      <c r="N21" s="689"/>
      <c r="O21" s="689"/>
      <c r="P21" s="689"/>
      <c r="Q21" s="689"/>
      <c r="R21" s="689"/>
      <c r="S21" s="689"/>
      <c r="T21" s="690">
        <f>SUM(H21:S21)</f>
        <v>0</v>
      </c>
      <c r="U21" s="691"/>
      <c r="V21" s="692"/>
      <c r="W21" s="693"/>
      <c r="X21" s="693"/>
      <c r="Y21" s="693"/>
      <c r="Z21" s="693"/>
      <c r="AA21" s="693"/>
      <c r="AB21" s="693"/>
      <c r="AC21" s="693"/>
      <c r="AD21" s="693"/>
      <c r="AE21" s="687"/>
    </row>
    <row r="22" spans="1:35" ht="24.95" customHeight="1">
      <c r="A22" s="1114"/>
      <c r="B22" s="1118"/>
      <c r="C22" s="1119"/>
      <c r="D22" s="1122"/>
      <c r="E22" s="1122"/>
      <c r="F22" s="1122"/>
      <c r="G22" s="695" t="s">
        <v>391</v>
      </c>
      <c r="H22" s="696"/>
      <c r="I22" s="697"/>
      <c r="J22" s="696"/>
      <c r="K22" s="696"/>
      <c r="L22" s="696"/>
      <c r="M22" s="696"/>
      <c r="N22" s="696"/>
      <c r="O22" s="696"/>
      <c r="P22" s="696"/>
      <c r="Q22" s="696"/>
      <c r="R22" s="696"/>
      <c r="S22" s="696"/>
      <c r="T22" s="698">
        <f>SUM(H22:S22)</f>
        <v>0</v>
      </c>
      <c r="U22" s="699"/>
      <c r="V22" s="700"/>
      <c r="W22" s="693"/>
      <c r="X22" s="693"/>
      <c r="Y22" s="693"/>
      <c r="Z22" s="693"/>
      <c r="AA22" s="693"/>
      <c r="AB22" s="693"/>
      <c r="AC22" s="693"/>
      <c r="AD22" s="693"/>
      <c r="AE22" s="687"/>
    </row>
    <row r="23" spans="1:35" ht="24.95" customHeight="1">
      <c r="A23" s="1115"/>
      <c r="B23" s="1120"/>
      <c r="C23" s="1121"/>
      <c r="D23" s="1063"/>
      <c r="E23" s="1063"/>
      <c r="F23" s="1063"/>
      <c r="G23" s="701" t="s">
        <v>302</v>
      </c>
      <c r="H23" s="702">
        <f t="shared" ref="H23:S23" si="1">IF(H21+H22&lt;4,H21+H22,4)</f>
        <v>0</v>
      </c>
      <c r="I23" s="702">
        <f t="shared" si="1"/>
        <v>0</v>
      </c>
      <c r="J23" s="702">
        <f t="shared" si="1"/>
        <v>0</v>
      </c>
      <c r="K23" s="702">
        <f t="shared" si="1"/>
        <v>0</v>
      </c>
      <c r="L23" s="702">
        <f t="shared" si="1"/>
        <v>0</v>
      </c>
      <c r="M23" s="702">
        <f t="shared" si="1"/>
        <v>0</v>
      </c>
      <c r="N23" s="702">
        <f t="shared" si="1"/>
        <v>0</v>
      </c>
      <c r="O23" s="702">
        <f t="shared" si="1"/>
        <v>0</v>
      </c>
      <c r="P23" s="702">
        <f t="shared" si="1"/>
        <v>0</v>
      </c>
      <c r="Q23" s="702">
        <f t="shared" si="1"/>
        <v>0</v>
      </c>
      <c r="R23" s="702">
        <f t="shared" si="1"/>
        <v>0</v>
      </c>
      <c r="S23" s="702">
        <f t="shared" si="1"/>
        <v>0</v>
      </c>
      <c r="T23" s="703">
        <f>SUM(H23:S23)</f>
        <v>0</v>
      </c>
      <c r="U23" s="704"/>
      <c r="V23" s="704"/>
      <c r="W23" s="686"/>
      <c r="X23" s="686"/>
      <c r="Y23" s="686"/>
      <c r="Z23" s="686"/>
      <c r="AA23" s="686"/>
      <c r="AB23" s="686"/>
      <c r="AC23" s="686"/>
      <c r="AD23" s="686"/>
      <c r="AE23" s="706"/>
    </row>
    <row r="24" spans="1:35" ht="24.95" customHeight="1">
      <c r="A24" s="1113"/>
      <c r="B24" s="1116"/>
      <c r="C24" s="1117"/>
      <c r="D24" s="1062"/>
      <c r="E24" s="1062"/>
      <c r="F24" s="1062"/>
      <c r="G24" s="640" t="s">
        <v>303</v>
      </c>
      <c r="H24" s="641"/>
      <c r="I24" s="641"/>
      <c r="J24" s="641"/>
      <c r="K24" s="641"/>
      <c r="L24" s="641"/>
      <c r="M24" s="641"/>
      <c r="N24" s="641"/>
      <c r="O24" s="641"/>
      <c r="P24" s="641"/>
      <c r="Q24" s="641"/>
      <c r="R24" s="641"/>
      <c r="S24" s="641"/>
      <c r="T24" s="642">
        <f>COUNTA(H24:S24)</f>
        <v>0</v>
      </c>
      <c r="U24" s="643"/>
      <c r="V24" s="644"/>
      <c r="W24" s="686"/>
      <c r="X24" s="686"/>
      <c r="Y24" s="686"/>
      <c r="Z24" s="686"/>
      <c r="AA24" s="686"/>
      <c r="AB24" s="686"/>
      <c r="AC24" s="686"/>
      <c r="AD24" s="686"/>
      <c r="AE24" s="707"/>
    </row>
    <row r="25" spans="1:35" ht="24.95" customHeight="1">
      <c r="A25" s="1114"/>
      <c r="B25" s="1118"/>
      <c r="C25" s="1119"/>
      <c r="D25" s="1122"/>
      <c r="E25" s="1122"/>
      <c r="F25" s="1122"/>
      <c r="G25" s="688" t="s">
        <v>390</v>
      </c>
      <c r="H25" s="689"/>
      <c r="I25" s="689"/>
      <c r="J25" s="689"/>
      <c r="K25" s="689"/>
      <c r="L25" s="689"/>
      <c r="M25" s="689"/>
      <c r="N25" s="689"/>
      <c r="O25" s="689"/>
      <c r="P25" s="689"/>
      <c r="Q25" s="689"/>
      <c r="R25" s="689"/>
      <c r="S25" s="689"/>
      <c r="T25" s="690">
        <f>SUM(H25:S25)</f>
        <v>0</v>
      </c>
      <c r="U25" s="691"/>
      <c r="V25" s="692"/>
      <c r="W25" s="693"/>
      <c r="X25" s="693"/>
      <c r="Y25" s="693"/>
      <c r="Z25" s="693"/>
      <c r="AA25" s="693"/>
      <c r="AB25" s="693"/>
      <c r="AC25" s="693"/>
      <c r="AD25" s="693"/>
      <c r="AE25" s="687"/>
    </row>
    <row r="26" spans="1:35" ht="24.95" customHeight="1">
      <c r="A26" s="1114"/>
      <c r="B26" s="1118"/>
      <c r="C26" s="1119"/>
      <c r="D26" s="1122"/>
      <c r="E26" s="1122"/>
      <c r="F26" s="1122"/>
      <c r="G26" s="695" t="s">
        <v>391</v>
      </c>
      <c r="H26" s="696"/>
      <c r="I26" s="697"/>
      <c r="J26" s="696"/>
      <c r="K26" s="696"/>
      <c r="L26" s="696"/>
      <c r="M26" s="696"/>
      <c r="N26" s="696"/>
      <c r="O26" s="696"/>
      <c r="P26" s="696"/>
      <c r="Q26" s="696"/>
      <c r="R26" s="696"/>
      <c r="S26" s="696"/>
      <c r="T26" s="698">
        <f>SUM(H26:S26)</f>
        <v>0</v>
      </c>
      <c r="U26" s="699"/>
      <c r="V26" s="700"/>
      <c r="W26" s="693"/>
      <c r="X26" s="693"/>
      <c r="Y26" s="693"/>
      <c r="Z26" s="693"/>
      <c r="AA26" s="693"/>
      <c r="AB26" s="693"/>
      <c r="AC26" s="693"/>
      <c r="AD26" s="693"/>
      <c r="AE26" s="687"/>
    </row>
    <row r="27" spans="1:35" ht="24.95" customHeight="1">
      <c r="A27" s="1115"/>
      <c r="B27" s="1120"/>
      <c r="C27" s="1121"/>
      <c r="D27" s="1063"/>
      <c r="E27" s="1063"/>
      <c r="F27" s="1063"/>
      <c r="G27" s="701" t="s">
        <v>302</v>
      </c>
      <c r="H27" s="702">
        <f t="shared" ref="H27:S27" si="2">IF(H25+H26&lt;4,H25+H26,4)</f>
        <v>0</v>
      </c>
      <c r="I27" s="702">
        <f t="shared" si="2"/>
        <v>0</v>
      </c>
      <c r="J27" s="702">
        <f t="shared" si="2"/>
        <v>0</v>
      </c>
      <c r="K27" s="702">
        <f t="shared" si="2"/>
        <v>0</v>
      </c>
      <c r="L27" s="702">
        <f t="shared" si="2"/>
        <v>0</v>
      </c>
      <c r="M27" s="702">
        <f t="shared" si="2"/>
        <v>0</v>
      </c>
      <c r="N27" s="702">
        <f t="shared" si="2"/>
        <v>0</v>
      </c>
      <c r="O27" s="702">
        <f t="shared" si="2"/>
        <v>0</v>
      </c>
      <c r="P27" s="702">
        <f t="shared" si="2"/>
        <v>0</v>
      </c>
      <c r="Q27" s="702">
        <f t="shared" si="2"/>
        <v>0</v>
      </c>
      <c r="R27" s="702">
        <f t="shared" si="2"/>
        <v>0</v>
      </c>
      <c r="S27" s="702">
        <f t="shared" si="2"/>
        <v>0</v>
      </c>
      <c r="T27" s="703">
        <f>SUM(H27:S27)</f>
        <v>0</v>
      </c>
      <c r="U27" s="704"/>
      <c r="V27" s="704"/>
      <c r="W27" s="686"/>
      <c r="X27" s="686"/>
      <c r="Y27" s="686"/>
      <c r="Z27" s="686"/>
      <c r="AA27" s="686"/>
      <c r="AB27" s="686"/>
      <c r="AC27" s="686"/>
      <c r="AD27" s="686"/>
      <c r="AE27" s="708"/>
    </row>
    <row r="28" spans="1:35" ht="24.95" customHeight="1">
      <c r="A28" s="1113"/>
      <c r="B28" s="1116"/>
      <c r="C28" s="1117"/>
      <c r="D28" s="1062"/>
      <c r="E28" s="1062"/>
      <c r="F28" s="1062"/>
      <c r="G28" s="640" t="s">
        <v>303</v>
      </c>
      <c r="H28" s="709"/>
      <c r="I28" s="709"/>
      <c r="J28" s="709"/>
      <c r="K28" s="709"/>
      <c r="L28" s="709"/>
      <c r="M28" s="709"/>
      <c r="N28" s="709"/>
      <c r="O28" s="709"/>
      <c r="P28" s="709"/>
      <c r="Q28" s="709"/>
      <c r="R28" s="709"/>
      <c r="S28" s="709"/>
      <c r="T28" s="642">
        <f>COUNTA(H28:S28)</f>
        <v>0</v>
      </c>
      <c r="U28" s="643"/>
      <c r="V28" s="644"/>
      <c r="W28" s="686"/>
      <c r="X28" s="686"/>
      <c r="Y28" s="686"/>
      <c r="Z28" s="686"/>
      <c r="AA28" s="686"/>
      <c r="AB28" s="686"/>
      <c r="AC28" s="686"/>
      <c r="AD28" s="686"/>
      <c r="AE28" s="687"/>
    </row>
    <row r="29" spans="1:35" ht="24.95" customHeight="1">
      <c r="A29" s="1114"/>
      <c r="B29" s="1118"/>
      <c r="C29" s="1119"/>
      <c r="D29" s="1122"/>
      <c r="E29" s="1122"/>
      <c r="F29" s="1122"/>
      <c r="G29" s="688" t="s">
        <v>390</v>
      </c>
      <c r="H29" s="710"/>
      <c r="I29" s="710"/>
      <c r="J29" s="710"/>
      <c r="K29" s="710"/>
      <c r="L29" s="710"/>
      <c r="M29" s="710"/>
      <c r="N29" s="710"/>
      <c r="O29" s="710"/>
      <c r="P29" s="710"/>
      <c r="Q29" s="710"/>
      <c r="R29" s="710"/>
      <c r="S29" s="710"/>
      <c r="T29" s="690">
        <f>SUM(H29:S29)</f>
        <v>0</v>
      </c>
      <c r="U29" s="691"/>
      <c r="V29" s="692"/>
      <c r="W29" s="693"/>
      <c r="X29" s="693"/>
      <c r="Y29" s="693"/>
      <c r="Z29" s="693"/>
      <c r="AA29" s="693"/>
      <c r="AB29" s="693"/>
      <c r="AC29" s="693"/>
      <c r="AD29" s="693"/>
      <c r="AE29" s="687"/>
    </row>
    <row r="30" spans="1:35" ht="24.95" customHeight="1">
      <c r="A30" s="1114"/>
      <c r="B30" s="1118"/>
      <c r="C30" s="1119"/>
      <c r="D30" s="1122"/>
      <c r="E30" s="1122"/>
      <c r="F30" s="1122"/>
      <c r="G30" s="695" t="s">
        <v>391</v>
      </c>
      <c r="H30" s="711"/>
      <c r="I30" s="712"/>
      <c r="J30" s="711"/>
      <c r="K30" s="711"/>
      <c r="L30" s="711"/>
      <c r="M30" s="711"/>
      <c r="N30" s="711"/>
      <c r="O30" s="711"/>
      <c r="P30" s="711"/>
      <c r="Q30" s="711"/>
      <c r="R30" s="711"/>
      <c r="S30" s="711"/>
      <c r="T30" s="698">
        <f>SUM(H30:S30)</f>
        <v>0</v>
      </c>
      <c r="U30" s="699"/>
      <c r="V30" s="700"/>
      <c r="W30" s="693"/>
      <c r="X30" s="693"/>
      <c r="Y30" s="693"/>
      <c r="Z30" s="693"/>
      <c r="AA30" s="693"/>
      <c r="AB30" s="693"/>
      <c r="AC30" s="693"/>
      <c r="AD30" s="693"/>
      <c r="AE30" s="687"/>
    </row>
    <row r="31" spans="1:35" ht="24.95" customHeight="1" thickBot="1">
      <c r="A31" s="1115"/>
      <c r="B31" s="1120"/>
      <c r="C31" s="1121"/>
      <c r="D31" s="1063"/>
      <c r="E31" s="1063"/>
      <c r="F31" s="1063"/>
      <c r="G31" s="713" t="s">
        <v>302</v>
      </c>
      <c r="H31" s="702">
        <f t="shared" ref="H31:S31" si="3">IF(H29+H30&lt;4,H29+H30,4)</f>
        <v>0</v>
      </c>
      <c r="I31" s="702">
        <f t="shared" si="3"/>
        <v>0</v>
      </c>
      <c r="J31" s="702">
        <f t="shared" si="3"/>
        <v>0</v>
      </c>
      <c r="K31" s="702">
        <f t="shared" si="3"/>
        <v>0</v>
      </c>
      <c r="L31" s="702">
        <f t="shared" si="3"/>
        <v>0</v>
      </c>
      <c r="M31" s="702">
        <f t="shared" si="3"/>
        <v>0</v>
      </c>
      <c r="N31" s="702">
        <f t="shared" si="3"/>
        <v>0</v>
      </c>
      <c r="O31" s="702">
        <f t="shared" si="3"/>
        <v>0</v>
      </c>
      <c r="P31" s="714">
        <f t="shared" si="3"/>
        <v>0</v>
      </c>
      <c r="Q31" s="714">
        <f t="shared" si="3"/>
        <v>0</v>
      </c>
      <c r="R31" s="714">
        <f t="shared" si="3"/>
        <v>0</v>
      </c>
      <c r="S31" s="714">
        <f t="shared" si="3"/>
        <v>0</v>
      </c>
      <c r="T31" s="715">
        <f>SUM(H31:S31)</f>
        <v>0</v>
      </c>
      <c r="U31" s="716"/>
      <c r="V31" s="716"/>
      <c r="W31" s="717"/>
      <c r="X31" s="717"/>
      <c r="Y31" s="717"/>
      <c r="Z31" s="717"/>
      <c r="AA31" s="717"/>
      <c r="AB31" s="717"/>
      <c r="AC31" s="717"/>
      <c r="AD31" s="717"/>
      <c r="AE31" s="718"/>
    </row>
    <row r="32" spans="1:35" ht="20.100000000000001" customHeight="1">
      <c r="F32" s="663"/>
      <c r="G32" s="664"/>
      <c r="H32" s="665"/>
      <c r="I32" s="665"/>
      <c r="J32" s="665"/>
      <c r="K32" s="665"/>
      <c r="L32" s="665"/>
      <c r="M32" s="665"/>
      <c r="N32" s="665"/>
      <c r="O32" s="665"/>
      <c r="P32" s="1101" t="s">
        <v>302</v>
      </c>
      <c r="Q32" s="1102"/>
      <c r="R32" s="1050" t="s">
        <v>303</v>
      </c>
      <c r="S32" s="1050"/>
      <c r="T32" s="719">
        <f t="shared" ref="T32:AD34" si="4">T16+T20+T24+T28</f>
        <v>0</v>
      </c>
      <c r="U32" s="720">
        <f t="shared" si="4"/>
        <v>0</v>
      </c>
      <c r="V32" s="721">
        <f t="shared" si="4"/>
        <v>0</v>
      </c>
      <c r="W32" s="722" t="s">
        <v>304</v>
      </c>
      <c r="X32" s="668" t="s">
        <v>305</v>
      </c>
      <c r="Y32" s="723" t="s">
        <v>306</v>
      </c>
      <c r="Z32" s="668" t="s">
        <v>307</v>
      </c>
      <c r="AA32" s="723" t="s">
        <v>308</v>
      </c>
      <c r="AB32" s="668" t="s">
        <v>309</v>
      </c>
      <c r="AC32" s="723" t="s">
        <v>310</v>
      </c>
      <c r="AD32" s="669" t="s">
        <v>202</v>
      </c>
    </row>
    <row r="33" spans="1:37" ht="20.100000000000001" customHeight="1">
      <c r="B33" s="670"/>
      <c r="C33" s="670"/>
      <c r="D33" s="671"/>
      <c r="E33" s="671"/>
      <c r="F33" s="663"/>
      <c r="G33" s="664"/>
      <c r="H33" s="665"/>
      <c r="I33" s="665"/>
      <c r="J33" s="665"/>
      <c r="K33" s="665"/>
      <c r="L33" s="665"/>
      <c r="M33" s="665"/>
      <c r="N33" s="665"/>
      <c r="O33" s="665"/>
      <c r="P33" s="1103"/>
      <c r="Q33" s="1079"/>
      <c r="R33" s="1106" t="s">
        <v>311</v>
      </c>
      <c r="S33" s="1106"/>
      <c r="T33" s="724">
        <f t="shared" si="4"/>
        <v>0</v>
      </c>
      <c r="U33" s="725">
        <f t="shared" si="4"/>
        <v>0</v>
      </c>
      <c r="V33" s="726">
        <f t="shared" si="4"/>
        <v>0</v>
      </c>
      <c r="W33" s="727">
        <f t="shared" si="4"/>
        <v>0</v>
      </c>
      <c r="X33" s="727">
        <f t="shared" si="4"/>
        <v>0</v>
      </c>
      <c r="Y33" s="727">
        <f t="shared" si="4"/>
        <v>0</v>
      </c>
      <c r="Z33" s="727">
        <f t="shared" si="4"/>
        <v>0</v>
      </c>
      <c r="AA33" s="727">
        <f t="shared" si="4"/>
        <v>0</v>
      </c>
      <c r="AB33" s="727">
        <f t="shared" si="4"/>
        <v>0</v>
      </c>
      <c r="AC33" s="727">
        <f t="shared" si="4"/>
        <v>0</v>
      </c>
      <c r="AD33" s="728">
        <f t="shared" si="4"/>
        <v>0</v>
      </c>
      <c r="AH33" s="729" t="s">
        <v>323</v>
      </c>
      <c r="AI33" s="730">
        <f>T34</f>
        <v>0</v>
      </c>
      <c r="AJ33" s="730">
        <f>U34</f>
        <v>0</v>
      </c>
      <c r="AK33" s="730">
        <f>V34</f>
        <v>0</v>
      </c>
    </row>
    <row r="34" spans="1:37" ht="20.100000000000001" customHeight="1">
      <c r="B34" s="670"/>
      <c r="C34" s="670"/>
      <c r="D34" s="671"/>
      <c r="E34" s="671"/>
      <c r="F34" s="663"/>
      <c r="G34" s="664"/>
      <c r="H34" s="665"/>
      <c r="I34" s="665"/>
      <c r="J34" s="665"/>
      <c r="K34" s="665"/>
      <c r="L34" s="665"/>
      <c r="M34" s="665"/>
      <c r="N34" s="665"/>
      <c r="O34" s="665"/>
      <c r="P34" s="1103"/>
      <c r="Q34" s="1079"/>
      <c r="R34" s="1107" t="s">
        <v>392</v>
      </c>
      <c r="S34" s="1108"/>
      <c r="T34" s="1111">
        <f t="shared" si="4"/>
        <v>0</v>
      </c>
      <c r="U34" s="1098">
        <f t="shared" si="4"/>
        <v>0</v>
      </c>
      <c r="V34" s="1098">
        <f t="shared" si="4"/>
        <v>0</v>
      </c>
      <c r="W34" s="731" t="s">
        <v>205</v>
      </c>
      <c r="X34" s="732" t="s">
        <v>206</v>
      </c>
      <c r="Y34" s="731" t="s">
        <v>324</v>
      </c>
      <c r="Z34" s="732" t="s">
        <v>325</v>
      </c>
      <c r="AA34" s="731" t="s">
        <v>326</v>
      </c>
      <c r="AB34" s="732" t="s">
        <v>327</v>
      </c>
      <c r="AC34" s="731" t="s">
        <v>328</v>
      </c>
      <c r="AD34" s="733" t="s">
        <v>329</v>
      </c>
    </row>
    <row r="35" spans="1:37" ht="20.100000000000001" customHeight="1" thickBot="1">
      <c r="B35" s="670"/>
      <c r="C35" s="670"/>
      <c r="D35" s="671"/>
      <c r="E35" s="671"/>
      <c r="F35" s="663"/>
      <c r="G35" s="664"/>
      <c r="H35" s="665"/>
      <c r="I35" s="665"/>
      <c r="J35" s="665"/>
      <c r="K35" s="665"/>
      <c r="L35" s="665"/>
      <c r="M35" s="665"/>
      <c r="N35" s="665"/>
      <c r="O35" s="665"/>
      <c r="P35" s="1104"/>
      <c r="Q35" s="1105"/>
      <c r="R35" s="1109"/>
      <c r="S35" s="1110"/>
      <c r="T35" s="1112"/>
      <c r="U35" s="1099"/>
      <c r="V35" s="1099"/>
      <c r="W35" s="734">
        <f t="shared" ref="W35:AD35" si="5">W18+W22+W26+W30</f>
        <v>0</v>
      </c>
      <c r="X35" s="734">
        <f t="shared" si="5"/>
        <v>0</v>
      </c>
      <c r="Y35" s="734">
        <f t="shared" si="5"/>
        <v>0</v>
      </c>
      <c r="Z35" s="734">
        <f t="shared" si="5"/>
        <v>0</v>
      </c>
      <c r="AA35" s="734">
        <f t="shared" si="5"/>
        <v>0</v>
      </c>
      <c r="AB35" s="734">
        <f t="shared" si="5"/>
        <v>0</v>
      </c>
      <c r="AC35" s="734">
        <f t="shared" si="5"/>
        <v>0</v>
      </c>
      <c r="AD35" s="735">
        <f t="shared" si="5"/>
        <v>0</v>
      </c>
    </row>
    <row r="36" spans="1:37" ht="20.100000000000001" customHeight="1">
      <c r="B36" s="670"/>
      <c r="C36" s="670"/>
      <c r="D36" s="671"/>
      <c r="E36" s="671"/>
      <c r="F36" s="663"/>
      <c r="G36" s="664"/>
      <c r="H36" s="665"/>
      <c r="I36" s="665"/>
      <c r="J36" s="665"/>
      <c r="K36" s="665"/>
      <c r="L36" s="665"/>
      <c r="M36" s="665"/>
      <c r="N36" s="665"/>
      <c r="O36" s="665"/>
      <c r="P36" s="665"/>
      <c r="Q36" s="665"/>
      <c r="R36" s="664"/>
      <c r="S36" s="664"/>
      <c r="T36" s="665"/>
      <c r="U36" s="736"/>
      <c r="V36" s="736"/>
      <c r="W36" s="737"/>
      <c r="X36" s="737"/>
      <c r="Y36" s="737"/>
      <c r="Z36" s="737"/>
      <c r="AA36" s="737"/>
      <c r="AB36" s="737"/>
      <c r="AC36" s="737"/>
      <c r="AD36" s="737"/>
      <c r="AH36" s="729" t="s">
        <v>378</v>
      </c>
      <c r="AI36" s="729" t="s">
        <v>379</v>
      </c>
    </row>
    <row r="37" spans="1:37" ht="24.95" customHeight="1">
      <c r="B37" s="676"/>
      <c r="C37" s="676"/>
      <c r="D37" s="676"/>
      <c r="E37" s="676"/>
      <c r="F37" s="676"/>
      <c r="G37" s="671"/>
      <c r="T37" s="1097" t="s">
        <v>330</v>
      </c>
      <c r="U37" s="1097"/>
      <c r="V37" s="1097"/>
      <c r="W37" s="1097"/>
      <c r="X37" s="1097"/>
      <c r="Y37" s="1097"/>
      <c r="Z37" s="1097"/>
      <c r="AA37" s="1097"/>
      <c r="AB37" s="1097"/>
      <c r="AC37" s="1097"/>
      <c r="AD37" s="1097"/>
      <c r="AH37" s="730">
        <f>X38</f>
        <v>0</v>
      </c>
      <c r="AI37" s="730">
        <f>AB38</f>
        <v>0</v>
      </c>
    </row>
    <row r="38" spans="1:37" ht="24.95" customHeight="1">
      <c r="A38" s="1100" t="s">
        <v>393</v>
      </c>
      <c r="B38" s="1100"/>
      <c r="C38" s="1100"/>
      <c r="D38" s="1100"/>
      <c r="E38" s="1100"/>
      <c r="F38" s="1100"/>
      <c r="G38" s="1100"/>
      <c r="H38" s="1100"/>
      <c r="I38" s="1100"/>
      <c r="J38" s="1100"/>
      <c r="K38" s="1100"/>
      <c r="L38" s="1100"/>
      <c r="M38" s="1100"/>
      <c r="N38" s="1100"/>
      <c r="O38" s="1100"/>
      <c r="P38" s="1100"/>
      <c r="Q38" s="1100"/>
      <c r="T38" s="1053" t="s">
        <v>383</v>
      </c>
      <c r="U38" s="1054"/>
      <c r="V38" s="1055"/>
      <c r="W38" s="677" t="s">
        <v>198</v>
      </c>
      <c r="X38" s="1032">
        <f>Z33</f>
        <v>0</v>
      </c>
      <c r="Y38" s="1032"/>
      <c r="Z38" s="678" t="s">
        <v>315</v>
      </c>
      <c r="AA38" s="679" t="s">
        <v>316</v>
      </c>
      <c r="AB38" s="1032">
        <f>AD33</f>
        <v>0</v>
      </c>
      <c r="AC38" s="1032"/>
      <c r="AD38" s="678" t="s">
        <v>315</v>
      </c>
      <c r="AH38" s="729" t="s">
        <v>380</v>
      </c>
      <c r="AI38" s="729" t="s">
        <v>381</v>
      </c>
    </row>
    <row r="39" spans="1:37" ht="24.95" customHeight="1">
      <c r="A39" s="1100"/>
      <c r="B39" s="1100"/>
      <c r="C39" s="1100"/>
      <c r="D39" s="1100"/>
      <c r="E39" s="1100"/>
      <c r="F39" s="1100"/>
      <c r="G39" s="1100"/>
      <c r="H39" s="1100"/>
      <c r="I39" s="1100"/>
      <c r="J39" s="1100"/>
      <c r="K39" s="1100"/>
      <c r="L39" s="1100"/>
      <c r="M39" s="1100"/>
      <c r="N39" s="1100"/>
      <c r="O39" s="1100"/>
      <c r="P39" s="1100"/>
      <c r="Q39" s="1100"/>
      <c r="T39" s="1033" t="s">
        <v>384</v>
      </c>
      <c r="U39" s="1034"/>
      <c r="V39" s="1035"/>
      <c r="W39" s="1039" t="s">
        <v>221</v>
      </c>
      <c r="X39" s="1041" t="s">
        <v>318</v>
      </c>
      <c r="Y39" s="1041"/>
      <c r="Z39" s="1042"/>
      <c r="AA39" s="1043" t="s">
        <v>222</v>
      </c>
      <c r="AB39" s="1041" t="s">
        <v>319</v>
      </c>
      <c r="AC39" s="1041"/>
      <c r="AD39" s="1042"/>
      <c r="AH39" s="730">
        <f>X40</f>
        <v>0</v>
      </c>
      <c r="AI39" s="730">
        <f>AB40</f>
        <v>0</v>
      </c>
    </row>
    <row r="40" spans="1:37" ht="24.95" customHeight="1">
      <c r="A40" s="1100"/>
      <c r="B40" s="1100"/>
      <c r="C40" s="1100"/>
      <c r="D40" s="1100"/>
      <c r="E40" s="1100"/>
      <c r="F40" s="1100"/>
      <c r="G40" s="1100"/>
      <c r="H40" s="1100"/>
      <c r="I40" s="1100"/>
      <c r="J40" s="1100"/>
      <c r="K40" s="1100"/>
      <c r="L40" s="1100"/>
      <c r="M40" s="1100"/>
      <c r="N40" s="1100"/>
      <c r="O40" s="1100"/>
      <c r="P40" s="1100"/>
      <c r="Q40" s="1100"/>
      <c r="T40" s="1036"/>
      <c r="U40" s="1037"/>
      <c r="V40" s="1038"/>
      <c r="W40" s="1040"/>
      <c r="X40" s="1072">
        <f>W33+(X33*2)+(Y33*3)</f>
        <v>0</v>
      </c>
      <c r="Y40" s="1072"/>
      <c r="Z40" s="680" t="s">
        <v>320</v>
      </c>
      <c r="AA40" s="1044"/>
      <c r="AB40" s="1072">
        <f>AA33+(AB33*2)+(AC33*3)</f>
        <v>0</v>
      </c>
      <c r="AC40" s="1072"/>
      <c r="AD40" s="680" t="s">
        <v>320</v>
      </c>
    </row>
    <row r="41" spans="1:37" ht="24.95" customHeight="1">
      <c r="A41" s="1100"/>
      <c r="B41" s="1100"/>
      <c r="C41" s="1100"/>
      <c r="D41" s="1100"/>
      <c r="E41" s="1100"/>
      <c r="F41" s="1100"/>
      <c r="G41" s="1100"/>
      <c r="H41" s="1100"/>
      <c r="I41" s="1100"/>
      <c r="J41" s="1100"/>
      <c r="K41" s="1100"/>
      <c r="L41" s="1100"/>
      <c r="M41" s="1100"/>
      <c r="N41" s="1100"/>
      <c r="O41" s="1100"/>
      <c r="P41" s="1100"/>
      <c r="Q41" s="1100"/>
      <c r="R41" s="681"/>
      <c r="S41" s="681"/>
      <c r="T41" s="681"/>
      <c r="W41" s="681"/>
      <c r="X41" s="681"/>
      <c r="Y41" s="681"/>
      <c r="Z41" s="681"/>
      <c r="AA41" s="681"/>
      <c r="AB41" s="681"/>
      <c r="AC41" s="681"/>
      <c r="AD41" s="681"/>
      <c r="AE41" s="681"/>
    </row>
    <row r="42" spans="1:37" ht="24.95" customHeight="1">
      <c r="A42" s="1100"/>
      <c r="B42" s="1100"/>
      <c r="C42" s="1100"/>
      <c r="D42" s="1100"/>
      <c r="E42" s="1100"/>
      <c r="F42" s="1100"/>
      <c r="G42" s="1100"/>
      <c r="H42" s="1100"/>
      <c r="I42" s="1100"/>
      <c r="J42" s="1100"/>
      <c r="K42" s="1100"/>
      <c r="L42" s="1100"/>
      <c r="M42" s="1100"/>
      <c r="N42" s="1100"/>
      <c r="O42" s="1100"/>
      <c r="P42" s="1100"/>
      <c r="Q42" s="1100"/>
      <c r="T42" s="1097" t="s">
        <v>331</v>
      </c>
      <c r="U42" s="1097"/>
      <c r="V42" s="1097"/>
      <c r="W42" s="1097"/>
      <c r="X42" s="1097"/>
      <c r="Y42" s="1097"/>
      <c r="Z42" s="1097"/>
      <c r="AA42" s="1097"/>
      <c r="AB42" s="1097"/>
      <c r="AC42" s="1097"/>
      <c r="AD42" s="1097"/>
    </row>
    <row r="43" spans="1:37" ht="24.95" customHeight="1">
      <c r="D43" s="682"/>
      <c r="T43" s="1053" t="s">
        <v>383</v>
      </c>
      <c r="U43" s="1054"/>
      <c r="V43" s="1055"/>
      <c r="W43" s="677" t="s">
        <v>325</v>
      </c>
      <c r="X43" s="1032">
        <f>Z35</f>
        <v>0</v>
      </c>
      <c r="Y43" s="1032"/>
      <c r="Z43" s="678" t="s">
        <v>315</v>
      </c>
      <c r="AA43" s="679" t="s">
        <v>329</v>
      </c>
      <c r="AB43" s="1032">
        <f>AD35</f>
        <v>0</v>
      </c>
      <c r="AC43" s="1032"/>
      <c r="AD43" s="678" t="s">
        <v>315</v>
      </c>
      <c r="AH43" s="729" t="s">
        <v>394</v>
      </c>
      <c r="AI43" s="729" t="s">
        <v>395</v>
      </c>
    </row>
    <row r="44" spans="1:37" ht="24.95" customHeight="1">
      <c r="D44" s="682"/>
      <c r="T44" s="1033" t="s">
        <v>384</v>
      </c>
      <c r="U44" s="1034"/>
      <c r="V44" s="1035"/>
      <c r="W44" s="1039" t="s">
        <v>332</v>
      </c>
      <c r="X44" s="1041" t="s">
        <v>333</v>
      </c>
      <c r="Y44" s="1041"/>
      <c r="Z44" s="1042"/>
      <c r="AA44" s="1043" t="s">
        <v>334</v>
      </c>
      <c r="AB44" s="1041" t="s">
        <v>335</v>
      </c>
      <c r="AC44" s="1041"/>
      <c r="AD44" s="1042"/>
      <c r="AH44" s="730">
        <f>X43</f>
        <v>0</v>
      </c>
      <c r="AI44" s="730">
        <f>AB43</f>
        <v>0</v>
      </c>
    </row>
    <row r="45" spans="1:37" ht="24.95" customHeight="1">
      <c r="T45" s="1036"/>
      <c r="U45" s="1037"/>
      <c r="V45" s="1038"/>
      <c r="W45" s="1040"/>
      <c r="X45" s="1072">
        <f>W35+(X35*2)+(Y35*3)</f>
        <v>0</v>
      </c>
      <c r="Y45" s="1072"/>
      <c r="Z45" s="680" t="s">
        <v>320</v>
      </c>
      <c r="AA45" s="1044"/>
      <c r="AB45" s="1072">
        <f>AA35+(AB35*2)+(AC35*3)</f>
        <v>0</v>
      </c>
      <c r="AC45" s="1072"/>
      <c r="AD45" s="680" t="s">
        <v>320</v>
      </c>
      <c r="AH45" s="729" t="s">
        <v>396</v>
      </c>
      <c r="AI45" s="729" t="s">
        <v>397</v>
      </c>
    </row>
    <row r="46" spans="1:37" ht="15" customHeight="1">
      <c r="AH46" s="730">
        <f>X45</f>
        <v>0</v>
      </c>
      <c r="AI46" s="730">
        <f>AB45</f>
        <v>0</v>
      </c>
    </row>
    <row r="49" s="614" customFormat="1" ht="12"/>
    <row r="50" s="614" customFormat="1" ht="12"/>
    <row r="51" s="614" customFormat="1" ht="12"/>
    <row r="52" s="614" customFormat="1" ht="12"/>
    <row r="53" s="614" customFormat="1" ht="12"/>
    <row r="54" s="614" customFormat="1" ht="12"/>
    <row r="55" s="614" customFormat="1" ht="12"/>
    <row r="57" s="614" customFormat="1" ht="12"/>
    <row r="58" s="614" customFormat="1" ht="12"/>
    <row r="65" s="614" customFormat="1" ht="12"/>
    <row r="66" s="614" customFormat="1" ht="12"/>
    <row r="67" s="614" customFormat="1" ht="12"/>
    <row r="68" s="614" customFormat="1" ht="12"/>
    <row r="69" s="614" customFormat="1" ht="12"/>
    <row r="70" s="614" customFormat="1" ht="12"/>
    <row r="71" s="614" customFormat="1" ht="12"/>
    <row r="72" s="614" customFormat="1" ht="12"/>
    <row r="73" s="614" customFormat="1" ht="12"/>
    <row r="74" s="614" customFormat="1" ht="12"/>
    <row r="75" s="614" customFormat="1" ht="12"/>
    <row r="76" s="614" customFormat="1" ht="12"/>
    <row r="77" s="614" customFormat="1" ht="12"/>
    <row r="78" s="614" customFormat="1" ht="12"/>
    <row r="79" s="614" customFormat="1" ht="12"/>
    <row r="80" s="614" customFormat="1" ht="12"/>
    <row r="81" s="614" customFormat="1" ht="12"/>
    <row r="82" s="614" customFormat="1" ht="12"/>
    <row r="83" s="614" customFormat="1" ht="12"/>
    <row r="84" s="614" customFormat="1" ht="12"/>
    <row r="85" s="614" customFormat="1" ht="12"/>
    <row r="86" s="614" customFormat="1" ht="12"/>
    <row r="87" s="614" customFormat="1" ht="12"/>
    <row r="88" s="614" customFormat="1" ht="12"/>
    <row r="89" s="614" customFormat="1" ht="12"/>
    <row r="90" s="614" customFormat="1" ht="12"/>
    <row r="91" s="614" customFormat="1" ht="12"/>
    <row r="94" s="614" customFormat="1" ht="12"/>
    <row r="95" s="614" customFormat="1" ht="12"/>
  </sheetData>
  <mergeCells count="73">
    <mergeCell ref="T44:V45"/>
    <mergeCell ref="W44:W45"/>
    <mergeCell ref="X44:Z44"/>
    <mergeCell ref="AA44:AA45"/>
    <mergeCell ref="AB44:AD44"/>
    <mergeCell ref="X45:Y45"/>
    <mergeCell ref="AB45:AC45"/>
    <mergeCell ref="AB39:AD39"/>
    <mergeCell ref="X40:Y40"/>
    <mergeCell ref="AB40:AC40"/>
    <mergeCell ref="T42:AD42"/>
    <mergeCell ref="T43:V43"/>
    <mergeCell ref="X43:Y43"/>
    <mergeCell ref="AB43:AC43"/>
    <mergeCell ref="V34:V35"/>
    <mergeCell ref="T37:AD37"/>
    <mergeCell ref="A38:Q42"/>
    <mergeCell ref="T38:V38"/>
    <mergeCell ref="X38:Y38"/>
    <mergeCell ref="AB38:AC38"/>
    <mergeCell ref="T39:V40"/>
    <mergeCell ref="W39:W40"/>
    <mergeCell ref="X39:Z39"/>
    <mergeCell ref="AA39:AA40"/>
    <mergeCell ref="P32:Q35"/>
    <mergeCell ref="R32:S32"/>
    <mergeCell ref="R33:S33"/>
    <mergeCell ref="R34:S35"/>
    <mergeCell ref="T34:T35"/>
    <mergeCell ref="U34:U35"/>
    <mergeCell ref="A24:A27"/>
    <mergeCell ref="B24:C27"/>
    <mergeCell ref="D24:D27"/>
    <mergeCell ref="E24:E27"/>
    <mergeCell ref="F24:F27"/>
    <mergeCell ref="A28:A31"/>
    <mergeCell ref="B28:C31"/>
    <mergeCell ref="D28:D31"/>
    <mergeCell ref="E28:E31"/>
    <mergeCell ref="F28:F31"/>
    <mergeCell ref="A16:A19"/>
    <mergeCell ref="B16:C19"/>
    <mergeCell ref="D16:D19"/>
    <mergeCell ref="E16:E19"/>
    <mergeCell ref="F16:F19"/>
    <mergeCell ref="A20:A23"/>
    <mergeCell ref="B20:C23"/>
    <mergeCell ref="D20:D23"/>
    <mergeCell ref="E20:E23"/>
    <mergeCell ref="F20:F23"/>
    <mergeCell ref="G13:G15"/>
    <mergeCell ref="H13:T14"/>
    <mergeCell ref="U13:V14"/>
    <mergeCell ref="W13:AD13"/>
    <mergeCell ref="AE13:AE15"/>
    <mergeCell ref="W14:Z14"/>
    <mergeCell ref="AA14:AD14"/>
    <mergeCell ref="B9:G9"/>
    <mergeCell ref="I9:J9"/>
    <mergeCell ref="K9:L9"/>
    <mergeCell ref="D11:G11"/>
    <mergeCell ref="W12:AE12"/>
    <mergeCell ref="A13:A15"/>
    <mergeCell ref="B13:C15"/>
    <mergeCell ref="D13:D15"/>
    <mergeCell ref="E13:E15"/>
    <mergeCell ref="F13:F15"/>
    <mergeCell ref="A1:B1"/>
    <mergeCell ref="B3:AE3"/>
    <mergeCell ref="A5:B5"/>
    <mergeCell ref="B8:E8"/>
    <mergeCell ref="I8:J8"/>
    <mergeCell ref="K8:L8"/>
  </mergeCells>
  <phoneticPr fontId="4"/>
  <conditionalFormatting sqref="A16:B16">
    <cfRule type="containsBlanks" dxfId="57" priority="19" stopIfTrue="1">
      <formula>LEN(TRIM(A16))=0</formula>
    </cfRule>
  </conditionalFormatting>
  <conditionalFormatting sqref="A20:B20">
    <cfRule type="containsBlanks" dxfId="56" priority="13" stopIfTrue="1">
      <formula>LEN(TRIM(A20))=0</formula>
    </cfRule>
  </conditionalFormatting>
  <conditionalFormatting sqref="A24:B24">
    <cfRule type="containsBlanks" dxfId="55" priority="12" stopIfTrue="1">
      <formula>LEN(TRIM(A24))=0</formula>
    </cfRule>
  </conditionalFormatting>
  <conditionalFormatting sqref="A28:B28">
    <cfRule type="containsBlanks" dxfId="54" priority="11" stopIfTrue="1">
      <formula>LEN(TRIM(A28))=0</formula>
    </cfRule>
  </conditionalFormatting>
  <conditionalFormatting sqref="B7:B8 F8:G8">
    <cfRule type="containsBlanks" dxfId="53" priority="1" stopIfTrue="1">
      <formula>LEN(TRIM(B7))=0</formula>
    </cfRule>
  </conditionalFormatting>
  <conditionalFormatting sqref="B10:B11 D10:D11">
    <cfRule type="containsBlanks" dxfId="52" priority="15" stopIfTrue="1">
      <formula>LEN(TRIM(B10))=0</formula>
    </cfRule>
  </conditionalFormatting>
  <conditionalFormatting sqref="B9:G9 F10">
    <cfRule type="containsBlanks" dxfId="51" priority="20" stopIfTrue="1">
      <formula>LEN(TRIM(B9))=0</formula>
    </cfRule>
  </conditionalFormatting>
  <conditionalFormatting sqref="D16:F31">
    <cfRule type="containsBlanks" dxfId="50" priority="16" stopIfTrue="1">
      <formula>LEN(TRIM(D16))=0</formula>
    </cfRule>
  </conditionalFormatting>
  <conditionalFormatting sqref="H16:S18">
    <cfRule type="containsBlanks" dxfId="49" priority="10">
      <formula>LEN(TRIM(H16))=0</formula>
    </cfRule>
  </conditionalFormatting>
  <conditionalFormatting sqref="H20:S22">
    <cfRule type="containsBlanks" dxfId="48" priority="9">
      <formula>LEN(TRIM(H20))=0</formula>
    </cfRule>
  </conditionalFormatting>
  <conditionalFormatting sqref="H24:S26">
    <cfRule type="containsBlanks" dxfId="47" priority="8">
      <formula>LEN(TRIM(H24))=0</formula>
    </cfRule>
  </conditionalFormatting>
  <conditionalFormatting sqref="K8:L9">
    <cfRule type="expression" dxfId="46" priority="2">
      <formula>IF($AI$17="入力不可",TRUE,FALSE)</formula>
    </cfRule>
  </conditionalFormatting>
  <conditionalFormatting sqref="U16:V18">
    <cfRule type="containsBlanks" dxfId="45" priority="7">
      <formula>LEN(TRIM(U16))=0</formula>
    </cfRule>
  </conditionalFormatting>
  <conditionalFormatting sqref="U20:V22">
    <cfRule type="containsBlanks" dxfId="44" priority="6">
      <formula>LEN(TRIM(U20))=0</formula>
    </cfRule>
  </conditionalFormatting>
  <conditionalFormatting sqref="U24:V26">
    <cfRule type="containsBlanks" dxfId="43" priority="5">
      <formula>LEN(TRIM(U24))=0</formula>
    </cfRule>
  </conditionalFormatting>
  <conditionalFormatting sqref="U28:V30">
    <cfRule type="containsBlanks" dxfId="42" priority="4">
      <formula>LEN(TRIM(U28))=0</formula>
    </cfRule>
  </conditionalFormatting>
  <conditionalFormatting sqref="W17:AD18 W21:AD22 W25:AD26 W29:AD30">
    <cfRule type="containsBlanks" dxfId="41" priority="3">
      <formula>LEN(TRIM(W17))=0</formula>
    </cfRule>
  </conditionalFormatting>
  <dataValidations count="7">
    <dataValidation allowBlank="1" showInputMessage="1" showErrorMessage="1" prompt="宿日直と_x000a_オンコールを合わせ_x000a_４回まで" sqref="H19:S19 H23:S23 H27:S27 H31:S31" xr:uid="{CDF2349A-6BEC-4E56-9A7E-31A2D840F0C3}"/>
    <dataValidation allowBlank="1" showErrorMessage="1" sqref="A16:A31" xr:uid="{40A396F7-4CE5-464A-8E26-797B1E6DDBCD}"/>
    <dataValidation type="list" allowBlank="1" showInputMessage="1" sqref="H16:S16 H20:S20 H24:S24 H28:S28" xr:uid="{294312BE-7556-402E-8269-340EC618DF8A}">
      <formula1>"→,内,救,地,外,小,産,麻,精,選"</formula1>
    </dataValidation>
    <dataValidation type="list" allowBlank="1" showInputMessage="1" showErrorMessage="1" sqref="F20:F31" xr:uid="{AEB0F83E-7823-4A23-9C20-E434BB869F78}">
      <formula1>"第1種,第2種,第3種,第4種,第5種"</formula1>
    </dataValidation>
    <dataValidation type="custom" allowBlank="1" showInputMessage="1" showErrorMessage="1" sqref="K8:L9" xr:uid="{EE831C32-6CA4-4888-B2B4-1647707E8903}">
      <formula1>IF($AI$17="入力不可",FALSE,TRUE)</formula1>
    </dataValidation>
    <dataValidation type="list" allowBlank="1" showInputMessage="1" showErrorMessage="1" errorTitle="！入力不要！" error="地域種別が第３種、第４種及び第５種に該当する場合は入力不要です。" sqref="F16:F19" xr:uid="{62581736-5D46-4370-8883-54263E8B3B71}">
      <formula1>"第1種,第2種,第3種,第4種,第5種"</formula1>
    </dataValidation>
    <dataValidation type="list" allowBlank="1" showInputMessage="1" showErrorMessage="1" sqref="G8" xr:uid="{608244E6-2216-4B09-90B8-C0703890FBD3}">
      <formula1>"第１種,第２種,第３種,第４種,第５種"</formula1>
    </dataValidation>
  </dataValidations>
  <printOptions horizontalCentered="1"/>
  <pageMargins left="0.23622047244094491" right="0.23622047244094491" top="0.74803149606299213" bottom="0.74803149606299213" header="0.31496062992125984" footer="0.31496062992125984"/>
  <pageSetup paperSize="9" scale="50" orientation="landscape" blackAndWhite="1" errors="blank"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9">
    <tabColor rgb="FFFFC000"/>
    <pageSetUpPr fitToPage="1"/>
  </sheetPr>
  <dimension ref="A1:G35"/>
  <sheetViews>
    <sheetView showZeros="0" view="pageBreakPreview" zoomScaleNormal="100" zoomScaleSheetLayoutView="100" workbookViewId="0"/>
  </sheetViews>
  <sheetFormatPr defaultRowHeight="15" customHeight="1"/>
  <cols>
    <col min="1" max="1" width="25.625" style="18" customWidth="1"/>
    <col min="2" max="2" width="12.25" style="17" bestFit="1" customWidth="1"/>
    <col min="3" max="3" width="9.375" style="17" bestFit="1" customWidth="1"/>
    <col min="4" max="4" width="3.625" style="18" customWidth="1"/>
    <col min="5" max="5" width="9.375" style="17" customWidth="1"/>
    <col min="6" max="6" width="8" style="17" customWidth="1"/>
    <col min="7" max="7" width="22.625" style="18" customWidth="1"/>
    <col min="8" max="256" width="9" style="18"/>
    <col min="257" max="257" width="25.625" style="18" customWidth="1"/>
    <col min="258" max="258" width="12.625" style="18" customWidth="1"/>
    <col min="259" max="259" width="9.375" style="18" bestFit="1" customWidth="1"/>
    <col min="260" max="260" width="3.625" style="18" customWidth="1"/>
    <col min="261" max="261" width="9.375" style="18" customWidth="1"/>
    <col min="262" max="262" width="6.375" style="18" customWidth="1"/>
    <col min="263" max="263" width="22.625" style="18" customWidth="1"/>
    <col min="264" max="512" width="9" style="18"/>
    <col min="513" max="513" width="25.625" style="18" customWidth="1"/>
    <col min="514" max="514" width="12.625" style="18" customWidth="1"/>
    <col min="515" max="515" width="9.375" style="18" bestFit="1" customWidth="1"/>
    <col min="516" max="516" width="3.625" style="18" customWidth="1"/>
    <col min="517" max="517" width="9.375" style="18" customWidth="1"/>
    <col min="518" max="518" width="6.375" style="18" customWidth="1"/>
    <col min="519" max="519" width="22.625" style="18" customWidth="1"/>
    <col min="520" max="768" width="9" style="18"/>
    <col min="769" max="769" width="25.625" style="18" customWidth="1"/>
    <col min="770" max="770" width="12.625" style="18" customWidth="1"/>
    <col min="771" max="771" width="9.375" style="18" bestFit="1" customWidth="1"/>
    <col min="772" max="772" width="3.625" style="18" customWidth="1"/>
    <col min="773" max="773" width="9.375" style="18" customWidth="1"/>
    <col min="774" max="774" width="6.375" style="18" customWidth="1"/>
    <col min="775" max="775" width="22.625" style="18" customWidth="1"/>
    <col min="776" max="1024" width="9" style="18"/>
    <col min="1025" max="1025" width="25.625" style="18" customWidth="1"/>
    <col min="1026" max="1026" width="12.625" style="18" customWidth="1"/>
    <col min="1027" max="1027" width="9.375" style="18" bestFit="1" customWidth="1"/>
    <col min="1028" max="1028" width="3.625" style="18" customWidth="1"/>
    <col min="1029" max="1029" width="9.375" style="18" customWidth="1"/>
    <col min="1030" max="1030" width="6.375" style="18" customWidth="1"/>
    <col min="1031" max="1031" width="22.625" style="18" customWidth="1"/>
    <col min="1032" max="1280" width="9" style="18"/>
    <col min="1281" max="1281" width="25.625" style="18" customWidth="1"/>
    <col min="1282" max="1282" width="12.625" style="18" customWidth="1"/>
    <col min="1283" max="1283" width="9.375" style="18" bestFit="1" customWidth="1"/>
    <col min="1284" max="1284" width="3.625" style="18" customWidth="1"/>
    <col min="1285" max="1285" width="9.375" style="18" customWidth="1"/>
    <col min="1286" max="1286" width="6.375" style="18" customWidth="1"/>
    <col min="1287" max="1287" width="22.625" style="18" customWidth="1"/>
    <col min="1288" max="1536" width="9" style="18"/>
    <col min="1537" max="1537" width="25.625" style="18" customWidth="1"/>
    <col min="1538" max="1538" width="12.625" style="18" customWidth="1"/>
    <col min="1539" max="1539" width="9.375" style="18" bestFit="1" customWidth="1"/>
    <col min="1540" max="1540" width="3.625" style="18" customWidth="1"/>
    <col min="1541" max="1541" width="9.375" style="18" customWidth="1"/>
    <col min="1542" max="1542" width="6.375" style="18" customWidth="1"/>
    <col min="1543" max="1543" width="22.625" style="18" customWidth="1"/>
    <col min="1544" max="1792" width="9" style="18"/>
    <col min="1793" max="1793" width="25.625" style="18" customWidth="1"/>
    <col min="1794" max="1794" width="12.625" style="18" customWidth="1"/>
    <col min="1795" max="1795" width="9.375" style="18" bestFit="1" customWidth="1"/>
    <col min="1796" max="1796" width="3.625" style="18" customWidth="1"/>
    <col min="1797" max="1797" width="9.375" style="18" customWidth="1"/>
    <col min="1798" max="1798" width="6.375" style="18" customWidth="1"/>
    <col min="1799" max="1799" width="22.625" style="18" customWidth="1"/>
    <col min="1800" max="2048" width="9" style="18"/>
    <col min="2049" max="2049" width="25.625" style="18" customWidth="1"/>
    <col min="2050" max="2050" width="12.625" style="18" customWidth="1"/>
    <col min="2051" max="2051" width="9.375" style="18" bestFit="1" customWidth="1"/>
    <col min="2052" max="2052" width="3.625" style="18" customWidth="1"/>
    <col min="2053" max="2053" width="9.375" style="18" customWidth="1"/>
    <col min="2054" max="2054" width="6.375" style="18" customWidth="1"/>
    <col min="2055" max="2055" width="22.625" style="18" customWidth="1"/>
    <col min="2056" max="2304" width="9" style="18"/>
    <col min="2305" max="2305" width="25.625" style="18" customWidth="1"/>
    <col min="2306" max="2306" width="12.625" style="18" customWidth="1"/>
    <col min="2307" max="2307" width="9.375" style="18" bestFit="1" customWidth="1"/>
    <col min="2308" max="2308" width="3.625" style="18" customWidth="1"/>
    <col min="2309" max="2309" width="9.375" style="18" customWidth="1"/>
    <col min="2310" max="2310" width="6.375" style="18" customWidth="1"/>
    <col min="2311" max="2311" width="22.625" style="18" customWidth="1"/>
    <col min="2312" max="2560" width="9" style="18"/>
    <col min="2561" max="2561" width="25.625" style="18" customWidth="1"/>
    <col min="2562" max="2562" width="12.625" style="18" customWidth="1"/>
    <col min="2563" max="2563" width="9.375" style="18" bestFit="1" customWidth="1"/>
    <col min="2564" max="2564" width="3.625" style="18" customWidth="1"/>
    <col min="2565" max="2565" width="9.375" style="18" customWidth="1"/>
    <col min="2566" max="2566" width="6.375" style="18" customWidth="1"/>
    <col min="2567" max="2567" width="22.625" style="18" customWidth="1"/>
    <col min="2568" max="2816" width="9" style="18"/>
    <col min="2817" max="2817" width="25.625" style="18" customWidth="1"/>
    <col min="2818" max="2818" width="12.625" style="18" customWidth="1"/>
    <col min="2819" max="2819" width="9.375" style="18" bestFit="1" customWidth="1"/>
    <col min="2820" max="2820" width="3.625" style="18" customWidth="1"/>
    <col min="2821" max="2821" width="9.375" style="18" customWidth="1"/>
    <col min="2822" max="2822" width="6.375" style="18" customWidth="1"/>
    <col min="2823" max="2823" width="22.625" style="18" customWidth="1"/>
    <col min="2824" max="3072" width="9" style="18"/>
    <col min="3073" max="3073" width="25.625" style="18" customWidth="1"/>
    <col min="3074" max="3074" width="12.625" style="18" customWidth="1"/>
    <col min="3075" max="3075" width="9.375" style="18" bestFit="1" customWidth="1"/>
    <col min="3076" max="3076" width="3.625" style="18" customWidth="1"/>
    <col min="3077" max="3077" width="9.375" style="18" customWidth="1"/>
    <col min="3078" max="3078" width="6.375" style="18" customWidth="1"/>
    <col min="3079" max="3079" width="22.625" style="18" customWidth="1"/>
    <col min="3080" max="3328" width="9" style="18"/>
    <col min="3329" max="3329" width="25.625" style="18" customWidth="1"/>
    <col min="3330" max="3330" width="12.625" style="18" customWidth="1"/>
    <col min="3331" max="3331" width="9.375" style="18" bestFit="1" customWidth="1"/>
    <col min="3332" max="3332" width="3.625" style="18" customWidth="1"/>
    <col min="3333" max="3333" width="9.375" style="18" customWidth="1"/>
    <col min="3334" max="3334" width="6.375" style="18" customWidth="1"/>
    <col min="3335" max="3335" width="22.625" style="18" customWidth="1"/>
    <col min="3336" max="3584" width="9" style="18"/>
    <col min="3585" max="3585" width="25.625" style="18" customWidth="1"/>
    <col min="3586" max="3586" width="12.625" style="18" customWidth="1"/>
    <col min="3587" max="3587" width="9.375" style="18" bestFit="1" customWidth="1"/>
    <col min="3588" max="3588" width="3.625" style="18" customWidth="1"/>
    <col min="3589" max="3589" width="9.375" style="18" customWidth="1"/>
    <col min="3590" max="3590" width="6.375" style="18" customWidth="1"/>
    <col min="3591" max="3591" width="22.625" style="18" customWidth="1"/>
    <col min="3592" max="3840" width="9" style="18"/>
    <col min="3841" max="3841" width="25.625" style="18" customWidth="1"/>
    <col min="3842" max="3842" width="12.625" style="18" customWidth="1"/>
    <col min="3843" max="3843" width="9.375" style="18" bestFit="1" customWidth="1"/>
    <col min="3844" max="3844" width="3.625" style="18" customWidth="1"/>
    <col min="3845" max="3845" width="9.375" style="18" customWidth="1"/>
    <col min="3846" max="3846" width="6.375" style="18" customWidth="1"/>
    <col min="3847" max="3847" width="22.625" style="18" customWidth="1"/>
    <col min="3848" max="4096" width="9" style="18"/>
    <col min="4097" max="4097" width="25.625" style="18" customWidth="1"/>
    <col min="4098" max="4098" width="12.625" style="18" customWidth="1"/>
    <col min="4099" max="4099" width="9.375" style="18" bestFit="1" customWidth="1"/>
    <col min="4100" max="4100" width="3.625" style="18" customWidth="1"/>
    <col min="4101" max="4101" width="9.375" style="18" customWidth="1"/>
    <col min="4102" max="4102" width="6.375" style="18" customWidth="1"/>
    <col min="4103" max="4103" width="22.625" style="18" customWidth="1"/>
    <col min="4104" max="4352" width="9" style="18"/>
    <col min="4353" max="4353" width="25.625" style="18" customWidth="1"/>
    <col min="4354" max="4354" width="12.625" style="18" customWidth="1"/>
    <col min="4355" max="4355" width="9.375" style="18" bestFit="1" customWidth="1"/>
    <col min="4356" max="4356" width="3.625" style="18" customWidth="1"/>
    <col min="4357" max="4357" width="9.375" style="18" customWidth="1"/>
    <col min="4358" max="4358" width="6.375" style="18" customWidth="1"/>
    <col min="4359" max="4359" width="22.625" style="18" customWidth="1"/>
    <col min="4360" max="4608" width="9" style="18"/>
    <col min="4609" max="4609" width="25.625" style="18" customWidth="1"/>
    <col min="4610" max="4610" width="12.625" style="18" customWidth="1"/>
    <col min="4611" max="4611" width="9.375" style="18" bestFit="1" customWidth="1"/>
    <col min="4612" max="4612" width="3.625" style="18" customWidth="1"/>
    <col min="4613" max="4613" width="9.375" style="18" customWidth="1"/>
    <col min="4614" max="4614" width="6.375" style="18" customWidth="1"/>
    <col min="4615" max="4615" width="22.625" style="18" customWidth="1"/>
    <col min="4616" max="4864" width="9" style="18"/>
    <col min="4865" max="4865" width="25.625" style="18" customWidth="1"/>
    <col min="4866" max="4866" width="12.625" style="18" customWidth="1"/>
    <col min="4867" max="4867" width="9.375" style="18" bestFit="1" customWidth="1"/>
    <col min="4868" max="4868" width="3.625" style="18" customWidth="1"/>
    <col min="4869" max="4869" width="9.375" style="18" customWidth="1"/>
    <col min="4870" max="4870" width="6.375" style="18" customWidth="1"/>
    <col min="4871" max="4871" width="22.625" style="18" customWidth="1"/>
    <col min="4872" max="5120" width="9" style="18"/>
    <col min="5121" max="5121" width="25.625" style="18" customWidth="1"/>
    <col min="5122" max="5122" width="12.625" style="18" customWidth="1"/>
    <col min="5123" max="5123" width="9.375" style="18" bestFit="1" customWidth="1"/>
    <col min="5124" max="5124" width="3.625" style="18" customWidth="1"/>
    <col min="5125" max="5125" width="9.375" style="18" customWidth="1"/>
    <col min="5126" max="5126" width="6.375" style="18" customWidth="1"/>
    <col min="5127" max="5127" width="22.625" style="18" customWidth="1"/>
    <col min="5128" max="5376" width="9" style="18"/>
    <col min="5377" max="5377" width="25.625" style="18" customWidth="1"/>
    <col min="5378" max="5378" width="12.625" style="18" customWidth="1"/>
    <col min="5379" max="5379" width="9.375" style="18" bestFit="1" customWidth="1"/>
    <col min="5380" max="5380" width="3.625" style="18" customWidth="1"/>
    <col min="5381" max="5381" width="9.375" style="18" customWidth="1"/>
    <col min="5382" max="5382" width="6.375" style="18" customWidth="1"/>
    <col min="5383" max="5383" width="22.625" style="18" customWidth="1"/>
    <col min="5384" max="5632" width="9" style="18"/>
    <col min="5633" max="5633" width="25.625" style="18" customWidth="1"/>
    <col min="5634" max="5634" width="12.625" style="18" customWidth="1"/>
    <col min="5635" max="5635" width="9.375" style="18" bestFit="1" customWidth="1"/>
    <col min="5636" max="5636" width="3.625" style="18" customWidth="1"/>
    <col min="5637" max="5637" width="9.375" style="18" customWidth="1"/>
    <col min="5638" max="5638" width="6.375" style="18" customWidth="1"/>
    <col min="5639" max="5639" width="22.625" style="18" customWidth="1"/>
    <col min="5640" max="5888" width="9" style="18"/>
    <col min="5889" max="5889" width="25.625" style="18" customWidth="1"/>
    <col min="5890" max="5890" width="12.625" style="18" customWidth="1"/>
    <col min="5891" max="5891" width="9.375" style="18" bestFit="1" customWidth="1"/>
    <col min="5892" max="5892" width="3.625" style="18" customWidth="1"/>
    <col min="5893" max="5893" width="9.375" style="18" customWidth="1"/>
    <col min="5894" max="5894" width="6.375" style="18" customWidth="1"/>
    <col min="5895" max="5895" width="22.625" style="18" customWidth="1"/>
    <col min="5896" max="6144" width="9" style="18"/>
    <col min="6145" max="6145" width="25.625" style="18" customWidth="1"/>
    <col min="6146" max="6146" width="12.625" style="18" customWidth="1"/>
    <col min="6147" max="6147" width="9.375" style="18" bestFit="1" customWidth="1"/>
    <col min="6148" max="6148" width="3.625" style="18" customWidth="1"/>
    <col min="6149" max="6149" width="9.375" style="18" customWidth="1"/>
    <col min="6150" max="6150" width="6.375" style="18" customWidth="1"/>
    <col min="6151" max="6151" width="22.625" style="18" customWidth="1"/>
    <col min="6152" max="6400" width="9" style="18"/>
    <col min="6401" max="6401" width="25.625" style="18" customWidth="1"/>
    <col min="6402" max="6402" width="12.625" style="18" customWidth="1"/>
    <col min="6403" max="6403" width="9.375" style="18" bestFit="1" customWidth="1"/>
    <col min="6404" max="6404" width="3.625" style="18" customWidth="1"/>
    <col min="6405" max="6405" width="9.375" style="18" customWidth="1"/>
    <col min="6406" max="6406" width="6.375" style="18" customWidth="1"/>
    <col min="6407" max="6407" width="22.625" style="18" customWidth="1"/>
    <col min="6408" max="6656" width="9" style="18"/>
    <col min="6657" max="6657" width="25.625" style="18" customWidth="1"/>
    <col min="6658" max="6658" width="12.625" style="18" customWidth="1"/>
    <col min="6659" max="6659" width="9.375" style="18" bestFit="1" customWidth="1"/>
    <col min="6660" max="6660" width="3.625" style="18" customWidth="1"/>
    <col min="6661" max="6661" width="9.375" style="18" customWidth="1"/>
    <col min="6662" max="6662" width="6.375" style="18" customWidth="1"/>
    <col min="6663" max="6663" width="22.625" style="18" customWidth="1"/>
    <col min="6664" max="6912" width="9" style="18"/>
    <col min="6913" max="6913" width="25.625" style="18" customWidth="1"/>
    <col min="6914" max="6914" width="12.625" style="18" customWidth="1"/>
    <col min="6915" max="6915" width="9.375" style="18" bestFit="1" customWidth="1"/>
    <col min="6916" max="6916" width="3.625" style="18" customWidth="1"/>
    <col min="6917" max="6917" width="9.375" style="18" customWidth="1"/>
    <col min="6918" max="6918" width="6.375" style="18" customWidth="1"/>
    <col min="6919" max="6919" width="22.625" style="18" customWidth="1"/>
    <col min="6920" max="7168" width="9" style="18"/>
    <col min="7169" max="7169" width="25.625" style="18" customWidth="1"/>
    <col min="7170" max="7170" width="12.625" style="18" customWidth="1"/>
    <col min="7171" max="7171" width="9.375" style="18" bestFit="1" customWidth="1"/>
    <col min="7172" max="7172" width="3.625" style="18" customWidth="1"/>
    <col min="7173" max="7173" width="9.375" style="18" customWidth="1"/>
    <col min="7174" max="7174" width="6.375" style="18" customWidth="1"/>
    <col min="7175" max="7175" width="22.625" style="18" customWidth="1"/>
    <col min="7176" max="7424" width="9" style="18"/>
    <col min="7425" max="7425" width="25.625" style="18" customWidth="1"/>
    <col min="7426" max="7426" width="12.625" style="18" customWidth="1"/>
    <col min="7427" max="7427" width="9.375" style="18" bestFit="1" customWidth="1"/>
    <col min="7428" max="7428" width="3.625" style="18" customWidth="1"/>
    <col min="7429" max="7429" width="9.375" style="18" customWidth="1"/>
    <col min="7430" max="7430" width="6.375" style="18" customWidth="1"/>
    <col min="7431" max="7431" width="22.625" style="18" customWidth="1"/>
    <col min="7432" max="7680" width="9" style="18"/>
    <col min="7681" max="7681" width="25.625" style="18" customWidth="1"/>
    <col min="7682" max="7682" width="12.625" style="18" customWidth="1"/>
    <col min="7683" max="7683" width="9.375" style="18" bestFit="1" customWidth="1"/>
    <col min="7684" max="7684" width="3.625" style="18" customWidth="1"/>
    <col min="7685" max="7685" width="9.375" style="18" customWidth="1"/>
    <col min="7686" max="7686" width="6.375" style="18" customWidth="1"/>
    <col min="7687" max="7687" width="22.625" style="18" customWidth="1"/>
    <col min="7688" max="7936" width="9" style="18"/>
    <col min="7937" max="7937" width="25.625" style="18" customWidth="1"/>
    <col min="7938" max="7938" width="12.625" style="18" customWidth="1"/>
    <col min="7939" max="7939" width="9.375" style="18" bestFit="1" customWidth="1"/>
    <col min="7940" max="7940" width="3.625" style="18" customWidth="1"/>
    <col min="7941" max="7941" width="9.375" style="18" customWidth="1"/>
    <col min="7942" max="7942" width="6.375" style="18" customWidth="1"/>
    <col min="7943" max="7943" width="22.625" style="18" customWidth="1"/>
    <col min="7944" max="8192" width="9" style="18"/>
    <col min="8193" max="8193" width="25.625" style="18" customWidth="1"/>
    <col min="8194" max="8194" width="12.625" style="18" customWidth="1"/>
    <col min="8195" max="8195" width="9.375" style="18" bestFit="1" customWidth="1"/>
    <col min="8196" max="8196" width="3.625" style="18" customWidth="1"/>
    <col min="8197" max="8197" width="9.375" style="18" customWidth="1"/>
    <col min="8198" max="8198" width="6.375" style="18" customWidth="1"/>
    <col min="8199" max="8199" width="22.625" style="18" customWidth="1"/>
    <col min="8200" max="8448" width="9" style="18"/>
    <col min="8449" max="8449" width="25.625" style="18" customWidth="1"/>
    <col min="8450" max="8450" width="12.625" style="18" customWidth="1"/>
    <col min="8451" max="8451" width="9.375" style="18" bestFit="1" customWidth="1"/>
    <col min="8452" max="8452" width="3.625" style="18" customWidth="1"/>
    <col min="8453" max="8453" width="9.375" style="18" customWidth="1"/>
    <col min="8454" max="8454" width="6.375" style="18" customWidth="1"/>
    <col min="8455" max="8455" width="22.625" style="18" customWidth="1"/>
    <col min="8456" max="8704" width="9" style="18"/>
    <col min="8705" max="8705" width="25.625" style="18" customWidth="1"/>
    <col min="8706" max="8706" width="12.625" style="18" customWidth="1"/>
    <col min="8707" max="8707" width="9.375" style="18" bestFit="1" customWidth="1"/>
    <col min="8708" max="8708" width="3.625" style="18" customWidth="1"/>
    <col min="8709" max="8709" width="9.375" style="18" customWidth="1"/>
    <col min="8710" max="8710" width="6.375" style="18" customWidth="1"/>
    <col min="8711" max="8711" width="22.625" style="18" customWidth="1"/>
    <col min="8712" max="8960" width="9" style="18"/>
    <col min="8961" max="8961" width="25.625" style="18" customWidth="1"/>
    <col min="8962" max="8962" width="12.625" style="18" customWidth="1"/>
    <col min="8963" max="8963" width="9.375" style="18" bestFit="1" customWidth="1"/>
    <col min="8964" max="8964" width="3.625" style="18" customWidth="1"/>
    <col min="8965" max="8965" width="9.375" style="18" customWidth="1"/>
    <col min="8966" max="8966" width="6.375" style="18" customWidth="1"/>
    <col min="8967" max="8967" width="22.625" style="18" customWidth="1"/>
    <col min="8968" max="9216" width="9" style="18"/>
    <col min="9217" max="9217" width="25.625" style="18" customWidth="1"/>
    <col min="9218" max="9218" width="12.625" style="18" customWidth="1"/>
    <col min="9219" max="9219" width="9.375" style="18" bestFit="1" customWidth="1"/>
    <col min="9220" max="9220" width="3.625" style="18" customWidth="1"/>
    <col min="9221" max="9221" width="9.375" style="18" customWidth="1"/>
    <col min="9222" max="9222" width="6.375" style="18" customWidth="1"/>
    <col min="9223" max="9223" width="22.625" style="18" customWidth="1"/>
    <col min="9224" max="9472" width="9" style="18"/>
    <col min="9473" max="9473" width="25.625" style="18" customWidth="1"/>
    <col min="9474" max="9474" width="12.625" style="18" customWidth="1"/>
    <col min="9475" max="9475" width="9.375" style="18" bestFit="1" customWidth="1"/>
    <col min="9476" max="9476" width="3.625" style="18" customWidth="1"/>
    <col min="9477" max="9477" width="9.375" style="18" customWidth="1"/>
    <col min="9478" max="9478" width="6.375" style="18" customWidth="1"/>
    <col min="9479" max="9479" width="22.625" style="18" customWidth="1"/>
    <col min="9480" max="9728" width="9" style="18"/>
    <col min="9729" max="9729" width="25.625" style="18" customWidth="1"/>
    <col min="9730" max="9730" width="12.625" style="18" customWidth="1"/>
    <col min="9731" max="9731" width="9.375" style="18" bestFit="1" customWidth="1"/>
    <col min="9732" max="9732" width="3.625" style="18" customWidth="1"/>
    <col min="9733" max="9733" width="9.375" style="18" customWidth="1"/>
    <col min="9734" max="9734" width="6.375" style="18" customWidth="1"/>
    <col min="9735" max="9735" width="22.625" style="18" customWidth="1"/>
    <col min="9736" max="9984" width="9" style="18"/>
    <col min="9985" max="9985" width="25.625" style="18" customWidth="1"/>
    <col min="9986" max="9986" width="12.625" style="18" customWidth="1"/>
    <col min="9987" max="9987" width="9.375" style="18" bestFit="1" customWidth="1"/>
    <col min="9988" max="9988" width="3.625" style="18" customWidth="1"/>
    <col min="9989" max="9989" width="9.375" style="18" customWidth="1"/>
    <col min="9990" max="9990" width="6.375" style="18" customWidth="1"/>
    <col min="9991" max="9991" width="22.625" style="18" customWidth="1"/>
    <col min="9992" max="10240" width="9" style="18"/>
    <col min="10241" max="10241" width="25.625" style="18" customWidth="1"/>
    <col min="10242" max="10242" width="12.625" style="18" customWidth="1"/>
    <col min="10243" max="10243" width="9.375" style="18" bestFit="1" customWidth="1"/>
    <col min="10244" max="10244" width="3.625" style="18" customWidth="1"/>
    <col min="10245" max="10245" width="9.375" style="18" customWidth="1"/>
    <col min="10246" max="10246" width="6.375" style="18" customWidth="1"/>
    <col min="10247" max="10247" width="22.625" style="18" customWidth="1"/>
    <col min="10248" max="10496" width="9" style="18"/>
    <col min="10497" max="10497" width="25.625" style="18" customWidth="1"/>
    <col min="10498" max="10498" width="12.625" style="18" customWidth="1"/>
    <col min="10499" max="10499" width="9.375" style="18" bestFit="1" customWidth="1"/>
    <col min="10500" max="10500" width="3.625" style="18" customWidth="1"/>
    <col min="10501" max="10501" width="9.375" style="18" customWidth="1"/>
    <col min="10502" max="10502" width="6.375" style="18" customWidth="1"/>
    <col min="10503" max="10503" width="22.625" style="18" customWidth="1"/>
    <col min="10504" max="10752" width="9" style="18"/>
    <col min="10753" max="10753" width="25.625" style="18" customWidth="1"/>
    <col min="10754" max="10754" width="12.625" style="18" customWidth="1"/>
    <col min="10755" max="10755" width="9.375" style="18" bestFit="1" customWidth="1"/>
    <col min="10756" max="10756" width="3.625" style="18" customWidth="1"/>
    <col min="10757" max="10757" width="9.375" style="18" customWidth="1"/>
    <col min="10758" max="10758" width="6.375" style="18" customWidth="1"/>
    <col min="10759" max="10759" width="22.625" style="18" customWidth="1"/>
    <col min="10760" max="11008" width="9" style="18"/>
    <col min="11009" max="11009" width="25.625" style="18" customWidth="1"/>
    <col min="11010" max="11010" width="12.625" style="18" customWidth="1"/>
    <col min="11011" max="11011" width="9.375" style="18" bestFit="1" customWidth="1"/>
    <col min="11012" max="11012" width="3.625" style="18" customWidth="1"/>
    <col min="11013" max="11013" width="9.375" style="18" customWidth="1"/>
    <col min="11014" max="11014" width="6.375" style="18" customWidth="1"/>
    <col min="11015" max="11015" width="22.625" style="18" customWidth="1"/>
    <col min="11016" max="11264" width="9" style="18"/>
    <col min="11265" max="11265" width="25.625" style="18" customWidth="1"/>
    <col min="11266" max="11266" width="12.625" style="18" customWidth="1"/>
    <col min="11267" max="11267" width="9.375" style="18" bestFit="1" customWidth="1"/>
    <col min="11268" max="11268" width="3.625" style="18" customWidth="1"/>
    <col min="11269" max="11269" width="9.375" style="18" customWidth="1"/>
    <col min="11270" max="11270" width="6.375" style="18" customWidth="1"/>
    <col min="11271" max="11271" width="22.625" style="18" customWidth="1"/>
    <col min="11272" max="11520" width="9" style="18"/>
    <col min="11521" max="11521" width="25.625" style="18" customWidth="1"/>
    <col min="11522" max="11522" width="12.625" style="18" customWidth="1"/>
    <col min="11523" max="11523" width="9.375" style="18" bestFit="1" customWidth="1"/>
    <col min="11524" max="11524" width="3.625" style="18" customWidth="1"/>
    <col min="11525" max="11525" width="9.375" style="18" customWidth="1"/>
    <col min="11526" max="11526" width="6.375" style="18" customWidth="1"/>
    <col min="11527" max="11527" width="22.625" style="18" customWidth="1"/>
    <col min="11528" max="11776" width="9" style="18"/>
    <col min="11777" max="11777" width="25.625" style="18" customWidth="1"/>
    <col min="11778" max="11778" width="12.625" style="18" customWidth="1"/>
    <col min="11779" max="11779" width="9.375" style="18" bestFit="1" customWidth="1"/>
    <col min="11780" max="11780" width="3.625" style="18" customWidth="1"/>
    <col min="11781" max="11781" width="9.375" style="18" customWidth="1"/>
    <col min="11782" max="11782" width="6.375" style="18" customWidth="1"/>
    <col min="11783" max="11783" width="22.625" style="18" customWidth="1"/>
    <col min="11784" max="12032" width="9" style="18"/>
    <col min="12033" max="12033" width="25.625" style="18" customWidth="1"/>
    <col min="12034" max="12034" width="12.625" style="18" customWidth="1"/>
    <col min="12035" max="12035" width="9.375" style="18" bestFit="1" customWidth="1"/>
    <col min="12036" max="12036" width="3.625" style="18" customWidth="1"/>
    <col min="12037" max="12037" width="9.375" style="18" customWidth="1"/>
    <col min="12038" max="12038" width="6.375" style="18" customWidth="1"/>
    <col min="12039" max="12039" width="22.625" style="18" customWidth="1"/>
    <col min="12040" max="12288" width="9" style="18"/>
    <col min="12289" max="12289" width="25.625" style="18" customWidth="1"/>
    <col min="12290" max="12290" width="12.625" style="18" customWidth="1"/>
    <col min="12291" max="12291" width="9.375" style="18" bestFit="1" customWidth="1"/>
    <col min="12292" max="12292" width="3.625" style="18" customWidth="1"/>
    <col min="12293" max="12293" width="9.375" style="18" customWidth="1"/>
    <col min="12294" max="12294" width="6.375" style="18" customWidth="1"/>
    <col min="12295" max="12295" width="22.625" style="18" customWidth="1"/>
    <col min="12296" max="12544" width="9" style="18"/>
    <col min="12545" max="12545" width="25.625" style="18" customWidth="1"/>
    <col min="12546" max="12546" width="12.625" style="18" customWidth="1"/>
    <col min="12547" max="12547" width="9.375" style="18" bestFit="1" customWidth="1"/>
    <col min="12548" max="12548" width="3.625" style="18" customWidth="1"/>
    <col min="12549" max="12549" width="9.375" style="18" customWidth="1"/>
    <col min="12550" max="12550" width="6.375" style="18" customWidth="1"/>
    <col min="12551" max="12551" width="22.625" style="18" customWidth="1"/>
    <col min="12552" max="12800" width="9" style="18"/>
    <col min="12801" max="12801" width="25.625" style="18" customWidth="1"/>
    <col min="12802" max="12802" width="12.625" style="18" customWidth="1"/>
    <col min="12803" max="12803" width="9.375" style="18" bestFit="1" customWidth="1"/>
    <col min="12804" max="12804" width="3.625" style="18" customWidth="1"/>
    <col min="12805" max="12805" width="9.375" style="18" customWidth="1"/>
    <col min="12806" max="12806" width="6.375" style="18" customWidth="1"/>
    <col min="12807" max="12807" width="22.625" style="18" customWidth="1"/>
    <col min="12808" max="13056" width="9" style="18"/>
    <col min="13057" max="13057" width="25.625" style="18" customWidth="1"/>
    <col min="13058" max="13058" width="12.625" style="18" customWidth="1"/>
    <col min="13059" max="13059" width="9.375" style="18" bestFit="1" customWidth="1"/>
    <col min="13060" max="13060" width="3.625" style="18" customWidth="1"/>
    <col min="13061" max="13061" width="9.375" style="18" customWidth="1"/>
    <col min="13062" max="13062" width="6.375" style="18" customWidth="1"/>
    <col min="13063" max="13063" width="22.625" style="18" customWidth="1"/>
    <col min="13064" max="13312" width="9" style="18"/>
    <col min="13313" max="13313" width="25.625" style="18" customWidth="1"/>
    <col min="13314" max="13314" width="12.625" style="18" customWidth="1"/>
    <col min="13315" max="13315" width="9.375" style="18" bestFit="1" customWidth="1"/>
    <col min="13316" max="13316" width="3.625" style="18" customWidth="1"/>
    <col min="13317" max="13317" width="9.375" style="18" customWidth="1"/>
    <col min="13318" max="13318" width="6.375" style="18" customWidth="1"/>
    <col min="13319" max="13319" width="22.625" style="18" customWidth="1"/>
    <col min="13320" max="13568" width="9" style="18"/>
    <col min="13569" max="13569" width="25.625" style="18" customWidth="1"/>
    <col min="13570" max="13570" width="12.625" style="18" customWidth="1"/>
    <col min="13571" max="13571" width="9.375" style="18" bestFit="1" customWidth="1"/>
    <col min="13572" max="13572" width="3.625" style="18" customWidth="1"/>
    <col min="13573" max="13573" width="9.375" style="18" customWidth="1"/>
    <col min="13574" max="13574" width="6.375" style="18" customWidth="1"/>
    <col min="13575" max="13575" width="22.625" style="18" customWidth="1"/>
    <col min="13576" max="13824" width="9" style="18"/>
    <col min="13825" max="13825" width="25.625" style="18" customWidth="1"/>
    <col min="13826" max="13826" width="12.625" style="18" customWidth="1"/>
    <col min="13827" max="13827" width="9.375" style="18" bestFit="1" customWidth="1"/>
    <col min="13828" max="13828" width="3.625" style="18" customWidth="1"/>
    <col min="13829" max="13829" width="9.375" style="18" customWidth="1"/>
    <col min="13830" max="13830" width="6.375" style="18" customWidth="1"/>
    <col min="13831" max="13831" width="22.625" style="18" customWidth="1"/>
    <col min="13832" max="14080" width="9" style="18"/>
    <col min="14081" max="14081" width="25.625" style="18" customWidth="1"/>
    <col min="14082" max="14082" width="12.625" style="18" customWidth="1"/>
    <col min="14083" max="14083" width="9.375" style="18" bestFit="1" customWidth="1"/>
    <col min="14084" max="14084" width="3.625" style="18" customWidth="1"/>
    <col min="14085" max="14085" width="9.375" style="18" customWidth="1"/>
    <col min="14086" max="14086" width="6.375" style="18" customWidth="1"/>
    <col min="14087" max="14087" width="22.625" style="18" customWidth="1"/>
    <col min="14088" max="14336" width="9" style="18"/>
    <col min="14337" max="14337" width="25.625" style="18" customWidth="1"/>
    <col min="14338" max="14338" width="12.625" style="18" customWidth="1"/>
    <col min="14339" max="14339" width="9.375" style="18" bestFit="1" customWidth="1"/>
    <col min="14340" max="14340" width="3.625" style="18" customWidth="1"/>
    <col min="14341" max="14341" width="9.375" style="18" customWidth="1"/>
    <col min="14342" max="14342" width="6.375" style="18" customWidth="1"/>
    <col min="14343" max="14343" width="22.625" style="18" customWidth="1"/>
    <col min="14344" max="14592" width="9" style="18"/>
    <col min="14593" max="14593" width="25.625" style="18" customWidth="1"/>
    <col min="14594" max="14594" width="12.625" style="18" customWidth="1"/>
    <col min="14595" max="14595" width="9.375" style="18" bestFit="1" customWidth="1"/>
    <col min="14596" max="14596" width="3.625" style="18" customWidth="1"/>
    <col min="14597" max="14597" width="9.375" style="18" customWidth="1"/>
    <col min="14598" max="14598" width="6.375" style="18" customWidth="1"/>
    <col min="14599" max="14599" width="22.625" style="18" customWidth="1"/>
    <col min="14600" max="14848" width="9" style="18"/>
    <col min="14849" max="14849" width="25.625" style="18" customWidth="1"/>
    <col min="14850" max="14850" width="12.625" style="18" customWidth="1"/>
    <col min="14851" max="14851" width="9.375" style="18" bestFit="1" customWidth="1"/>
    <col min="14852" max="14852" width="3.625" style="18" customWidth="1"/>
    <col min="14853" max="14853" width="9.375" style="18" customWidth="1"/>
    <col min="14854" max="14854" width="6.375" style="18" customWidth="1"/>
    <col min="14855" max="14855" width="22.625" style="18" customWidth="1"/>
    <col min="14856" max="15104" width="9" style="18"/>
    <col min="15105" max="15105" width="25.625" style="18" customWidth="1"/>
    <col min="15106" max="15106" width="12.625" style="18" customWidth="1"/>
    <col min="15107" max="15107" width="9.375" style="18" bestFit="1" customWidth="1"/>
    <col min="15108" max="15108" width="3.625" style="18" customWidth="1"/>
    <col min="15109" max="15109" width="9.375" style="18" customWidth="1"/>
    <col min="15110" max="15110" width="6.375" style="18" customWidth="1"/>
    <col min="15111" max="15111" width="22.625" style="18" customWidth="1"/>
    <col min="15112" max="15360" width="9" style="18"/>
    <col min="15361" max="15361" width="25.625" style="18" customWidth="1"/>
    <col min="15362" max="15362" width="12.625" style="18" customWidth="1"/>
    <col min="15363" max="15363" width="9.375" style="18" bestFit="1" customWidth="1"/>
    <col min="15364" max="15364" width="3.625" style="18" customWidth="1"/>
    <col min="15365" max="15365" width="9.375" style="18" customWidth="1"/>
    <col min="15366" max="15366" width="6.375" style="18" customWidth="1"/>
    <col min="15367" max="15367" width="22.625" style="18" customWidth="1"/>
    <col min="15368" max="15616" width="9" style="18"/>
    <col min="15617" max="15617" width="25.625" style="18" customWidth="1"/>
    <col min="15618" max="15618" width="12.625" style="18" customWidth="1"/>
    <col min="15619" max="15619" width="9.375" style="18" bestFit="1" customWidth="1"/>
    <col min="15620" max="15620" width="3.625" style="18" customWidth="1"/>
    <col min="15621" max="15621" width="9.375" style="18" customWidth="1"/>
    <col min="15622" max="15622" width="6.375" style="18" customWidth="1"/>
    <col min="15623" max="15623" width="22.625" style="18" customWidth="1"/>
    <col min="15624" max="15872" width="9" style="18"/>
    <col min="15873" max="15873" width="25.625" style="18" customWidth="1"/>
    <col min="15874" max="15874" width="12.625" style="18" customWidth="1"/>
    <col min="15875" max="15875" width="9.375" style="18" bestFit="1" customWidth="1"/>
    <col min="15876" max="15876" width="3.625" style="18" customWidth="1"/>
    <col min="15877" max="15877" width="9.375" style="18" customWidth="1"/>
    <col min="15878" max="15878" width="6.375" style="18" customWidth="1"/>
    <col min="15879" max="15879" width="22.625" style="18" customWidth="1"/>
    <col min="15880" max="16128" width="9" style="18"/>
    <col min="16129" max="16129" width="25.625" style="18" customWidth="1"/>
    <col min="16130" max="16130" width="12.625" style="18" customWidth="1"/>
    <col min="16131" max="16131" width="9.375" style="18" bestFit="1" customWidth="1"/>
    <col min="16132" max="16132" width="3.625" style="18" customWidth="1"/>
    <col min="16133" max="16133" width="9.375" style="18" customWidth="1"/>
    <col min="16134" max="16134" width="6.375" style="18" customWidth="1"/>
    <col min="16135" max="16135" width="22.625" style="18" customWidth="1"/>
    <col min="16136" max="16384" width="9" style="18"/>
  </cols>
  <sheetData>
    <row r="1" spans="1:7" ht="15" customHeight="1">
      <c r="A1" s="18" t="s">
        <v>761</v>
      </c>
    </row>
    <row r="3" spans="1:7" ht="20.25" customHeight="1">
      <c r="A3" s="145" t="s">
        <v>762</v>
      </c>
      <c r="B3" s="306"/>
    </row>
    <row r="5" spans="1:7" ht="15" customHeight="1">
      <c r="A5" s="19" t="s">
        <v>400</v>
      </c>
      <c r="B5" s="20" t="s">
        <v>401</v>
      </c>
      <c r="C5" s="1408" t="s">
        <v>402</v>
      </c>
      <c r="D5" s="1409"/>
      <c r="E5" s="1410"/>
      <c r="F5" s="31" t="s">
        <v>403</v>
      </c>
      <c r="G5" s="20" t="s">
        <v>404</v>
      </c>
    </row>
    <row r="6" spans="1:7" ht="15" customHeight="1">
      <c r="A6" s="21"/>
      <c r="B6" s="13"/>
      <c r="C6" s="12"/>
      <c r="D6" s="22"/>
      <c r="E6" s="23"/>
      <c r="F6" s="13"/>
      <c r="G6" s="21"/>
    </row>
    <row r="7" spans="1:7" ht="15" customHeight="1">
      <c r="A7" s="24"/>
      <c r="B7" s="15"/>
      <c r="C7" s="25"/>
      <c r="D7" s="17"/>
      <c r="E7" s="26"/>
      <c r="F7" s="15"/>
      <c r="G7" s="24"/>
    </row>
    <row r="8" spans="1:7" ht="15" customHeight="1">
      <c r="A8" s="24"/>
      <c r="B8" s="15"/>
      <c r="C8" s="14"/>
      <c r="D8" s="17"/>
      <c r="E8" s="27"/>
      <c r="F8" s="15"/>
      <c r="G8" s="24"/>
    </row>
    <row r="9" spans="1:7" ht="15" customHeight="1">
      <c r="A9" s="24"/>
      <c r="B9" s="15"/>
      <c r="C9" s="25"/>
      <c r="D9" s="17"/>
      <c r="E9" s="26"/>
      <c r="F9" s="15"/>
      <c r="G9" s="24"/>
    </row>
    <row r="10" spans="1:7" ht="15" customHeight="1">
      <c r="A10" s="24"/>
      <c r="B10" s="15"/>
      <c r="C10" s="238"/>
      <c r="D10" s="17"/>
      <c r="E10" s="239"/>
      <c r="F10" s="15"/>
      <c r="G10" s="24"/>
    </row>
    <row r="11" spans="1:7" ht="15" customHeight="1">
      <c r="A11" s="24"/>
      <c r="B11" s="15"/>
      <c r="C11" s="25"/>
      <c r="D11" s="17"/>
      <c r="E11" s="26"/>
      <c r="F11" s="15"/>
      <c r="G11" s="24"/>
    </row>
    <row r="12" spans="1:7" ht="15" customHeight="1">
      <c r="A12" s="24"/>
      <c r="B12" s="15"/>
      <c r="C12" s="14"/>
      <c r="D12" s="17"/>
      <c r="E12" s="27"/>
      <c r="F12" s="15"/>
      <c r="G12" s="24"/>
    </row>
    <row r="13" spans="1:7" ht="15" customHeight="1">
      <c r="A13" s="24"/>
      <c r="B13" s="15"/>
      <c r="C13" s="14"/>
      <c r="D13" s="17"/>
      <c r="E13" s="27"/>
      <c r="F13" s="15"/>
      <c r="G13" s="24"/>
    </row>
    <row r="14" spans="1:7" ht="15" customHeight="1">
      <c r="A14" s="24"/>
      <c r="B14" s="15"/>
      <c r="C14" s="14"/>
      <c r="D14" s="17"/>
      <c r="E14" s="27"/>
      <c r="F14" s="15"/>
      <c r="G14" s="24"/>
    </row>
    <row r="15" spans="1:7" ht="15" customHeight="1">
      <c r="A15" s="24"/>
      <c r="B15" s="15"/>
      <c r="C15" s="14"/>
      <c r="D15" s="17"/>
      <c r="E15" s="27"/>
      <c r="F15" s="15"/>
      <c r="G15" s="24"/>
    </row>
    <row r="16" spans="1:7" ht="15" customHeight="1">
      <c r="A16" s="24"/>
      <c r="B16" s="15"/>
      <c r="C16" s="14"/>
      <c r="D16" s="17"/>
      <c r="E16" s="27"/>
      <c r="F16" s="15"/>
      <c r="G16" s="24"/>
    </row>
    <row r="17" spans="1:7" ht="15" customHeight="1">
      <c r="A17" s="24"/>
      <c r="B17" s="15"/>
      <c r="C17" s="14"/>
      <c r="D17" s="17"/>
      <c r="E17" s="27"/>
      <c r="F17" s="15"/>
      <c r="G17" s="24"/>
    </row>
    <row r="18" spans="1:7" ht="15" customHeight="1">
      <c r="A18" s="24"/>
      <c r="B18" s="15"/>
      <c r="C18" s="14"/>
      <c r="D18" s="17"/>
      <c r="E18" s="27"/>
      <c r="F18" s="15"/>
      <c r="G18" s="24"/>
    </row>
    <row r="19" spans="1:7" ht="15" customHeight="1">
      <c r="A19" s="24"/>
      <c r="B19" s="15"/>
      <c r="C19" s="14"/>
      <c r="D19" s="17"/>
      <c r="E19" s="27"/>
      <c r="F19" s="15"/>
      <c r="G19" s="24"/>
    </row>
    <row r="20" spans="1:7" ht="15" customHeight="1">
      <c r="A20" s="24"/>
      <c r="B20" s="15"/>
      <c r="C20" s="14"/>
      <c r="D20" s="17"/>
      <c r="E20" s="27"/>
      <c r="F20" s="15"/>
      <c r="G20" s="24"/>
    </row>
    <row r="21" spans="1:7" ht="15" customHeight="1">
      <c r="A21" s="24"/>
      <c r="B21" s="15"/>
      <c r="C21" s="14"/>
      <c r="D21" s="17"/>
      <c r="E21" s="27"/>
      <c r="F21" s="15"/>
      <c r="G21" s="24"/>
    </row>
    <row r="22" spans="1:7" ht="15" customHeight="1">
      <c r="A22" s="24"/>
      <c r="B22" s="15"/>
      <c r="C22" s="14"/>
      <c r="D22" s="17"/>
      <c r="E22" s="27"/>
      <c r="F22" s="15"/>
      <c r="G22" s="24"/>
    </row>
    <row r="23" spans="1:7" ht="15" customHeight="1">
      <c r="A23" s="24"/>
      <c r="B23" s="15"/>
      <c r="C23" s="14"/>
      <c r="D23" s="17"/>
      <c r="E23" s="27"/>
      <c r="F23" s="15"/>
      <c r="G23" s="24"/>
    </row>
    <row r="24" spans="1:7" ht="15" customHeight="1">
      <c r="A24" s="24"/>
      <c r="B24" s="15"/>
      <c r="C24" s="14"/>
      <c r="D24" s="17"/>
      <c r="E24" s="27"/>
      <c r="F24" s="15"/>
      <c r="G24" s="24"/>
    </row>
    <row r="25" spans="1:7" ht="15" customHeight="1">
      <c r="A25" s="24"/>
      <c r="B25" s="15"/>
      <c r="C25" s="14"/>
      <c r="D25" s="17"/>
      <c r="E25" s="27"/>
      <c r="F25" s="15"/>
      <c r="G25" s="24"/>
    </row>
    <row r="26" spans="1:7" ht="15" customHeight="1">
      <c r="A26" s="24"/>
      <c r="B26" s="15"/>
      <c r="C26" s="14"/>
      <c r="D26" s="17"/>
      <c r="E26" s="27"/>
      <c r="F26" s="15"/>
      <c r="G26" s="24"/>
    </row>
    <row r="27" spans="1:7" ht="15" customHeight="1">
      <c r="A27" s="24"/>
      <c r="B27" s="15"/>
      <c r="C27" s="14"/>
      <c r="D27" s="17"/>
      <c r="E27" s="27"/>
      <c r="F27" s="15"/>
      <c r="G27" s="24"/>
    </row>
    <row r="28" spans="1:7" ht="15" customHeight="1">
      <c r="A28" s="24"/>
      <c r="B28" s="15"/>
      <c r="C28" s="14"/>
      <c r="D28" s="17"/>
      <c r="E28" s="27"/>
      <c r="F28" s="15"/>
      <c r="G28" s="24"/>
    </row>
    <row r="29" spans="1:7" ht="15" customHeight="1">
      <c r="A29" s="24"/>
      <c r="B29" s="15"/>
      <c r="C29" s="14"/>
      <c r="D29" s="17"/>
      <c r="E29" s="27"/>
      <c r="F29" s="15"/>
      <c r="G29" s="24"/>
    </row>
    <row r="30" spans="1:7" ht="15" customHeight="1">
      <c r="A30" s="24"/>
      <c r="B30" s="15"/>
      <c r="C30" s="14"/>
      <c r="D30" s="17"/>
      <c r="E30" s="27"/>
      <c r="F30" s="15"/>
      <c r="G30" s="24"/>
    </row>
    <row r="31" spans="1:7" ht="15" customHeight="1">
      <c r="A31" s="24"/>
      <c r="B31" s="15"/>
      <c r="C31" s="14"/>
      <c r="D31" s="17"/>
      <c r="E31" s="27"/>
      <c r="F31" s="15"/>
      <c r="G31" s="24"/>
    </row>
    <row r="32" spans="1:7" ht="15" customHeight="1">
      <c r="A32" s="24"/>
      <c r="B32" s="15"/>
      <c r="C32" s="14"/>
      <c r="D32" s="17"/>
      <c r="E32" s="27"/>
      <c r="F32" s="15"/>
      <c r="G32" s="24"/>
    </row>
    <row r="33" spans="1:7" ht="15" customHeight="1" thickBot="1">
      <c r="A33" s="24"/>
      <c r="B33" s="15"/>
      <c r="C33" s="14"/>
      <c r="D33" s="17"/>
      <c r="E33" s="27"/>
      <c r="F33" s="15"/>
      <c r="G33" s="240"/>
    </row>
    <row r="34" spans="1:7" ht="15" customHeight="1" thickTop="1">
      <c r="A34" s="241"/>
      <c r="B34" s="242" t="s">
        <v>405</v>
      </c>
      <c r="C34" s="242"/>
      <c r="D34" s="243"/>
      <c r="E34" s="244"/>
      <c r="F34" s="245">
        <f>SUM(F6:F33)</f>
        <v>0</v>
      </c>
      <c r="G34" s="171"/>
    </row>
    <row r="35" spans="1:7" ht="15" customHeight="1">
      <c r="A35" s="18" t="s">
        <v>406</v>
      </c>
    </row>
  </sheetData>
  <mergeCells count="1">
    <mergeCell ref="C5:E5"/>
  </mergeCells>
  <phoneticPr fontId="4"/>
  <printOptions horizontalCentered="1"/>
  <pageMargins left="0.23622047244094491" right="0.23622047244094491" top="0.74803149606299213" bottom="0.74803149606299213" header="0.31496062992125984" footer="0.31496062992125984"/>
  <pageSetup paperSize="9" scale="99" orientation="landscape" blackAndWhite="1" errors="blank"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0">
    <tabColor rgb="FFFFC000"/>
    <pageSetUpPr fitToPage="1"/>
  </sheetPr>
  <dimension ref="A1:G28"/>
  <sheetViews>
    <sheetView view="pageBreakPreview" zoomScale="70" zoomScaleNormal="100" zoomScaleSheetLayoutView="70" workbookViewId="0"/>
  </sheetViews>
  <sheetFormatPr defaultRowHeight="14.45"/>
  <cols>
    <col min="1" max="1" width="25.5" style="216" customWidth="1"/>
    <col min="2" max="2" width="14" style="216" customWidth="1"/>
    <col min="3" max="3" width="12.125" style="216" customWidth="1"/>
    <col min="4" max="4" width="19.25" style="216" customWidth="1"/>
    <col min="5" max="5" width="17.375" style="216" customWidth="1"/>
    <col min="6" max="6" width="28.5" style="216" customWidth="1"/>
    <col min="7" max="7" width="53.5" style="216" customWidth="1"/>
    <col min="8" max="256" width="9" style="216"/>
    <col min="257" max="257" width="25.5" style="216" customWidth="1"/>
    <col min="258" max="258" width="14" style="216" customWidth="1"/>
    <col min="259" max="259" width="12.125" style="216" customWidth="1"/>
    <col min="260" max="260" width="19.25" style="216" customWidth="1"/>
    <col min="261" max="261" width="17.375" style="216" customWidth="1"/>
    <col min="262" max="262" width="28.5" style="216" customWidth="1"/>
    <col min="263" max="263" width="53.5" style="216" customWidth="1"/>
    <col min="264" max="512" width="9" style="216"/>
    <col min="513" max="513" width="25.5" style="216" customWidth="1"/>
    <col min="514" max="514" width="14" style="216" customWidth="1"/>
    <col min="515" max="515" width="12.125" style="216" customWidth="1"/>
    <col min="516" max="516" width="19.25" style="216" customWidth="1"/>
    <col min="517" max="517" width="17.375" style="216" customWidth="1"/>
    <col min="518" max="518" width="28.5" style="216" customWidth="1"/>
    <col min="519" max="519" width="53.5" style="216" customWidth="1"/>
    <col min="520" max="768" width="9" style="216"/>
    <col min="769" max="769" width="25.5" style="216" customWidth="1"/>
    <col min="770" max="770" width="14" style="216" customWidth="1"/>
    <col min="771" max="771" width="12.125" style="216" customWidth="1"/>
    <col min="772" max="772" width="19.25" style="216" customWidth="1"/>
    <col min="773" max="773" width="17.375" style="216" customWidth="1"/>
    <col min="774" max="774" width="28.5" style="216" customWidth="1"/>
    <col min="775" max="775" width="53.5" style="216" customWidth="1"/>
    <col min="776" max="1024" width="9" style="216"/>
    <col min="1025" max="1025" width="25.5" style="216" customWidth="1"/>
    <col min="1026" max="1026" width="14" style="216" customWidth="1"/>
    <col min="1027" max="1027" width="12.125" style="216" customWidth="1"/>
    <col min="1028" max="1028" width="19.25" style="216" customWidth="1"/>
    <col min="1029" max="1029" width="17.375" style="216" customWidth="1"/>
    <col min="1030" max="1030" width="28.5" style="216" customWidth="1"/>
    <col min="1031" max="1031" width="53.5" style="216" customWidth="1"/>
    <col min="1032" max="1280" width="9" style="216"/>
    <col min="1281" max="1281" width="25.5" style="216" customWidth="1"/>
    <col min="1282" max="1282" width="14" style="216" customWidth="1"/>
    <col min="1283" max="1283" width="12.125" style="216" customWidth="1"/>
    <col min="1284" max="1284" width="19.25" style="216" customWidth="1"/>
    <col min="1285" max="1285" width="17.375" style="216" customWidth="1"/>
    <col min="1286" max="1286" width="28.5" style="216" customWidth="1"/>
    <col min="1287" max="1287" width="53.5" style="216" customWidth="1"/>
    <col min="1288" max="1536" width="9" style="216"/>
    <col min="1537" max="1537" width="25.5" style="216" customWidth="1"/>
    <col min="1538" max="1538" width="14" style="216" customWidth="1"/>
    <col min="1539" max="1539" width="12.125" style="216" customWidth="1"/>
    <col min="1540" max="1540" width="19.25" style="216" customWidth="1"/>
    <col min="1541" max="1541" width="17.375" style="216" customWidth="1"/>
    <col min="1542" max="1542" width="28.5" style="216" customWidth="1"/>
    <col min="1543" max="1543" width="53.5" style="216" customWidth="1"/>
    <col min="1544" max="1792" width="9" style="216"/>
    <col min="1793" max="1793" width="25.5" style="216" customWidth="1"/>
    <col min="1794" max="1794" width="14" style="216" customWidth="1"/>
    <col min="1795" max="1795" width="12.125" style="216" customWidth="1"/>
    <col min="1796" max="1796" width="19.25" style="216" customWidth="1"/>
    <col min="1797" max="1797" width="17.375" style="216" customWidth="1"/>
    <col min="1798" max="1798" width="28.5" style="216" customWidth="1"/>
    <col min="1799" max="1799" width="53.5" style="216" customWidth="1"/>
    <col min="1800" max="2048" width="9" style="216"/>
    <col min="2049" max="2049" width="25.5" style="216" customWidth="1"/>
    <col min="2050" max="2050" width="14" style="216" customWidth="1"/>
    <col min="2051" max="2051" width="12.125" style="216" customWidth="1"/>
    <col min="2052" max="2052" width="19.25" style="216" customWidth="1"/>
    <col min="2053" max="2053" width="17.375" style="216" customWidth="1"/>
    <col min="2054" max="2054" width="28.5" style="216" customWidth="1"/>
    <col min="2055" max="2055" width="53.5" style="216" customWidth="1"/>
    <col min="2056" max="2304" width="9" style="216"/>
    <col min="2305" max="2305" width="25.5" style="216" customWidth="1"/>
    <col min="2306" max="2306" width="14" style="216" customWidth="1"/>
    <col min="2307" max="2307" width="12.125" style="216" customWidth="1"/>
    <col min="2308" max="2308" width="19.25" style="216" customWidth="1"/>
    <col min="2309" max="2309" width="17.375" style="216" customWidth="1"/>
    <col min="2310" max="2310" width="28.5" style="216" customWidth="1"/>
    <col min="2311" max="2311" width="53.5" style="216" customWidth="1"/>
    <col min="2312" max="2560" width="9" style="216"/>
    <col min="2561" max="2561" width="25.5" style="216" customWidth="1"/>
    <col min="2562" max="2562" width="14" style="216" customWidth="1"/>
    <col min="2563" max="2563" width="12.125" style="216" customWidth="1"/>
    <col min="2564" max="2564" width="19.25" style="216" customWidth="1"/>
    <col min="2565" max="2565" width="17.375" style="216" customWidth="1"/>
    <col min="2566" max="2566" width="28.5" style="216" customWidth="1"/>
    <col min="2567" max="2567" width="53.5" style="216" customWidth="1"/>
    <col min="2568" max="2816" width="9" style="216"/>
    <col min="2817" max="2817" width="25.5" style="216" customWidth="1"/>
    <col min="2818" max="2818" width="14" style="216" customWidth="1"/>
    <col min="2819" max="2819" width="12.125" style="216" customWidth="1"/>
    <col min="2820" max="2820" width="19.25" style="216" customWidth="1"/>
    <col min="2821" max="2821" width="17.375" style="216" customWidth="1"/>
    <col min="2822" max="2822" width="28.5" style="216" customWidth="1"/>
    <col min="2823" max="2823" width="53.5" style="216" customWidth="1"/>
    <col min="2824" max="3072" width="9" style="216"/>
    <col min="3073" max="3073" width="25.5" style="216" customWidth="1"/>
    <col min="3074" max="3074" width="14" style="216" customWidth="1"/>
    <col min="3075" max="3075" width="12.125" style="216" customWidth="1"/>
    <col min="3076" max="3076" width="19.25" style="216" customWidth="1"/>
    <col min="3077" max="3077" width="17.375" style="216" customWidth="1"/>
    <col min="3078" max="3078" width="28.5" style="216" customWidth="1"/>
    <col min="3079" max="3079" width="53.5" style="216" customWidth="1"/>
    <col min="3080" max="3328" width="9" style="216"/>
    <col min="3329" max="3329" width="25.5" style="216" customWidth="1"/>
    <col min="3330" max="3330" width="14" style="216" customWidth="1"/>
    <col min="3331" max="3331" width="12.125" style="216" customWidth="1"/>
    <col min="3332" max="3332" width="19.25" style="216" customWidth="1"/>
    <col min="3333" max="3333" width="17.375" style="216" customWidth="1"/>
    <col min="3334" max="3334" width="28.5" style="216" customWidth="1"/>
    <col min="3335" max="3335" width="53.5" style="216" customWidth="1"/>
    <col min="3336" max="3584" width="9" style="216"/>
    <col min="3585" max="3585" width="25.5" style="216" customWidth="1"/>
    <col min="3586" max="3586" width="14" style="216" customWidth="1"/>
    <col min="3587" max="3587" width="12.125" style="216" customWidth="1"/>
    <col min="3588" max="3588" width="19.25" style="216" customWidth="1"/>
    <col min="3589" max="3589" width="17.375" style="216" customWidth="1"/>
    <col min="3590" max="3590" width="28.5" style="216" customWidth="1"/>
    <col min="3591" max="3591" width="53.5" style="216" customWidth="1"/>
    <col min="3592" max="3840" width="9" style="216"/>
    <col min="3841" max="3841" width="25.5" style="216" customWidth="1"/>
    <col min="3842" max="3842" width="14" style="216" customWidth="1"/>
    <col min="3843" max="3843" width="12.125" style="216" customWidth="1"/>
    <col min="3844" max="3844" width="19.25" style="216" customWidth="1"/>
    <col min="3845" max="3845" width="17.375" style="216" customWidth="1"/>
    <col min="3846" max="3846" width="28.5" style="216" customWidth="1"/>
    <col min="3847" max="3847" width="53.5" style="216" customWidth="1"/>
    <col min="3848" max="4096" width="9" style="216"/>
    <col min="4097" max="4097" width="25.5" style="216" customWidth="1"/>
    <col min="4098" max="4098" width="14" style="216" customWidth="1"/>
    <col min="4099" max="4099" width="12.125" style="216" customWidth="1"/>
    <col min="4100" max="4100" width="19.25" style="216" customWidth="1"/>
    <col min="4101" max="4101" width="17.375" style="216" customWidth="1"/>
    <col min="4102" max="4102" width="28.5" style="216" customWidth="1"/>
    <col min="4103" max="4103" width="53.5" style="216" customWidth="1"/>
    <col min="4104" max="4352" width="9" style="216"/>
    <col min="4353" max="4353" width="25.5" style="216" customWidth="1"/>
    <col min="4354" max="4354" width="14" style="216" customWidth="1"/>
    <col min="4355" max="4355" width="12.125" style="216" customWidth="1"/>
    <col min="4356" max="4356" width="19.25" style="216" customWidth="1"/>
    <col min="4357" max="4357" width="17.375" style="216" customWidth="1"/>
    <col min="4358" max="4358" width="28.5" style="216" customWidth="1"/>
    <col min="4359" max="4359" width="53.5" style="216" customWidth="1"/>
    <col min="4360" max="4608" width="9" style="216"/>
    <col min="4609" max="4609" width="25.5" style="216" customWidth="1"/>
    <col min="4610" max="4610" width="14" style="216" customWidth="1"/>
    <col min="4611" max="4611" width="12.125" style="216" customWidth="1"/>
    <col min="4612" max="4612" width="19.25" style="216" customWidth="1"/>
    <col min="4613" max="4613" width="17.375" style="216" customWidth="1"/>
    <col min="4614" max="4614" width="28.5" style="216" customWidth="1"/>
    <col min="4615" max="4615" width="53.5" style="216" customWidth="1"/>
    <col min="4616" max="4864" width="9" style="216"/>
    <col min="4865" max="4865" width="25.5" style="216" customWidth="1"/>
    <col min="4866" max="4866" width="14" style="216" customWidth="1"/>
    <col min="4867" max="4867" width="12.125" style="216" customWidth="1"/>
    <col min="4868" max="4868" width="19.25" style="216" customWidth="1"/>
    <col min="4869" max="4869" width="17.375" style="216" customWidth="1"/>
    <col min="4870" max="4870" width="28.5" style="216" customWidth="1"/>
    <col min="4871" max="4871" width="53.5" style="216" customWidth="1"/>
    <col min="4872" max="5120" width="9" style="216"/>
    <col min="5121" max="5121" width="25.5" style="216" customWidth="1"/>
    <col min="5122" max="5122" width="14" style="216" customWidth="1"/>
    <col min="5123" max="5123" width="12.125" style="216" customWidth="1"/>
    <col min="5124" max="5124" width="19.25" style="216" customWidth="1"/>
    <col min="5125" max="5125" width="17.375" style="216" customWidth="1"/>
    <col min="5126" max="5126" width="28.5" style="216" customWidth="1"/>
    <col min="5127" max="5127" width="53.5" style="216" customWidth="1"/>
    <col min="5128" max="5376" width="9" style="216"/>
    <col min="5377" max="5377" width="25.5" style="216" customWidth="1"/>
    <col min="5378" max="5378" width="14" style="216" customWidth="1"/>
    <col min="5379" max="5379" width="12.125" style="216" customWidth="1"/>
    <col min="5380" max="5380" width="19.25" style="216" customWidth="1"/>
    <col min="5381" max="5381" width="17.375" style="216" customWidth="1"/>
    <col min="5382" max="5382" width="28.5" style="216" customWidth="1"/>
    <col min="5383" max="5383" width="53.5" style="216" customWidth="1"/>
    <col min="5384" max="5632" width="9" style="216"/>
    <col min="5633" max="5633" width="25.5" style="216" customWidth="1"/>
    <col min="5634" max="5634" width="14" style="216" customWidth="1"/>
    <col min="5635" max="5635" width="12.125" style="216" customWidth="1"/>
    <col min="5636" max="5636" width="19.25" style="216" customWidth="1"/>
    <col min="5637" max="5637" width="17.375" style="216" customWidth="1"/>
    <col min="5638" max="5638" width="28.5" style="216" customWidth="1"/>
    <col min="5639" max="5639" width="53.5" style="216" customWidth="1"/>
    <col min="5640" max="5888" width="9" style="216"/>
    <col min="5889" max="5889" width="25.5" style="216" customWidth="1"/>
    <col min="5890" max="5890" width="14" style="216" customWidth="1"/>
    <col min="5891" max="5891" width="12.125" style="216" customWidth="1"/>
    <col min="5892" max="5892" width="19.25" style="216" customWidth="1"/>
    <col min="5893" max="5893" width="17.375" style="216" customWidth="1"/>
    <col min="5894" max="5894" width="28.5" style="216" customWidth="1"/>
    <col min="5895" max="5895" width="53.5" style="216" customWidth="1"/>
    <col min="5896" max="6144" width="9" style="216"/>
    <col min="6145" max="6145" width="25.5" style="216" customWidth="1"/>
    <col min="6146" max="6146" width="14" style="216" customWidth="1"/>
    <col min="6147" max="6147" width="12.125" style="216" customWidth="1"/>
    <col min="6148" max="6148" width="19.25" style="216" customWidth="1"/>
    <col min="6149" max="6149" width="17.375" style="216" customWidth="1"/>
    <col min="6150" max="6150" width="28.5" style="216" customWidth="1"/>
    <col min="6151" max="6151" width="53.5" style="216" customWidth="1"/>
    <col min="6152" max="6400" width="9" style="216"/>
    <col min="6401" max="6401" width="25.5" style="216" customWidth="1"/>
    <col min="6402" max="6402" width="14" style="216" customWidth="1"/>
    <col min="6403" max="6403" width="12.125" style="216" customWidth="1"/>
    <col min="6404" max="6404" width="19.25" style="216" customWidth="1"/>
    <col min="6405" max="6405" width="17.375" style="216" customWidth="1"/>
    <col min="6406" max="6406" width="28.5" style="216" customWidth="1"/>
    <col min="6407" max="6407" width="53.5" style="216" customWidth="1"/>
    <col min="6408" max="6656" width="9" style="216"/>
    <col min="6657" max="6657" width="25.5" style="216" customWidth="1"/>
    <col min="6658" max="6658" width="14" style="216" customWidth="1"/>
    <col min="6659" max="6659" width="12.125" style="216" customWidth="1"/>
    <col min="6660" max="6660" width="19.25" style="216" customWidth="1"/>
    <col min="6661" max="6661" width="17.375" style="216" customWidth="1"/>
    <col min="6662" max="6662" width="28.5" style="216" customWidth="1"/>
    <col min="6663" max="6663" width="53.5" style="216" customWidth="1"/>
    <col min="6664" max="6912" width="9" style="216"/>
    <col min="6913" max="6913" width="25.5" style="216" customWidth="1"/>
    <col min="6914" max="6914" width="14" style="216" customWidth="1"/>
    <col min="6915" max="6915" width="12.125" style="216" customWidth="1"/>
    <col min="6916" max="6916" width="19.25" style="216" customWidth="1"/>
    <col min="6917" max="6917" width="17.375" style="216" customWidth="1"/>
    <col min="6918" max="6918" width="28.5" style="216" customWidth="1"/>
    <col min="6919" max="6919" width="53.5" style="216" customWidth="1"/>
    <col min="6920" max="7168" width="9" style="216"/>
    <col min="7169" max="7169" width="25.5" style="216" customWidth="1"/>
    <col min="7170" max="7170" width="14" style="216" customWidth="1"/>
    <col min="7171" max="7171" width="12.125" style="216" customWidth="1"/>
    <col min="7172" max="7172" width="19.25" style="216" customWidth="1"/>
    <col min="7173" max="7173" width="17.375" style="216" customWidth="1"/>
    <col min="7174" max="7174" width="28.5" style="216" customWidth="1"/>
    <col min="7175" max="7175" width="53.5" style="216" customWidth="1"/>
    <col min="7176" max="7424" width="9" style="216"/>
    <col min="7425" max="7425" width="25.5" style="216" customWidth="1"/>
    <col min="7426" max="7426" width="14" style="216" customWidth="1"/>
    <col min="7427" max="7427" width="12.125" style="216" customWidth="1"/>
    <col min="7428" max="7428" width="19.25" style="216" customWidth="1"/>
    <col min="7429" max="7429" width="17.375" style="216" customWidth="1"/>
    <col min="7430" max="7430" width="28.5" style="216" customWidth="1"/>
    <col min="7431" max="7431" width="53.5" style="216" customWidth="1"/>
    <col min="7432" max="7680" width="9" style="216"/>
    <col min="7681" max="7681" width="25.5" style="216" customWidth="1"/>
    <col min="7682" max="7682" width="14" style="216" customWidth="1"/>
    <col min="7683" max="7683" width="12.125" style="216" customWidth="1"/>
    <col min="7684" max="7684" width="19.25" style="216" customWidth="1"/>
    <col min="7685" max="7685" width="17.375" style="216" customWidth="1"/>
    <col min="7686" max="7686" width="28.5" style="216" customWidth="1"/>
    <col min="7687" max="7687" width="53.5" style="216" customWidth="1"/>
    <col min="7688" max="7936" width="9" style="216"/>
    <col min="7937" max="7937" width="25.5" style="216" customWidth="1"/>
    <col min="7938" max="7938" width="14" style="216" customWidth="1"/>
    <col min="7939" max="7939" width="12.125" style="216" customWidth="1"/>
    <col min="7940" max="7940" width="19.25" style="216" customWidth="1"/>
    <col min="7941" max="7941" width="17.375" style="216" customWidth="1"/>
    <col min="7942" max="7942" width="28.5" style="216" customWidth="1"/>
    <col min="7943" max="7943" width="53.5" style="216" customWidth="1"/>
    <col min="7944" max="8192" width="9" style="216"/>
    <col min="8193" max="8193" width="25.5" style="216" customWidth="1"/>
    <col min="8194" max="8194" width="14" style="216" customWidth="1"/>
    <col min="8195" max="8195" width="12.125" style="216" customWidth="1"/>
    <col min="8196" max="8196" width="19.25" style="216" customWidth="1"/>
    <col min="8197" max="8197" width="17.375" style="216" customWidth="1"/>
    <col min="8198" max="8198" width="28.5" style="216" customWidth="1"/>
    <col min="8199" max="8199" width="53.5" style="216" customWidth="1"/>
    <col min="8200" max="8448" width="9" style="216"/>
    <col min="8449" max="8449" width="25.5" style="216" customWidth="1"/>
    <col min="8450" max="8450" width="14" style="216" customWidth="1"/>
    <col min="8451" max="8451" width="12.125" style="216" customWidth="1"/>
    <col min="8452" max="8452" width="19.25" style="216" customWidth="1"/>
    <col min="8453" max="8453" width="17.375" style="216" customWidth="1"/>
    <col min="8454" max="8454" width="28.5" style="216" customWidth="1"/>
    <col min="8455" max="8455" width="53.5" style="216" customWidth="1"/>
    <col min="8456" max="8704" width="9" style="216"/>
    <col min="8705" max="8705" width="25.5" style="216" customWidth="1"/>
    <col min="8706" max="8706" width="14" style="216" customWidth="1"/>
    <col min="8707" max="8707" width="12.125" style="216" customWidth="1"/>
    <col min="8708" max="8708" width="19.25" style="216" customWidth="1"/>
    <col min="8709" max="8709" width="17.375" style="216" customWidth="1"/>
    <col min="8710" max="8710" width="28.5" style="216" customWidth="1"/>
    <col min="8711" max="8711" width="53.5" style="216" customWidth="1"/>
    <col min="8712" max="8960" width="9" style="216"/>
    <col min="8961" max="8961" width="25.5" style="216" customWidth="1"/>
    <col min="8962" max="8962" width="14" style="216" customWidth="1"/>
    <col min="8963" max="8963" width="12.125" style="216" customWidth="1"/>
    <col min="8964" max="8964" width="19.25" style="216" customWidth="1"/>
    <col min="8965" max="8965" width="17.375" style="216" customWidth="1"/>
    <col min="8966" max="8966" width="28.5" style="216" customWidth="1"/>
    <col min="8967" max="8967" width="53.5" style="216" customWidth="1"/>
    <col min="8968" max="9216" width="9" style="216"/>
    <col min="9217" max="9217" width="25.5" style="216" customWidth="1"/>
    <col min="9218" max="9218" width="14" style="216" customWidth="1"/>
    <col min="9219" max="9219" width="12.125" style="216" customWidth="1"/>
    <col min="9220" max="9220" width="19.25" style="216" customWidth="1"/>
    <col min="9221" max="9221" width="17.375" style="216" customWidth="1"/>
    <col min="9222" max="9222" width="28.5" style="216" customWidth="1"/>
    <col min="9223" max="9223" width="53.5" style="216" customWidth="1"/>
    <col min="9224" max="9472" width="9" style="216"/>
    <col min="9473" max="9473" width="25.5" style="216" customWidth="1"/>
    <col min="9474" max="9474" width="14" style="216" customWidth="1"/>
    <col min="9475" max="9475" width="12.125" style="216" customWidth="1"/>
    <col min="9476" max="9476" width="19.25" style="216" customWidth="1"/>
    <col min="9477" max="9477" width="17.375" style="216" customWidth="1"/>
    <col min="9478" max="9478" width="28.5" style="216" customWidth="1"/>
    <col min="9479" max="9479" width="53.5" style="216" customWidth="1"/>
    <col min="9480" max="9728" width="9" style="216"/>
    <col min="9729" max="9729" width="25.5" style="216" customWidth="1"/>
    <col min="9730" max="9730" width="14" style="216" customWidth="1"/>
    <col min="9731" max="9731" width="12.125" style="216" customWidth="1"/>
    <col min="9732" max="9732" width="19.25" style="216" customWidth="1"/>
    <col min="9733" max="9733" width="17.375" style="216" customWidth="1"/>
    <col min="9734" max="9734" width="28.5" style="216" customWidth="1"/>
    <col min="9735" max="9735" width="53.5" style="216" customWidth="1"/>
    <col min="9736" max="9984" width="9" style="216"/>
    <col min="9985" max="9985" width="25.5" style="216" customWidth="1"/>
    <col min="9986" max="9986" width="14" style="216" customWidth="1"/>
    <col min="9987" max="9987" width="12.125" style="216" customWidth="1"/>
    <col min="9988" max="9988" width="19.25" style="216" customWidth="1"/>
    <col min="9989" max="9989" width="17.375" style="216" customWidth="1"/>
    <col min="9990" max="9990" width="28.5" style="216" customWidth="1"/>
    <col min="9991" max="9991" width="53.5" style="216" customWidth="1"/>
    <col min="9992" max="10240" width="9" style="216"/>
    <col min="10241" max="10241" width="25.5" style="216" customWidth="1"/>
    <col min="10242" max="10242" width="14" style="216" customWidth="1"/>
    <col min="10243" max="10243" width="12.125" style="216" customWidth="1"/>
    <col min="10244" max="10244" width="19.25" style="216" customWidth="1"/>
    <col min="10245" max="10245" width="17.375" style="216" customWidth="1"/>
    <col min="10246" max="10246" width="28.5" style="216" customWidth="1"/>
    <col min="10247" max="10247" width="53.5" style="216" customWidth="1"/>
    <col min="10248" max="10496" width="9" style="216"/>
    <col min="10497" max="10497" width="25.5" style="216" customWidth="1"/>
    <col min="10498" max="10498" width="14" style="216" customWidth="1"/>
    <col min="10499" max="10499" width="12.125" style="216" customWidth="1"/>
    <col min="10500" max="10500" width="19.25" style="216" customWidth="1"/>
    <col min="10501" max="10501" width="17.375" style="216" customWidth="1"/>
    <col min="10502" max="10502" width="28.5" style="216" customWidth="1"/>
    <col min="10503" max="10503" width="53.5" style="216" customWidth="1"/>
    <col min="10504" max="10752" width="9" style="216"/>
    <col min="10753" max="10753" width="25.5" style="216" customWidth="1"/>
    <col min="10754" max="10754" width="14" style="216" customWidth="1"/>
    <col min="10755" max="10755" width="12.125" style="216" customWidth="1"/>
    <col min="10756" max="10756" width="19.25" style="216" customWidth="1"/>
    <col min="10757" max="10757" width="17.375" style="216" customWidth="1"/>
    <col min="10758" max="10758" width="28.5" style="216" customWidth="1"/>
    <col min="10759" max="10759" width="53.5" style="216" customWidth="1"/>
    <col min="10760" max="11008" width="9" style="216"/>
    <col min="11009" max="11009" width="25.5" style="216" customWidth="1"/>
    <col min="11010" max="11010" width="14" style="216" customWidth="1"/>
    <col min="11011" max="11011" width="12.125" style="216" customWidth="1"/>
    <col min="11012" max="11012" width="19.25" style="216" customWidth="1"/>
    <col min="11013" max="11013" width="17.375" style="216" customWidth="1"/>
    <col min="11014" max="11014" width="28.5" style="216" customWidth="1"/>
    <col min="11015" max="11015" width="53.5" style="216" customWidth="1"/>
    <col min="11016" max="11264" width="9" style="216"/>
    <col min="11265" max="11265" width="25.5" style="216" customWidth="1"/>
    <col min="11266" max="11266" width="14" style="216" customWidth="1"/>
    <col min="11267" max="11267" width="12.125" style="216" customWidth="1"/>
    <col min="11268" max="11268" width="19.25" style="216" customWidth="1"/>
    <col min="11269" max="11269" width="17.375" style="216" customWidth="1"/>
    <col min="11270" max="11270" width="28.5" style="216" customWidth="1"/>
    <col min="11271" max="11271" width="53.5" style="216" customWidth="1"/>
    <col min="11272" max="11520" width="9" style="216"/>
    <col min="11521" max="11521" width="25.5" style="216" customWidth="1"/>
    <col min="11522" max="11522" width="14" style="216" customWidth="1"/>
    <col min="11523" max="11523" width="12.125" style="216" customWidth="1"/>
    <col min="11524" max="11524" width="19.25" style="216" customWidth="1"/>
    <col min="11525" max="11525" width="17.375" style="216" customWidth="1"/>
    <col min="11526" max="11526" width="28.5" style="216" customWidth="1"/>
    <col min="11527" max="11527" width="53.5" style="216" customWidth="1"/>
    <col min="11528" max="11776" width="9" style="216"/>
    <col min="11777" max="11777" width="25.5" style="216" customWidth="1"/>
    <col min="11778" max="11778" width="14" style="216" customWidth="1"/>
    <col min="11779" max="11779" width="12.125" style="216" customWidth="1"/>
    <col min="11780" max="11780" width="19.25" style="216" customWidth="1"/>
    <col min="11781" max="11781" width="17.375" style="216" customWidth="1"/>
    <col min="11782" max="11782" width="28.5" style="216" customWidth="1"/>
    <col min="11783" max="11783" width="53.5" style="216" customWidth="1"/>
    <col min="11784" max="12032" width="9" style="216"/>
    <col min="12033" max="12033" width="25.5" style="216" customWidth="1"/>
    <col min="12034" max="12034" width="14" style="216" customWidth="1"/>
    <col min="12035" max="12035" width="12.125" style="216" customWidth="1"/>
    <col min="12036" max="12036" width="19.25" style="216" customWidth="1"/>
    <col min="12037" max="12037" width="17.375" style="216" customWidth="1"/>
    <col min="12038" max="12038" width="28.5" style="216" customWidth="1"/>
    <col min="12039" max="12039" width="53.5" style="216" customWidth="1"/>
    <col min="12040" max="12288" width="9" style="216"/>
    <col min="12289" max="12289" width="25.5" style="216" customWidth="1"/>
    <col min="12290" max="12290" width="14" style="216" customWidth="1"/>
    <col min="12291" max="12291" width="12.125" style="216" customWidth="1"/>
    <col min="12292" max="12292" width="19.25" style="216" customWidth="1"/>
    <col min="12293" max="12293" width="17.375" style="216" customWidth="1"/>
    <col min="12294" max="12294" width="28.5" style="216" customWidth="1"/>
    <col min="12295" max="12295" width="53.5" style="216" customWidth="1"/>
    <col min="12296" max="12544" width="9" style="216"/>
    <col min="12545" max="12545" width="25.5" style="216" customWidth="1"/>
    <col min="12546" max="12546" width="14" style="216" customWidth="1"/>
    <col min="12547" max="12547" width="12.125" style="216" customWidth="1"/>
    <col min="12548" max="12548" width="19.25" style="216" customWidth="1"/>
    <col min="12549" max="12549" width="17.375" style="216" customWidth="1"/>
    <col min="12550" max="12550" width="28.5" style="216" customWidth="1"/>
    <col min="12551" max="12551" width="53.5" style="216" customWidth="1"/>
    <col min="12552" max="12800" width="9" style="216"/>
    <col min="12801" max="12801" width="25.5" style="216" customWidth="1"/>
    <col min="12802" max="12802" width="14" style="216" customWidth="1"/>
    <col min="12803" max="12803" width="12.125" style="216" customWidth="1"/>
    <col min="12804" max="12804" width="19.25" style="216" customWidth="1"/>
    <col min="12805" max="12805" width="17.375" style="216" customWidth="1"/>
    <col min="12806" max="12806" width="28.5" style="216" customWidth="1"/>
    <col min="12807" max="12807" width="53.5" style="216" customWidth="1"/>
    <col min="12808" max="13056" width="9" style="216"/>
    <col min="13057" max="13057" width="25.5" style="216" customWidth="1"/>
    <col min="13058" max="13058" width="14" style="216" customWidth="1"/>
    <col min="13059" max="13059" width="12.125" style="216" customWidth="1"/>
    <col min="13060" max="13060" width="19.25" style="216" customWidth="1"/>
    <col min="13061" max="13061" width="17.375" style="216" customWidth="1"/>
    <col min="13062" max="13062" width="28.5" style="216" customWidth="1"/>
    <col min="13063" max="13063" width="53.5" style="216" customWidth="1"/>
    <col min="13064" max="13312" width="9" style="216"/>
    <col min="13313" max="13313" width="25.5" style="216" customWidth="1"/>
    <col min="13314" max="13314" width="14" style="216" customWidth="1"/>
    <col min="13315" max="13315" width="12.125" style="216" customWidth="1"/>
    <col min="13316" max="13316" width="19.25" style="216" customWidth="1"/>
    <col min="13317" max="13317" width="17.375" style="216" customWidth="1"/>
    <col min="13318" max="13318" width="28.5" style="216" customWidth="1"/>
    <col min="13319" max="13319" width="53.5" style="216" customWidth="1"/>
    <col min="13320" max="13568" width="9" style="216"/>
    <col min="13569" max="13569" width="25.5" style="216" customWidth="1"/>
    <col min="13570" max="13570" width="14" style="216" customWidth="1"/>
    <col min="13571" max="13571" width="12.125" style="216" customWidth="1"/>
    <col min="13572" max="13572" width="19.25" style="216" customWidth="1"/>
    <col min="13573" max="13573" width="17.375" style="216" customWidth="1"/>
    <col min="13574" max="13574" width="28.5" style="216" customWidth="1"/>
    <col min="13575" max="13575" width="53.5" style="216" customWidth="1"/>
    <col min="13576" max="13824" width="9" style="216"/>
    <col min="13825" max="13825" width="25.5" style="216" customWidth="1"/>
    <col min="13826" max="13826" width="14" style="216" customWidth="1"/>
    <col min="13827" max="13827" width="12.125" style="216" customWidth="1"/>
    <col min="13828" max="13828" width="19.25" style="216" customWidth="1"/>
    <col min="13829" max="13829" width="17.375" style="216" customWidth="1"/>
    <col min="13830" max="13830" width="28.5" style="216" customWidth="1"/>
    <col min="13831" max="13831" width="53.5" style="216" customWidth="1"/>
    <col min="13832" max="14080" width="9" style="216"/>
    <col min="14081" max="14081" width="25.5" style="216" customWidth="1"/>
    <col min="14082" max="14082" width="14" style="216" customWidth="1"/>
    <col min="14083" max="14083" width="12.125" style="216" customWidth="1"/>
    <col min="14084" max="14084" width="19.25" style="216" customWidth="1"/>
    <col min="14085" max="14085" width="17.375" style="216" customWidth="1"/>
    <col min="14086" max="14086" width="28.5" style="216" customWidth="1"/>
    <col min="14087" max="14087" width="53.5" style="216" customWidth="1"/>
    <col min="14088" max="14336" width="9" style="216"/>
    <col min="14337" max="14337" width="25.5" style="216" customWidth="1"/>
    <col min="14338" max="14338" width="14" style="216" customWidth="1"/>
    <col min="14339" max="14339" width="12.125" style="216" customWidth="1"/>
    <col min="14340" max="14340" width="19.25" style="216" customWidth="1"/>
    <col min="14341" max="14341" width="17.375" style="216" customWidth="1"/>
    <col min="14342" max="14342" width="28.5" style="216" customWidth="1"/>
    <col min="14343" max="14343" width="53.5" style="216" customWidth="1"/>
    <col min="14344" max="14592" width="9" style="216"/>
    <col min="14593" max="14593" width="25.5" style="216" customWidth="1"/>
    <col min="14594" max="14594" width="14" style="216" customWidth="1"/>
    <col min="14595" max="14595" width="12.125" style="216" customWidth="1"/>
    <col min="14596" max="14596" width="19.25" style="216" customWidth="1"/>
    <col min="14597" max="14597" width="17.375" style="216" customWidth="1"/>
    <col min="14598" max="14598" width="28.5" style="216" customWidth="1"/>
    <col min="14599" max="14599" width="53.5" style="216" customWidth="1"/>
    <col min="14600" max="14848" width="9" style="216"/>
    <col min="14849" max="14849" width="25.5" style="216" customWidth="1"/>
    <col min="14850" max="14850" width="14" style="216" customWidth="1"/>
    <col min="14851" max="14851" width="12.125" style="216" customWidth="1"/>
    <col min="14852" max="14852" width="19.25" style="216" customWidth="1"/>
    <col min="14853" max="14853" width="17.375" style="216" customWidth="1"/>
    <col min="14854" max="14854" width="28.5" style="216" customWidth="1"/>
    <col min="14855" max="14855" width="53.5" style="216" customWidth="1"/>
    <col min="14856" max="15104" width="9" style="216"/>
    <col min="15105" max="15105" width="25.5" style="216" customWidth="1"/>
    <col min="15106" max="15106" width="14" style="216" customWidth="1"/>
    <col min="15107" max="15107" width="12.125" style="216" customWidth="1"/>
    <col min="15108" max="15108" width="19.25" style="216" customWidth="1"/>
    <col min="15109" max="15109" width="17.375" style="216" customWidth="1"/>
    <col min="15110" max="15110" width="28.5" style="216" customWidth="1"/>
    <col min="15111" max="15111" width="53.5" style="216" customWidth="1"/>
    <col min="15112" max="15360" width="9" style="216"/>
    <col min="15361" max="15361" width="25.5" style="216" customWidth="1"/>
    <col min="15362" max="15362" width="14" style="216" customWidth="1"/>
    <col min="15363" max="15363" width="12.125" style="216" customWidth="1"/>
    <col min="15364" max="15364" width="19.25" style="216" customWidth="1"/>
    <col min="15365" max="15365" width="17.375" style="216" customWidth="1"/>
    <col min="15366" max="15366" width="28.5" style="216" customWidth="1"/>
    <col min="15367" max="15367" width="53.5" style="216" customWidth="1"/>
    <col min="15368" max="15616" width="9" style="216"/>
    <col min="15617" max="15617" width="25.5" style="216" customWidth="1"/>
    <col min="15618" max="15618" width="14" style="216" customWidth="1"/>
    <col min="15619" max="15619" width="12.125" style="216" customWidth="1"/>
    <col min="15620" max="15620" width="19.25" style="216" customWidth="1"/>
    <col min="15621" max="15621" width="17.375" style="216" customWidth="1"/>
    <col min="15622" max="15622" width="28.5" style="216" customWidth="1"/>
    <col min="15623" max="15623" width="53.5" style="216" customWidth="1"/>
    <col min="15624" max="15872" width="9" style="216"/>
    <col min="15873" max="15873" width="25.5" style="216" customWidth="1"/>
    <col min="15874" max="15874" width="14" style="216" customWidth="1"/>
    <col min="15875" max="15875" width="12.125" style="216" customWidth="1"/>
    <col min="15876" max="15876" width="19.25" style="216" customWidth="1"/>
    <col min="15877" max="15877" width="17.375" style="216" customWidth="1"/>
    <col min="15878" max="15878" width="28.5" style="216" customWidth="1"/>
    <col min="15879" max="15879" width="53.5" style="216" customWidth="1"/>
    <col min="15880" max="16128" width="9" style="216"/>
    <col min="16129" max="16129" width="25.5" style="216" customWidth="1"/>
    <col min="16130" max="16130" width="14" style="216" customWidth="1"/>
    <col min="16131" max="16131" width="12.125" style="216" customWidth="1"/>
    <col min="16132" max="16132" width="19.25" style="216" customWidth="1"/>
    <col min="16133" max="16133" width="17.375" style="216" customWidth="1"/>
    <col min="16134" max="16134" width="28.5" style="216" customWidth="1"/>
    <col min="16135" max="16135" width="53.5" style="216" customWidth="1"/>
    <col min="16136" max="16384" width="9" style="216"/>
  </cols>
  <sheetData>
    <row r="1" spans="1:7" ht="19.5" customHeight="1">
      <c r="A1" s="216" t="s">
        <v>407</v>
      </c>
    </row>
    <row r="2" spans="1:7" ht="19.5" customHeight="1"/>
    <row r="3" spans="1:7" ht="30" customHeight="1">
      <c r="A3" s="144" t="s">
        <v>763</v>
      </c>
      <c r="B3" s="100"/>
    </row>
    <row r="4" spans="1:7" ht="24.75" customHeight="1" thickBot="1">
      <c r="G4" s="217" t="s">
        <v>409</v>
      </c>
    </row>
    <row r="5" spans="1:7" s="32" customFormat="1" ht="59.25" customHeight="1" thickTop="1" thickBot="1">
      <c r="A5" s="1134" t="s">
        <v>410</v>
      </c>
      <c r="B5" s="1137" t="s">
        <v>411</v>
      </c>
      <c r="C5" s="1137" t="s">
        <v>412</v>
      </c>
      <c r="D5" s="1140" t="s">
        <v>413</v>
      </c>
      <c r="E5" s="1412"/>
      <c r="F5" s="1413"/>
      <c r="G5" s="1143" t="s">
        <v>414</v>
      </c>
    </row>
    <row r="6" spans="1:7" s="32" customFormat="1" ht="24.75" customHeight="1" thickTop="1">
      <c r="A6" s="1135"/>
      <c r="B6" s="1138"/>
      <c r="C6" s="1138"/>
      <c r="D6" s="1148" t="s">
        <v>415</v>
      </c>
      <c r="E6" s="1149"/>
      <c r="F6" s="1149"/>
      <c r="G6" s="1144"/>
    </row>
    <row r="7" spans="1:7" s="32" customFormat="1" ht="24.75" customHeight="1" thickBot="1">
      <c r="A7" s="1135"/>
      <c r="B7" s="1138"/>
      <c r="C7" s="1139"/>
      <c r="D7" s="1150"/>
      <c r="E7" s="1151"/>
      <c r="F7" s="1152"/>
      <c r="G7" s="1145"/>
    </row>
    <row r="8" spans="1:7" s="32" customFormat="1" ht="24.75" customHeight="1" thickTop="1">
      <c r="A8" s="1135"/>
      <c r="B8" s="1138"/>
      <c r="C8" s="1139"/>
      <c r="D8" s="1153" t="s">
        <v>416</v>
      </c>
      <c r="E8" s="1155" t="s">
        <v>417</v>
      </c>
      <c r="F8" s="218" t="s">
        <v>418</v>
      </c>
      <c r="G8" s="1146"/>
    </row>
    <row r="9" spans="1:7" s="32" customFormat="1" ht="24.75" customHeight="1" thickBot="1">
      <c r="A9" s="1136"/>
      <c r="B9" s="1136"/>
      <c r="C9" s="1136"/>
      <c r="D9" s="1154"/>
      <c r="E9" s="1156"/>
      <c r="F9" s="219" t="s">
        <v>419</v>
      </c>
      <c r="G9" s="1147"/>
    </row>
    <row r="10" spans="1:7" s="227" customFormat="1" ht="49.5" customHeight="1" thickTop="1" thickBot="1">
      <c r="A10" s="220"/>
      <c r="B10" s="221"/>
      <c r="C10" s="222"/>
      <c r="D10" s="223"/>
      <c r="E10" s="224"/>
      <c r="F10" s="225"/>
      <c r="G10" s="226"/>
    </row>
    <row r="11" spans="1:7" s="227" customFormat="1" ht="24.75" customHeight="1" thickTop="1">
      <c r="A11" s="228" t="s">
        <v>420</v>
      </c>
      <c r="B11" s="229"/>
      <c r="C11" s="229"/>
      <c r="D11" s="230"/>
      <c r="E11" s="231"/>
      <c r="F11" s="232"/>
    </row>
    <row r="12" spans="1:7" s="227" customFormat="1" ht="24.75" customHeight="1">
      <c r="A12" s="233" t="s">
        <v>421</v>
      </c>
      <c r="B12" s="229"/>
      <c r="C12" s="229"/>
      <c r="D12" s="230"/>
      <c r="E12" s="231"/>
      <c r="F12" s="232"/>
    </row>
    <row r="13" spans="1:7" s="227" customFormat="1" ht="24.75" customHeight="1">
      <c r="A13" s="1132" t="s">
        <v>422</v>
      </c>
      <c r="B13" s="1132"/>
      <c r="C13" s="1132"/>
      <c r="D13" s="1132"/>
      <c r="E13" s="1132"/>
      <c r="F13" s="1132"/>
      <c r="G13" s="1132"/>
    </row>
    <row r="14" spans="1:7" s="227" customFormat="1" ht="24.75" customHeight="1">
      <c r="A14" s="1132" t="s">
        <v>423</v>
      </c>
      <c r="B14" s="1132"/>
      <c r="C14" s="1132"/>
      <c r="D14" s="1132"/>
      <c r="E14" s="1132"/>
      <c r="F14" s="1132"/>
      <c r="G14" s="1132"/>
    </row>
    <row r="15" spans="1:7" s="227" customFormat="1" ht="24.75" customHeight="1">
      <c r="A15" s="1132" t="s">
        <v>424</v>
      </c>
      <c r="B15" s="1132"/>
      <c r="C15" s="1132"/>
      <c r="D15" s="1132"/>
      <c r="E15" s="1132"/>
      <c r="F15" s="1132"/>
      <c r="G15" s="1132"/>
    </row>
    <row r="16" spans="1:7" s="227" customFormat="1" ht="24.75" customHeight="1">
      <c r="A16" s="233" t="s">
        <v>425</v>
      </c>
      <c r="B16" s="229"/>
      <c r="C16" s="229"/>
      <c r="D16" s="230"/>
      <c r="E16" s="231"/>
      <c r="F16" s="232"/>
    </row>
    <row r="17" spans="1:7" s="227" customFormat="1" ht="24.75" customHeight="1">
      <c r="A17" s="234" t="s">
        <v>426</v>
      </c>
      <c r="B17" s="229"/>
      <c r="C17" s="229"/>
      <c r="D17" s="230"/>
      <c r="E17" s="231"/>
      <c r="F17" s="232"/>
    </row>
    <row r="18" spans="1:7" ht="24.75" customHeight="1">
      <c r="A18" s="216" t="s">
        <v>427</v>
      </c>
      <c r="B18" s="235"/>
      <c r="C18" s="235"/>
      <c r="D18" s="236"/>
      <c r="E18" s="237"/>
      <c r="F18" s="237"/>
    </row>
    <row r="19" spans="1:7" ht="24.75" customHeight="1">
      <c r="A19" s="216" t="s">
        <v>428</v>
      </c>
      <c r="B19" s="235"/>
      <c r="C19" s="235"/>
      <c r="D19" s="236"/>
      <c r="E19" s="237"/>
      <c r="F19" s="237"/>
    </row>
    <row r="20" spans="1:7" ht="24.75" customHeight="1">
      <c r="A20" s="216" t="s">
        <v>429</v>
      </c>
      <c r="B20" s="235"/>
      <c r="C20" s="235"/>
      <c r="D20" s="236"/>
      <c r="E20" s="237"/>
      <c r="F20" s="237"/>
    </row>
    <row r="21" spans="1:7" ht="24.75" customHeight="1">
      <c r="B21" s="235"/>
      <c r="C21" s="235"/>
      <c r="D21" s="236"/>
      <c r="E21" s="237"/>
      <c r="F21" s="237"/>
    </row>
    <row r="22" spans="1:7" s="227" customFormat="1" ht="24.75" customHeight="1">
      <c r="A22" s="234" t="s">
        <v>430</v>
      </c>
      <c r="B22" s="229"/>
      <c r="C22" s="229"/>
      <c r="D22" s="230"/>
      <c r="E22" s="231"/>
      <c r="F22" s="232"/>
    </row>
    <row r="23" spans="1:7" ht="24.75" customHeight="1">
      <c r="A23" s="216" t="s">
        <v>431</v>
      </c>
    </row>
    <row r="24" spans="1:7" ht="24.75" customHeight="1"/>
    <row r="25" spans="1:7" ht="24.75" customHeight="1">
      <c r="A25" s="216" t="s">
        <v>432</v>
      </c>
    </row>
    <row r="26" spans="1:7" ht="24.75" customHeight="1">
      <c r="A26" s="216" t="s">
        <v>433</v>
      </c>
    </row>
    <row r="27" spans="1:7" ht="24.75" customHeight="1">
      <c r="A27" s="1411" t="s">
        <v>434</v>
      </c>
      <c r="B27" s="1411"/>
      <c r="C27" s="1411"/>
      <c r="D27" s="1411"/>
      <c r="E27" s="1411"/>
      <c r="F27" s="1411"/>
      <c r="G27" s="1411"/>
    </row>
    <row r="28" spans="1:7" ht="24.75" customHeight="1"/>
  </sheetData>
  <mergeCells count="12">
    <mergeCell ref="A13:G13"/>
    <mergeCell ref="A14:G14"/>
    <mergeCell ref="A15:G15"/>
    <mergeCell ref="A27:G27"/>
    <mergeCell ref="A5:A9"/>
    <mergeCell ref="B5:B9"/>
    <mergeCell ref="C5:C9"/>
    <mergeCell ref="D5:F5"/>
    <mergeCell ref="G5:G9"/>
    <mergeCell ref="D6:F7"/>
    <mergeCell ref="D8:D9"/>
    <mergeCell ref="E8:E9"/>
  </mergeCells>
  <phoneticPr fontId="4"/>
  <conditionalFormatting sqref="A10:E10">
    <cfRule type="containsBlanks" dxfId="40" priority="1">
      <formula>LEN(TRIM(A10))=0</formula>
    </cfRule>
  </conditionalFormatting>
  <printOptions horizontalCentered="1"/>
  <pageMargins left="0.23622047244094491" right="0.23622047244094491" top="0.74803149606299213" bottom="0.74803149606299213" header="0.31496062992125984" footer="0.31496062992125984"/>
  <pageSetup paperSize="9" scale="72" orientation="landscape" blackAndWhite="1" errors="blank" r:id="rId1"/>
  <headerFooter alignWithMargins="0"/>
  <colBreaks count="1" manualBreakCount="1">
    <brk id="7" min="2" max="28"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
  <dimension ref="A1:AN168"/>
  <sheetViews>
    <sheetView view="pageBreakPreview" topLeftCell="A160"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B1" s="305"/>
      <c r="AA1" s="1" t="s">
        <v>435</v>
      </c>
    </row>
    <row r="2" spans="1:29" ht="9" customHeight="1"/>
    <row r="3" spans="1:29" ht="18.75" customHeight="1">
      <c r="A3" s="952" t="s">
        <v>436</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442</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174"/>
      <c r="N15" s="1175"/>
      <c r="O15" s="1175"/>
      <c r="P15" s="173" t="s">
        <v>449</v>
      </c>
      <c r="Q15" s="1174"/>
      <c r="R15" s="1175"/>
      <c r="S15" s="117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174"/>
      <c r="N16" s="1175"/>
      <c r="O16" s="1175"/>
      <c r="P16" s="173" t="s">
        <v>449</v>
      </c>
      <c r="Q16" s="1174"/>
      <c r="R16" s="1175"/>
      <c r="S16" s="117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173" t="s">
        <v>449</v>
      </c>
      <c r="Q17" s="1169">
        <f>SUM(Q15:S16)</f>
        <v>0</v>
      </c>
      <c r="R17" s="1170"/>
      <c r="S17" s="1170"/>
      <c r="T17" s="175" t="s">
        <v>449</v>
      </c>
      <c r="U17" s="176" t="s">
        <v>454</v>
      </c>
      <c r="V17" s="1170">
        <f>SUM(V15:X16)</f>
        <v>0</v>
      </c>
      <c r="W17" s="1170"/>
      <c r="X17" s="1170"/>
      <c r="Y17" s="39" t="s">
        <v>451</v>
      </c>
    </row>
    <row r="18" spans="1:25" ht="12" customHeight="1">
      <c r="B18" s="101" t="s">
        <v>455</v>
      </c>
      <c r="C18" s="120"/>
      <c r="D18" s="120"/>
      <c r="E18" s="120"/>
      <c r="F18" s="120"/>
      <c r="G18" s="120"/>
      <c r="H18" s="120"/>
      <c r="I18" s="120"/>
      <c r="J18" s="120"/>
      <c r="K18" s="120"/>
      <c r="L18" s="120"/>
      <c r="M18" s="120"/>
      <c r="N18" s="76"/>
      <c r="O18" s="76"/>
      <c r="P18" s="76"/>
      <c r="Q18" s="76"/>
      <c r="R18" s="76"/>
      <c r="S18" s="76"/>
      <c r="T18" s="76"/>
      <c r="U18" s="76"/>
      <c r="V18" s="76"/>
      <c r="W18" s="76"/>
      <c r="X18" s="76"/>
      <c r="Y18" s="76"/>
    </row>
    <row r="19" spans="1:25" ht="12" customHeight="1">
      <c r="B19" s="1450" t="s">
        <v>456</v>
      </c>
      <c r="C19" s="1451"/>
      <c r="D19" s="1451"/>
      <c r="E19" s="1451"/>
      <c r="F19" s="1451"/>
      <c r="G19" s="1451"/>
      <c r="H19" s="1451"/>
      <c r="I19" s="1451"/>
      <c r="J19" s="1451"/>
      <c r="K19" s="1451"/>
      <c r="L19" s="1451"/>
      <c r="M19" s="1451"/>
      <c r="N19" s="1451"/>
      <c r="O19" s="1451"/>
      <c r="P19" s="1451"/>
      <c r="Q19" s="1451"/>
      <c r="R19" s="1451"/>
      <c r="S19" s="1451"/>
      <c r="T19" s="1451"/>
      <c r="U19" s="1451"/>
      <c r="V19" s="1451"/>
      <c r="W19" s="1451"/>
      <c r="X19" s="1451"/>
      <c r="Y19" s="1451"/>
    </row>
    <row r="20" spans="1:25" ht="12" customHeight="1">
      <c r="C20" s="101" t="s">
        <v>457</v>
      </c>
    </row>
    <row r="21" spans="1:25" ht="9" customHeight="1"/>
    <row r="22" spans="1:25" ht="15" customHeight="1">
      <c r="A22" s="1" t="s">
        <v>458</v>
      </c>
    </row>
    <row r="23" spans="1:25" ht="15" customHeight="1">
      <c r="B23" s="1" t="s">
        <v>459</v>
      </c>
    </row>
    <row r="24" spans="1:25" ht="15" customHeight="1">
      <c r="B24" s="102" t="s">
        <v>460</v>
      </c>
      <c r="C24" s="103"/>
      <c r="D24" s="103"/>
      <c r="E24" s="103"/>
      <c r="F24" s="103"/>
      <c r="G24" s="103"/>
      <c r="H24" s="103"/>
      <c r="I24" s="104"/>
      <c r="J24" s="1171">
        <f>M17</f>
        <v>0</v>
      </c>
      <c r="K24" s="1172"/>
      <c r="L24" s="1172"/>
      <c r="M24" s="1172"/>
      <c r="N24" s="71" t="s">
        <v>451</v>
      </c>
      <c r="O24" s="102" t="s">
        <v>461</v>
      </c>
      <c r="P24" s="67"/>
      <c r="Q24" s="67"/>
      <c r="R24" s="71"/>
      <c r="S24" s="122" t="s">
        <v>462</v>
      </c>
      <c r="T24" s="1173">
        <f>ROUND(J24/12,3)</f>
        <v>0</v>
      </c>
      <c r="U24" s="1173"/>
      <c r="V24" s="1173"/>
      <c r="W24" s="1173"/>
      <c r="X24" s="1173"/>
      <c r="Y24" s="71" t="s">
        <v>451</v>
      </c>
    </row>
    <row r="25" spans="1:25" ht="15" customHeight="1">
      <c r="B25" s="102" t="s">
        <v>463</v>
      </c>
      <c r="C25" s="103"/>
      <c r="D25" s="103"/>
      <c r="E25" s="103"/>
      <c r="F25" s="103"/>
      <c r="G25" s="103"/>
      <c r="H25" s="103"/>
      <c r="I25" s="104"/>
      <c r="J25" s="1171">
        <f>Q17</f>
        <v>0</v>
      </c>
      <c r="K25" s="1172"/>
      <c r="L25" s="1172"/>
      <c r="M25" s="1172"/>
      <c r="N25" s="71" t="s">
        <v>451</v>
      </c>
      <c r="O25" s="102" t="s">
        <v>461</v>
      </c>
      <c r="P25" s="67"/>
      <c r="Q25" s="67"/>
      <c r="R25" s="71"/>
      <c r="S25" s="122" t="s">
        <v>464</v>
      </c>
      <c r="T25" s="1173">
        <f>ROUND(J25/12,3)</f>
        <v>0</v>
      </c>
      <c r="U25" s="1173"/>
      <c r="V25" s="1173"/>
      <c r="W25" s="1173"/>
      <c r="X25" s="1173"/>
      <c r="Y25" s="71" t="s">
        <v>451</v>
      </c>
    </row>
    <row r="26" spans="1:25" ht="15" customHeight="1">
      <c r="B26" s="107"/>
      <c r="C26" s="107"/>
      <c r="D26" s="107"/>
      <c r="E26" s="107"/>
      <c r="F26" s="108"/>
      <c r="G26" s="108"/>
      <c r="H26" s="76"/>
      <c r="I26" s="107"/>
      <c r="J26" s="107"/>
      <c r="K26" s="107"/>
      <c r="L26" s="107"/>
      <c r="M26" s="102"/>
      <c r="N26" s="67"/>
      <c r="O26" s="67"/>
      <c r="P26" s="67" t="s">
        <v>447</v>
      </c>
      <c r="Q26" s="157"/>
      <c r="R26" s="65"/>
      <c r="S26" s="157"/>
      <c r="T26" s="177"/>
      <c r="U26" s="1184">
        <f>SUM(T24:X25)</f>
        <v>0</v>
      </c>
      <c r="V26" s="1452"/>
      <c r="W26" s="1452"/>
      <c r="X26" s="1452"/>
      <c r="Y26" s="71" t="s">
        <v>451</v>
      </c>
    </row>
    <row r="27" spans="1:25" ht="15" customHeight="1">
      <c r="B27" s="35"/>
      <c r="C27" s="35"/>
      <c r="D27" s="35"/>
      <c r="E27" s="35"/>
      <c r="F27" s="110"/>
      <c r="G27" s="110"/>
      <c r="I27" s="35"/>
      <c r="J27" s="35"/>
      <c r="K27" s="35"/>
      <c r="L27" s="35"/>
      <c r="M27" s="102" t="s">
        <v>465</v>
      </c>
      <c r="N27" s="67"/>
      <c r="O27" s="67"/>
      <c r="P27" s="67"/>
      <c r="Q27" s="157"/>
      <c r="R27" s="65"/>
      <c r="S27" s="157"/>
      <c r="T27" s="122" t="s">
        <v>466</v>
      </c>
      <c r="U27" s="1185">
        <f>ROUND(IF(T24=0,IF(J25=0,0,T25),IF(J25=0,T24,(T24+T25)/2)),0)</f>
        <v>0</v>
      </c>
      <c r="V27" s="1453"/>
      <c r="W27" s="1453"/>
      <c r="X27" s="1453"/>
      <c r="Y27" s="71" t="s">
        <v>449</v>
      </c>
    </row>
    <row r="28" spans="1:25" ht="9" customHeight="1"/>
    <row r="29" spans="1:25" ht="15" customHeight="1">
      <c r="B29" s="1" t="s">
        <v>467</v>
      </c>
      <c r="T29" s="35"/>
    </row>
    <row r="30" spans="1:25" ht="15" customHeight="1">
      <c r="B30" s="102" t="s">
        <v>460</v>
      </c>
      <c r="C30" s="103"/>
      <c r="D30" s="103"/>
      <c r="E30" s="103"/>
      <c r="F30" s="103"/>
      <c r="G30" s="103"/>
      <c r="H30" s="103"/>
      <c r="I30" s="104"/>
      <c r="J30" s="1454">
        <f>M15</f>
        <v>0</v>
      </c>
      <c r="K30" s="1453"/>
      <c r="L30" s="1453"/>
      <c r="M30" s="1453"/>
      <c r="N30" s="71" t="s">
        <v>451</v>
      </c>
      <c r="O30" s="102" t="s">
        <v>461</v>
      </c>
      <c r="P30" s="67"/>
      <c r="Q30" s="67"/>
      <c r="R30" s="71"/>
      <c r="S30" s="122" t="s">
        <v>468</v>
      </c>
      <c r="T30" s="1173">
        <f>ROUND(J30/12,3)</f>
        <v>0</v>
      </c>
      <c r="U30" s="1173"/>
      <c r="V30" s="1173"/>
      <c r="W30" s="1173"/>
      <c r="X30" s="1173"/>
      <c r="Y30" s="71" t="s">
        <v>451</v>
      </c>
    </row>
    <row r="31" spans="1:25" ht="15" customHeight="1">
      <c r="B31" s="102" t="s">
        <v>463</v>
      </c>
      <c r="C31" s="103"/>
      <c r="D31" s="103"/>
      <c r="E31" s="103"/>
      <c r="F31" s="103"/>
      <c r="G31" s="103"/>
      <c r="H31" s="103"/>
      <c r="I31" s="104"/>
      <c r="J31" s="1454">
        <f>Q15</f>
        <v>0</v>
      </c>
      <c r="K31" s="1453"/>
      <c r="L31" s="1453"/>
      <c r="M31" s="1453"/>
      <c r="N31" s="71" t="s">
        <v>451</v>
      </c>
      <c r="O31" s="102" t="s">
        <v>461</v>
      </c>
      <c r="P31" s="67"/>
      <c r="Q31" s="67"/>
      <c r="R31" s="71"/>
      <c r="S31" s="122" t="s">
        <v>469</v>
      </c>
      <c r="T31" s="1173">
        <f>ROUND(J31/12,3)</f>
        <v>0</v>
      </c>
      <c r="U31" s="1173"/>
      <c r="V31" s="1173"/>
      <c r="W31" s="1173"/>
      <c r="X31" s="1173"/>
      <c r="Y31" s="71" t="s">
        <v>451</v>
      </c>
    </row>
    <row r="32" spans="1:25" ht="12" customHeight="1">
      <c r="B32" s="1176" t="s">
        <v>470</v>
      </c>
      <c r="C32" s="1176"/>
      <c r="D32" s="1176"/>
      <c r="E32" s="1176"/>
      <c r="F32" s="1176"/>
      <c r="G32" s="1176"/>
      <c r="H32" s="1176"/>
      <c r="I32" s="1176"/>
      <c r="J32" s="1176"/>
      <c r="K32" s="1176"/>
      <c r="L32" s="1176"/>
      <c r="M32" s="1176"/>
      <c r="N32" s="1176"/>
      <c r="O32" s="1176"/>
      <c r="P32" s="1176"/>
      <c r="Q32" s="1176"/>
      <c r="R32" s="1176"/>
      <c r="S32" s="1176"/>
      <c r="T32" s="1176"/>
      <c r="U32" s="1176"/>
      <c r="V32" s="1176"/>
      <c r="W32" s="1176"/>
      <c r="X32" s="1176"/>
      <c r="Y32" s="1176"/>
    </row>
    <row r="33" spans="1:25" ht="12" customHeight="1">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row>
    <row r="34" spans="1:25" ht="12" customHeight="1">
      <c r="B34" s="1178" t="s">
        <v>471</v>
      </c>
      <c r="C34" s="1178"/>
      <c r="D34" s="1178"/>
      <c r="E34" s="1178"/>
      <c r="F34" s="1178"/>
      <c r="G34" s="1178"/>
      <c r="H34" s="1178"/>
      <c r="I34" s="1178"/>
      <c r="J34" s="1178"/>
      <c r="K34" s="1178"/>
      <c r="L34" s="1178"/>
      <c r="M34" s="1178"/>
      <c r="N34" s="1178"/>
      <c r="O34" s="1178"/>
      <c r="P34" s="1178"/>
      <c r="Q34" s="1178"/>
      <c r="R34" s="1178"/>
      <c r="S34" s="1178"/>
      <c r="T34" s="1178"/>
      <c r="U34" s="1178"/>
      <c r="V34" s="1178"/>
      <c r="W34" s="1178"/>
      <c r="X34" s="1178"/>
      <c r="Y34" s="1178"/>
    </row>
    <row r="35" spans="1:25" ht="12" customHeight="1">
      <c r="B35" s="1179"/>
      <c r="C35" s="1179"/>
      <c r="D35" s="1179"/>
      <c r="E35" s="1179"/>
      <c r="F35" s="1179"/>
      <c r="G35" s="1179"/>
      <c r="H35" s="1179"/>
      <c r="I35" s="1179"/>
      <c r="J35" s="1179"/>
      <c r="K35" s="1179"/>
      <c r="L35" s="1179"/>
      <c r="M35" s="1179"/>
      <c r="N35" s="1179"/>
      <c r="O35" s="1179"/>
      <c r="P35" s="1179"/>
      <c r="Q35" s="1179"/>
      <c r="R35" s="1179"/>
      <c r="S35" s="1179"/>
      <c r="T35" s="1179"/>
      <c r="U35" s="1179"/>
      <c r="V35" s="1179"/>
      <c r="W35" s="1179"/>
      <c r="X35" s="1179"/>
      <c r="Y35" s="1179"/>
    </row>
    <row r="36" spans="1:25" ht="9" customHeight="1">
      <c r="A36" s="101"/>
    </row>
    <row r="37" spans="1:25" ht="15" customHeight="1">
      <c r="A37" s="1" t="s">
        <v>472</v>
      </c>
    </row>
    <row r="38" spans="1:25" ht="15" customHeight="1">
      <c r="B38" s="102" t="s">
        <v>473</v>
      </c>
      <c r="C38" s="103"/>
      <c r="D38" s="103"/>
      <c r="E38" s="103"/>
      <c r="F38" s="103"/>
      <c r="G38" s="103"/>
      <c r="H38" s="103"/>
      <c r="I38" s="104"/>
      <c r="J38" s="1180"/>
      <c r="K38" s="1181"/>
      <c r="L38" s="1181"/>
      <c r="M38" s="1181"/>
      <c r="N38" s="71" t="s">
        <v>451</v>
      </c>
      <c r="O38" s="105" t="s">
        <v>474</v>
      </c>
      <c r="P38" s="67"/>
      <c r="Q38" s="67"/>
      <c r="R38" s="67"/>
      <c r="S38" s="158"/>
      <c r="T38" s="106"/>
      <c r="U38" s="1182"/>
      <c r="V38" s="1183"/>
      <c r="W38" s="1183"/>
      <c r="X38" s="1183"/>
      <c r="Y38" s="71" t="s">
        <v>451</v>
      </c>
    </row>
    <row r="39" spans="1:25" ht="15" customHeight="1">
      <c r="B39" s="102" t="s">
        <v>475</v>
      </c>
      <c r="C39" s="103"/>
      <c r="D39" s="103"/>
      <c r="E39" s="103"/>
      <c r="F39" s="103"/>
      <c r="G39" s="103"/>
      <c r="H39" s="103"/>
      <c r="I39" s="104"/>
      <c r="J39" s="1180"/>
      <c r="K39" s="1181"/>
      <c r="L39" s="1181"/>
      <c r="M39" s="1181"/>
      <c r="N39" s="71" t="s">
        <v>451</v>
      </c>
      <c r="O39" s="105" t="s">
        <v>476</v>
      </c>
      <c r="P39" s="67"/>
      <c r="Q39" s="67"/>
      <c r="R39" s="67"/>
      <c r="S39" s="158"/>
      <c r="T39" s="106"/>
      <c r="U39" s="1182"/>
      <c r="V39" s="1183"/>
      <c r="W39" s="1183"/>
      <c r="X39" s="1183"/>
      <c r="Y39" s="71" t="s">
        <v>451</v>
      </c>
    </row>
    <row r="40" spans="1:25" ht="15" customHeight="1">
      <c r="B40" s="107"/>
      <c r="C40" s="107"/>
      <c r="D40" s="107"/>
      <c r="E40" s="107"/>
      <c r="F40" s="108"/>
      <c r="G40" s="108"/>
      <c r="H40" s="76"/>
      <c r="I40" s="107"/>
      <c r="J40" s="107"/>
      <c r="K40" s="107"/>
      <c r="L40" s="107"/>
      <c r="M40" s="102"/>
      <c r="N40" s="67"/>
      <c r="O40" s="67"/>
      <c r="P40" s="67" t="s">
        <v>447</v>
      </c>
      <c r="Q40" s="157"/>
      <c r="R40" s="65"/>
      <c r="S40" s="157"/>
      <c r="T40" s="109"/>
      <c r="U40" s="1194">
        <f>SUM(U38:X39)</f>
        <v>0</v>
      </c>
      <c r="V40" s="1455"/>
      <c r="W40" s="1455"/>
      <c r="X40" s="1455"/>
      <c r="Y40" s="71" t="s">
        <v>451</v>
      </c>
    </row>
    <row r="41" spans="1:25" ht="15" customHeight="1">
      <c r="B41" s="35"/>
      <c r="C41" s="35"/>
      <c r="D41" s="35"/>
      <c r="E41" s="35"/>
      <c r="F41" s="110"/>
      <c r="G41" s="110"/>
      <c r="I41" s="35"/>
      <c r="J41" s="35"/>
      <c r="K41" s="35"/>
      <c r="L41" s="35"/>
      <c r="M41" s="111" t="s">
        <v>477</v>
      </c>
      <c r="N41" s="67"/>
      <c r="O41" s="67"/>
      <c r="P41" s="67"/>
      <c r="Q41" s="157"/>
      <c r="R41" s="65"/>
      <c r="S41" s="157"/>
      <c r="T41" s="158"/>
      <c r="U41" s="1195" t="e">
        <f>ROUNDDOWN(U40/(J38+J39),3)</f>
        <v>#DIV/0!</v>
      </c>
      <c r="V41" s="1456"/>
      <c r="W41" s="1456"/>
      <c r="X41" s="1456"/>
      <c r="Y41" s="71"/>
    </row>
    <row r="42" spans="1:25" ht="6" customHeight="1">
      <c r="B42" s="35"/>
      <c r="C42" s="35"/>
      <c r="D42" s="35"/>
      <c r="E42" s="35"/>
      <c r="F42" s="110"/>
      <c r="G42" s="110"/>
      <c r="I42" s="35"/>
      <c r="J42" s="35"/>
      <c r="K42" s="35"/>
      <c r="L42" s="35"/>
      <c r="M42" s="18"/>
      <c r="Q42" s="35"/>
      <c r="R42" s="155"/>
      <c r="S42" s="35"/>
      <c r="T42" s="35"/>
      <c r="U42" s="112"/>
      <c r="V42" s="113"/>
      <c r="W42" s="113"/>
      <c r="X42" s="113"/>
    </row>
    <row r="43" spans="1:25" ht="12" customHeight="1">
      <c r="B43" s="1196" t="s">
        <v>478</v>
      </c>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row>
    <row r="44" spans="1:25" ht="12" customHeigh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row>
    <row r="45" spans="1:25" ht="15" customHeight="1">
      <c r="A45" s="1" t="s">
        <v>479</v>
      </c>
    </row>
    <row r="46" spans="1:25" ht="15" customHeight="1">
      <c r="B46" s="1158" t="s">
        <v>443</v>
      </c>
      <c r="C46" s="1159"/>
      <c r="D46" s="1159"/>
      <c r="E46" s="1159"/>
      <c r="F46" s="1159"/>
      <c r="G46" s="1159"/>
      <c r="H46" s="1159"/>
      <c r="I46" s="1159"/>
      <c r="J46" s="1159"/>
      <c r="K46" s="1159"/>
      <c r="L46" s="1160"/>
      <c r="M46" s="1164" t="s">
        <v>444</v>
      </c>
      <c r="N46" s="1165"/>
      <c r="O46" s="1165"/>
      <c r="P46" s="1165"/>
      <c r="Q46" s="1165"/>
      <c r="R46" s="1165"/>
      <c r="S46" s="1165"/>
      <c r="T46" s="1165"/>
      <c r="U46" s="1165"/>
      <c r="V46" s="1165"/>
      <c r="W46" s="1165"/>
      <c r="X46" s="1165"/>
      <c r="Y46" s="1166"/>
    </row>
    <row r="47" spans="1:25" ht="15" customHeight="1">
      <c r="B47" s="1161"/>
      <c r="C47" s="1162"/>
      <c r="D47" s="1162"/>
      <c r="E47" s="1162"/>
      <c r="F47" s="1162"/>
      <c r="G47" s="1162"/>
      <c r="H47" s="1162"/>
      <c r="I47" s="1162"/>
      <c r="J47" s="1162"/>
      <c r="K47" s="1162"/>
      <c r="L47" s="1163"/>
      <c r="M47" s="1164" t="s">
        <v>445</v>
      </c>
      <c r="N47" s="1165"/>
      <c r="O47" s="1165"/>
      <c r="P47" s="1166"/>
      <c r="Q47" s="1164" t="s">
        <v>446</v>
      </c>
      <c r="R47" s="1165"/>
      <c r="S47" s="1165"/>
      <c r="T47" s="1166"/>
      <c r="U47" s="1164" t="s">
        <v>447</v>
      </c>
      <c r="V47" s="1165"/>
      <c r="W47" s="1165"/>
      <c r="X47" s="1165"/>
      <c r="Y47" s="1166"/>
    </row>
    <row r="48" spans="1:25" ht="15" customHeight="1">
      <c r="B48" s="75" t="s">
        <v>448</v>
      </c>
      <c r="C48" s="76"/>
      <c r="D48" s="76"/>
      <c r="E48" s="76"/>
      <c r="F48" s="76"/>
      <c r="G48" s="76"/>
      <c r="H48" s="76"/>
      <c r="I48" s="76"/>
      <c r="J48" s="76"/>
      <c r="K48" s="76"/>
      <c r="L48" s="76"/>
      <c r="M48" s="1186">
        <f>M15</f>
        <v>0</v>
      </c>
      <c r="N48" s="1187"/>
      <c r="O48" s="1187"/>
      <c r="P48" s="114" t="s">
        <v>449</v>
      </c>
      <c r="Q48" s="1186">
        <f>Q15</f>
        <v>0</v>
      </c>
      <c r="R48" s="1187"/>
      <c r="S48" s="1187"/>
      <c r="T48" s="115" t="s">
        <v>449</v>
      </c>
      <c r="U48" s="116" t="s">
        <v>450</v>
      </c>
      <c r="V48" s="1187">
        <f>V15</f>
        <v>0</v>
      </c>
      <c r="W48" s="1187"/>
      <c r="X48" s="1187"/>
      <c r="Y48" s="115" t="s">
        <v>451</v>
      </c>
    </row>
    <row r="49" spans="1:25" ht="15" customHeight="1">
      <c r="B49" s="1188" t="s">
        <v>480</v>
      </c>
      <c r="C49" s="1189"/>
      <c r="D49" s="1189"/>
      <c r="E49" s="1189"/>
      <c r="F49" s="1189"/>
      <c r="G49" s="1189"/>
      <c r="H49" s="1189"/>
      <c r="I49" s="1189"/>
      <c r="J49" s="1189"/>
      <c r="K49" s="1189"/>
      <c r="L49" s="1190"/>
      <c r="M49" s="1191"/>
      <c r="N49" s="1192"/>
      <c r="O49" s="1192"/>
      <c r="P49" s="117" t="s">
        <v>449</v>
      </c>
      <c r="Q49" s="1191"/>
      <c r="R49" s="1192"/>
      <c r="S49" s="1192"/>
      <c r="T49" s="118" t="s">
        <v>449</v>
      </c>
      <c r="U49" s="119" t="s">
        <v>481</v>
      </c>
      <c r="V49" s="1193">
        <f>M49+Q49</f>
        <v>0</v>
      </c>
      <c r="W49" s="1193"/>
      <c r="X49" s="1193"/>
      <c r="Y49" s="118" t="s">
        <v>449</v>
      </c>
    </row>
    <row r="50" spans="1:25" ht="12" customHeight="1">
      <c r="B50" s="101" t="s">
        <v>455</v>
      </c>
      <c r="C50" s="120"/>
      <c r="D50" s="120"/>
      <c r="E50" s="120"/>
      <c r="F50" s="120"/>
      <c r="G50" s="120"/>
      <c r="H50" s="120"/>
      <c r="I50" s="120"/>
      <c r="J50" s="120"/>
      <c r="K50" s="120"/>
      <c r="L50" s="120"/>
      <c r="M50" s="120"/>
      <c r="N50" s="76"/>
      <c r="O50" s="76"/>
      <c r="P50" s="76"/>
      <c r="Q50" s="76"/>
      <c r="R50" s="76"/>
      <c r="S50" s="76"/>
      <c r="T50" s="76"/>
      <c r="U50" s="76"/>
      <c r="V50" s="76"/>
      <c r="W50" s="76"/>
      <c r="X50" s="76"/>
      <c r="Y50" s="76"/>
    </row>
    <row r="51" spans="1:25" ht="12" customHeight="1">
      <c r="B51" s="1450" t="s">
        <v>456</v>
      </c>
      <c r="C51" s="1451"/>
      <c r="D51" s="1451"/>
      <c r="E51" s="1451"/>
      <c r="F51" s="1451"/>
      <c r="G51" s="1451"/>
      <c r="H51" s="1451"/>
      <c r="I51" s="1451"/>
      <c r="J51" s="1451"/>
      <c r="K51" s="1451"/>
      <c r="L51" s="1451"/>
      <c r="M51" s="1451"/>
      <c r="N51" s="1451"/>
      <c r="O51" s="1451"/>
      <c r="P51" s="1451"/>
      <c r="Q51" s="1451"/>
      <c r="R51" s="1451"/>
      <c r="S51" s="1451"/>
      <c r="T51" s="1451"/>
      <c r="U51" s="1451"/>
      <c r="V51" s="1451"/>
      <c r="W51" s="1451"/>
      <c r="X51" s="1451"/>
      <c r="Y51" s="1451"/>
    </row>
    <row r="52" spans="1:25" ht="12" customHeight="1">
      <c r="C52" s="101" t="s">
        <v>457</v>
      </c>
    </row>
    <row r="53" spans="1:25" ht="12" customHeight="1">
      <c r="C53" s="101"/>
    </row>
    <row r="54" spans="1:25" ht="15" customHeight="1">
      <c r="A54" s="1" t="s">
        <v>482</v>
      </c>
    </row>
    <row r="55" spans="1:25" ht="15" customHeight="1">
      <c r="P55" s="121"/>
      <c r="Q55" s="1197" t="s">
        <v>483</v>
      </c>
      <c r="R55" s="1198"/>
      <c r="S55" s="1199"/>
      <c r="T55" s="122" t="s">
        <v>484</v>
      </c>
      <c r="U55" s="1457"/>
      <c r="V55" s="1457"/>
      <c r="W55" s="1457"/>
      <c r="X55" s="1457"/>
      <c r="Y55" s="71" t="s">
        <v>485</v>
      </c>
    </row>
    <row r="56" spans="1:25" ht="15" customHeight="1">
      <c r="Q56" s="35"/>
      <c r="R56" s="35"/>
      <c r="S56" s="35"/>
      <c r="T56" s="35"/>
    </row>
    <row r="57" spans="1:25" ht="15" customHeight="1">
      <c r="A57" s="1" t="s">
        <v>486</v>
      </c>
      <c r="V57" s="1200" t="s">
        <v>487</v>
      </c>
      <c r="W57" s="1200"/>
      <c r="X57" s="1200" t="s">
        <v>488</v>
      </c>
      <c r="Y57" s="1200"/>
    </row>
    <row r="58" spans="1:25" ht="15" customHeight="1">
      <c r="V58" s="1200"/>
      <c r="W58" s="1200"/>
      <c r="X58" s="1200"/>
      <c r="Y58" s="1200"/>
    </row>
    <row r="59" spans="1:25"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25"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25"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25"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25" ht="15" customHeight="1">
      <c r="Q63" s="35"/>
      <c r="R63" s="35"/>
      <c r="S63" s="35"/>
      <c r="T63" s="35"/>
    </row>
    <row r="64" spans="1:25" ht="12" customHeight="1">
      <c r="B64" s="178"/>
      <c r="N64" s="44"/>
      <c r="O64" s="44"/>
      <c r="P64" s="44"/>
      <c r="Q64" s="179"/>
      <c r="R64" s="35"/>
      <c r="S64" s="35"/>
      <c r="T64" s="34"/>
    </row>
    <row r="65" spans="1:40" ht="24.95" customHeight="1">
      <c r="A65" s="1207" t="s">
        <v>493</v>
      </c>
      <c r="B65" s="1207"/>
      <c r="C65" s="1207"/>
      <c r="D65" s="1207"/>
      <c r="E65" s="1207"/>
      <c r="F65" s="1207"/>
      <c r="G65" s="1207"/>
      <c r="H65" s="1207"/>
      <c r="I65" s="1207"/>
      <c r="J65" s="1207"/>
      <c r="K65" s="1207"/>
      <c r="L65" s="1207"/>
      <c r="M65" s="1207"/>
      <c r="N65" s="1012" t="s">
        <v>494</v>
      </c>
      <c r="O65" s="970"/>
      <c r="P65" s="1210" t="s">
        <v>495</v>
      </c>
      <c r="Q65" s="1211"/>
      <c r="R65" s="1211"/>
      <c r="S65" s="1212"/>
      <c r="T65" s="174" t="s">
        <v>496</v>
      </c>
      <c r="U65" s="1458"/>
      <c r="V65" s="1459"/>
      <c r="W65" s="1459"/>
      <c r="X65" s="1460"/>
      <c r="Y65" s="71" t="s">
        <v>497</v>
      </c>
    </row>
    <row r="66" spans="1:40" ht="24.95" customHeight="1">
      <c r="A66" s="1207"/>
      <c r="B66" s="1207"/>
      <c r="C66" s="1207"/>
      <c r="D66" s="1207"/>
      <c r="E66" s="1207"/>
      <c r="F66" s="1207"/>
      <c r="G66" s="1207"/>
      <c r="H66" s="1207"/>
      <c r="I66" s="1207"/>
      <c r="J66" s="1207"/>
      <c r="K66" s="1207"/>
      <c r="L66" s="1207"/>
      <c r="M66" s="1207"/>
      <c r="N66" s="1214"/>
      <c r="O66" s="1215"/>
      <c r="P66" s="1210" t="s">
        <v>498</v>
      </c>
      <c r="Q66" s="1211"/>
      <c r="R66" s="1211"/>
      <c r="S66" s="1212"/>
      <c r="T66" s="174" t="s">
        <v>499</v>
      </c>
      <c r="U66" s="1458"/>
      <c r="V66" s="1459"/>
      <c r="W66" s="1459"/>
      <c r="X66" s="1460"/>
      <c r="Y66" s="71" t="s">
        <v>485</v>
      </c>
      <c r="AM66" s="180"/>
      <c r="AN66" s="180"/>
    </row>
    <row r="67" spans="1:40" ht="24.95" customHeight="1">
      <c r="A67" s="1207" t="s">
        <v>500</v>
      </c>
      <c r="B67" s="1207"/>
      <c r="C67" s="1207"/>
      <c r="D67" s="1207"/>
      <c r="E67" s="1207"/>
      <c r="F67" s="1207"/>
      <c r="G67" s="1207"/>
      <c r="H67" s="1207"/>
      <c r="I67" s="1207"/>
      <c r="J67" s="1207"/>
      <c r="K67" s="1207"/>
      <c r="L67" s="1207"/>
      <c r="M67" s="1207"/>
      <c r="N67" s="1208" t="s">
        <v>501</v>
      </c>
      <c r="O67" s="1209"/>
      <c r="P67" s="1210" t="s">
        <v>495</v>
      </c>
      <c r="Q67" s="1211"/>
      <c r="R67" s="1211"/>
      <c r="S67" s="1212"/>
      <c r="T67" s="174" t="s">
        <v>502</v>
      </c>
      <c r="U67" s="1458"/>
      <c r="V67" s="1459"/>
      <c r="W67" s="1459"/>
      <c r="X67" s="1460"/>
      <c r="Y67" s="71" t="s">
        <v>497</v>
      </c>
      <c r="AM67" s="180">
        <v>1</v>
      </c>
      <c r="AN67" s="180">
        <v>2</v>
      </c>
    </row>
    <row r="68" spans="1:40" ht="24.95" customHeight="1">
      <c r="A68" s="1207"/>
      <c r="B68" s="1207"/>
      <c r="C68" s="1207"/>
      <c r="D68" s="1207"/>
      <c r="E68" s="1207"/>
      <c r="F68" s="1207"/>
      <c r="G68" s="1207"/>
      <c r="H68" s="1207"/>
      <c r="I68" s="1207"/>
      <c r="J68" s="1207"/>
      <c r="K68" s="1207"/>
      <c r="L68" s="1207"/>
      <c r="M68" s="1207"/>
      <c r="N68" s="1013"/>
      <c r="O68" s="971"/>
      <c r="P68" s="1210" t="s">
        <v>498</v>
      </c>
      <c r="Q68" s="1211"/>
      <c r="R68" s="1211"/>
      <c r="S68" s="1212"/>
      <c r="T68" s="174" t="s">
        <v>503</v>
      </c>
      <c r="U68" s="1458"/>
      <c r="V68" s="1459"/>
      <c r="W68" s="1459"/>
      <c r="X68" s="1460"/>
      <c r="Y68" s="71" t="s">
        <v>485</v>
      </c>
      <c r="AM68" s="180">
        <v>2</v>
      </c>
      <c r="AN68" s="180">
        <v>3</v>
      </c>
    </row>
    <row r="69" spans="1:40" ht="13.5" customHeight="1">
      <c r="A69" s="74"/>
      <c r="B69" s="74"/>
      <c r="C69" s="74"/>
      <c r="D69" s="74"/>
      <c r="E69" s="74"/>
      <c r="F69" s="74"/>
      <c r="G69" s="74"/>
      <c r="H69" s="74"/>
      <c r="I69" s="74"/>
      <c r="J69" s="74"/>
      <c r="K69" s="74"/>
      <c r="L69" s="74"/>
      <c r="M69" s="74"/>
      <c r="N69" s="179"/>
      <c r="O69" s="179"/>
      <c r="P69" s="179"/>
      <c r="Q69" s="179"/>
      <c r="R69" s="179"/>
      <c r="S69" s="179"/>
      <c r="T69" s="34"/>
      <c r="AM69" s="180">
        <v>3</v>
      </c>
    </row>
    <row r="70" spans="1:40" ht="24.95" customHeight="1">
      <c r="A70" s="1207" t="s">
        <v>504</v>
      </c>
      <c r="B70" s="1207"/>
      <c r="C70" s="1207"/>
      <c r="D70" s="1207"/>
      <c r="E70" s="1207"/>
      <c r="F70" s="1207"/>
      <c r="G70" s="1207"/>
      <c r="H70" s="1207"/>
      <c r="I70" s="1207"/>
      <c r="J70" s="1207"/>
      <c r="K70" s="1207"/>
      <c r="L70" s="1207"/>
      <c r="M70" s="1207"/>
      <c r="N70" s="1222" t="s">
        <v>494</v>
      </c>
      <c r="O70" s="1223"/>
      <c r="P70" s="1226" t="s">
        <v>495</v>
      </c>
      <c r="Q70" s="1227"/>
      <c r="R70" s="1227"/>
      <c r="S70" s="1228"/>
      <c r="T70" s="181" t="s">
        <v>505</v>
      </c>
      <c r="U70" s="1461"/>
      <c r="V70" s="1462"/>
      <c r="W70" s="1462"/>
      <c r="X70" s="1463"/>
      <c r="Y70" s="182" t="s">
        <v>497</v>
      </c>
      <c r="AM70" s="180">
        <v>4</v>
      </c>
    </row>
    <row r="71" spans="1:40" ht="24.95" customHeight="1">
      <c r="A71" s="1207"/>
      <c r="B71" s="1207"/>
      <c r="C71" s="1207"/>
      <c r="D71" s="1207"/>
      <c r="E71" s="1207"/>
      <c r="F71" s="1207"/>
      <c r="G71" s="1207"/>
      <c r="H71" s="1207"/>
      <c r="I71" s="1207"/>
      <c r="J71" s="1207"/>
      <c r="K71" s="1207"/>
      <c r="L71" s="1207"/>
      <c r="M71" s="1207"/>
      <c r="N71" s="1224"/>
      <c r="O71" s="1225"/>
      <c r="P71" s="1210" t="s">
        <v>498</v>
      </c>
      <c r="Q71" s="1211"/>
      <c r="R71" s="1211"/>
      <c r="S71" s="1212"/>
      <c r="T71" s="174" t="s">
        <v>506</v>
      </c>
      <c r="U71" s="1458"/>
      <c r="V71" s="1459"/>
      <c r="W71" s="1459"/>
      <c r="X71" s="1460"/>
      <c r="Y71" s="183" t="s">
        <v>485</v>
      </c>
      <c r="AM71" s="180">
        <v>5</v>
      </c>
    </row>
    <row r="72" spans="1:40" ht="24.95" customHeight="1">
      <c r="A72" s="1207" t="s">
        <v>507</v>
      </c>
      <c r="B72" s="1207"/>
      <c r="C72" s="1207"/>
      <c r="D72" s="1207"/>
      <c r="E72" s="1207"/>
      <c r="F72" s="1207"/>
      <c r="G72" s="1207"/>
      <c r="H72" s="1207"/>
      <c r="I72" s="1207"/>
      <c r="J72" s="1207"/>
      <c r="K72" s="1207"/>
      <c r="L72" s="1207"/>
      <c r="M72" s="1207"/>
      <c r="N72" s="1216" t="s">
        <v>501</v>
      </c>
      <c r="O72" s="1209"/>
      <c r="P72" s="1210" t="s">
        <v>495</v>
      </c>
      <c r="Q72" s="1211"/>
      <c r="R72" s="1211"/>
      <c r="S72" s="1212"/>
      <c r="T72" s="174" t="s">
        <v>508</v>
      </c>
      <c r="U72" s="1458"/>
      <c r="V72" s="1459"/>
      <c r="W72" s="1459"/>
      <c r="X72" s="1460"/>
      <c r="Y72" s="183" t="s">
        <v>497</v>
      </c>
    </row>
    <row r="73" spans="1:40" ht="24.95" customHeight="1">
      <c r="A73" s="1207"/>
      <c r="B73" s="1207"/>
      <c r="C73" s="1207"/>
      <c r="D73" s="1207"/>
      <c r="E73" s="1207"/>
      <c r="F73" s="1207"/>
      <c r="G73" s="1207"/>
      <c r="H73" s="1207"/>
      <c r="I73" s="1207"/>
      <c r="J73" s="1207"/>
      <c r="K73" s="1207"/>
      <c r="L73" s="1207"/>
      <c r="M73" s="1207"/>
      <c r="N73" s="1217"/>
      <c r="O73" s="1218"/>
      <c r="P73" s="1219" t="s">
        <v>498</v>
      </c>
      <c r="Q73" s="1220"/>
      <c r="R73" s="1220"/>
      <c r="S73" s="1221"/>
      <c r="T73" s="184" t="s">
        <v>509</v>
      </c>
      <c r="U73" s="1464"/>
      <c r="V73" s="1465"/>
      <c r="W73" s="1465"/>
      <c r="X73" s="1466"/>
      <c r="Y73" s="185" t="s">
        <v>485</v>
      </c>
    </row>
    <row r="74" spans="1:40" ht="15" customHeight="1">
      <c r="A74" s="1" t="s">
        <v>510</v>
      </c>
    </row>
    <row r="75" spans="1:40" ht="9" customHeight="1"/>
    <row r="76" spans="1:40" ht="8.25" customHeight="1">
      <c r="B76" s="75"/>
      <c r="C76" s="76"/>
      <c r="D76" s="76"/>
      <c r="E76" s="76"/>
      <c r="F76" s="76"/>
      <c r="G76" s="76"/>
      <c r="H76" s="76"/>
      <c r="I76" s="76"/>
      <c r="J76" s="76"/>
      <c r="K76" s="76"/>
      <c r="L76" s="76"/>
      <c r="M76" s="76"/>
      <c r="N76" s="76"/>
      <c r="O76" s="76"/>
      <c r="P76" s="76"/>
      <c r="Q76" s="76"/>
      <c r="R76" s="76"/>
      <c r="S76" s="77"/>
      <c r="T76" s="75"/>
      <c r="U76" s="76"/>
      <c r="V76" s="76"/>
      <c r="W76" s="76"/>
      <c r="X76" s="76"/>
      <c r="Y76" s="77"/>
    </row>
    <row r="77" spans="1:40" ht="15" customHeight="1">
      <c r="B77" s="2"/>
      <c r="C77" s="1" t="s">
        <v>511</v>
      </c>
      <c r="H77" s="1450" t="s">
        <v>512</v>
      </c>
      <c r="I77" s="1450"/>
      <c r="J77" s="1450"/>
      <c r="K77" s="1450"/>
      <c r="L77" s="1450"/>
      <c r="M77" s="1450"/>
      <c r="N77" s="1450"/>
      <c r="O77" s="1450"/>
      <c r="P77" s="1450"/>
      <c r="Q77" s="1450"/>
      <c r="R77" s="1450"/>
      <c r="S77" s="1450"/>
      <c r="T77" s="1450"/>
      <c r="U77" s="1450"/>
      <c r="V77" s="1450"/>
      <c r="W77" s="1450"/>
      <c r="X77" s="1450"/>
      <c r="Y77" s="1467"/>
    </row>
    <row r="78" spans="1:40" ht="15" customHeight="1">
      <c r="B78" s="2"/>
      <c r="C78" s="1" t="s">
        <v>513</v>
      </c>
      <c r="I78" s="1229" t="s">
        <v>514</v>
      </c>
      <c r="J78" s="1230"/>
      <c r="K78" s="186">
        <v>2</v>
      </c>
      <c r="L78" s="1" t="s">
        <v>515</v>
      </c>
      <c r="N78" s="186">
        <v>2</v>
      </c>
      <c r="O78" s="1" t="s">
        <v>516</v>
      </c>
      <c r="T78" s="8" t="s">
        <v>517</v>
      </c>
      <c r="U78" s="1231" t="e">
        <f>U79+U114</f>
        <v>#VALUE!</v>
      </c>
      <c r="V78" s="1231"/>
      <c r="W78" s="1231"/>
      <c r="X78" s="1231"/>
      <c r="Y78" s="9" t="s">
        <v>518</v>
      </c>
      <c r="Z78" s="187" t="str">
        <f>IF(AB80="未入力","※先に163行目の当該年度４月１日現在の１年次研修医受入数を入力してください","")</f>
        <v>※先に163行目の当該年度４月１日現在の１年次研修医受入数を入力してください</v>
      </c>
    </row>
    <row r="79" spans="1:40" ht="15" customHeight="1">
      <c r="B79" s="2" t="s">
        <v>519</v>
      </c>
      <c r="I79" s="35"/>
      <c r="J79" s="35"/>
      <c r="T79" s="8" t="s">
        <v>263</v>
      </c>
      <c r="U79" s="1231" t="e">
        <f>IF(OR(AB80="20人未満",$C$123=1),(E81*Q81)+(E83*Q83)+(E85*Q85)+(E87*Q87)+(E89*Q89)+(E92*Q92)+(E95*0.5*Q95),(E98*Q98)+(E100*Q100)+(E102*Q102)+(E104*Q104)+(E106*Q106)+(E109*Q109)+(E112*0.5*Q112))</f>
        <v>#VALUE!</v>
      </c>
      <c r="V79" s="1231"/>
      <c r="W79" s="1231"/>
      <c r="X79" s="1231"/>
      <c r="Y79" s="9" t="s">
        <v>264</v>
      </c>
    </row>
    <row r="80" spans="1:40" ht="30" customHeight="1">
      <c r="B80" s="1232" t="s">
        <v>520</v>
      </c>
      <c r="C80" s="951"/>
      <c r="D80" s="951"/>
      <c r="E80" s="951"/>
      <c r="F80" s="951"/>
      <c r="G80" s="951"/>
      <c r="H80" s="951"/>
      <c r="I80" s="951"/>
      <c r="J80" s="951"/>
      <c r="K80" s="951"/>
      <c r="L80" s="951"/>
      <c r="M80" s="951"/>
      <c r="N80" s="951"/>
      <c r="O80" s="951"/>
      <c r="P80" s="951"/>
      <c r="Q80" s="951"/>
      <c r="R80" s="951"/>
      <c r="S80" s="1233"/>
      <c r="T80" s="8"/>
      <c r="U80" s="188"/>
      <c r="V80" s="188"/>
      <c r="W80" s="188"/>
      <c r="X80" s="188"/>
      <c r="Y80" s="9"/>
      <c r="AB80" s="187" t="str">
        <f>IF(N163="","未入力",IF(N163&gt;=20,"20人以上","20人未満"))</f>
        <v>未入力</v>
      </c>
    </row>
    <row r="81" spans="2:30" ht="32.25" customHeight="1">
      <c r="B81" s="1234" t="s">
        <v>521</v>
      </c>
      <c r="C81" s="945"/>
      <c r="D81" s="34" t="s">
        <v>522</v>
      </c>
      <c r="E81" s="1235"/>
      <c r="F81" s="1236"/>
      <c r="G81" s="1236"/>
      <c r="H81" s="1" t="s">
        <v>523</v>
      </c>
      <c r="K81" s="35" t="s">
        <v>268</v>
      </c>
      <c r="M81" s="1468" t="s">
        <v>524</v>
      </c>
      <c r="N81" s="1468"/>
      <c r="O81" s="1468"/>
      <c r="P81" s="1468"/>
      <c r="Q81" s="1237" t="str">
        <f>IF(OR($AB$80="20人未満",$C$123=1),IF($K$78=1,$V$15,0)+IF($K$78=2,$V$15,0),"")</f>
        <v/>
      </c>
      <c r="R81" s="1237"/>
      <c r="S81" s="1" t="s">
        <v>451</v>
      </c>
      <c r="T81" s="8"/>
      <c r="U81" s="188"/>
      <c r="V81" s="188"/>
      <c r="W81" s="188"/>
      <c r="X81" s="188"/>
      <c r="Y81" s="9"/>
    </row>
    <row r="82" spans="2:30" ht="9" customHeight="1">
      <c r="B82" s="40"/>
      <c r="C82" s="29"/>
      <c r="D82" s="34"/>
      <c r="E82" s="45"/>
      <c r="F82" s="45"/>
      <c r="G82" s="45"/>
      <c r="K82" s="35"/>
      <c r="M82" s="36"/>
      <c r="N82" s="36"/>
      <c r="O82" s="36"/>
      <c r="P82" s="36"/>
      <c r="Q82" s="163"/>
      <c r="R82" s="163"/>
      <c r="T82" s="8"/>
      <c r="U82" s="188"/>
      <c r="V82" s="188"/>
      <c r="W82" s="188"/>
      <c r="X82" s="188"/>
      <c r="Y82" s="9"/>
    </row>
    <row r="83" spans="2:30" ht="27.75" customHeight="1">
      <c r="B83" s="1238" t="s">
        <v>525</v>
      </c>
      <c r="C83" s="945"/>
      <c r="D83" s="34" t="s">
        <v>522</v>
      </c>
      <c r="E83" s="1235"/>
      <c r="F83" s="1236"/>
      <c r="G83" s="1236"/>
      <c r="H83" s="1" t="s">
        <v>523</v>
      </c>
      <c r="K83" s="35" t="s">
        <v>268</v>
      </c>
      <c r="M83" s="1468" t="s">
        <v>524</v>
      </c>
      <c r="N83" s="1468"/>
      <c r="O83" s="1468"/>
      <c r="P83" s="1468"/>
      <c r="Q83" s="1237" t="str">
        <f>IF(OR($AB$80="20人未満",$C$123=1),IF($K$78=3,$V$15,0),"")</f>
        <v/>
      </c>
      <c r="R83" s="1237"/>
      <c r="S83" s="1" t="s">
        <v>451</v>
      </c>
      <c r="T83" s="8"/>
      <c r="U83" s="188"/>
      <c r="V83" s="188"/>
      <c r="W83" s="188"/>
      <c r="X83" s="188"/>
      <c r="Y83" s="9"/>
    </row>
    <row r="84" spans="2:30" ht="18" customHeight="1">
      <c r="B84" s="41"/>
      <c r="C84" s="42"/>
      <c r="D84" s="34"/>
      <c r="E84" s="159"/>
      <c r="F84" s="45"/>
      <c r="G84" s="45"/>
      <c r="K84" s="35"/>
      <c r="Q84" s="163"/>
      <c r="R84" s="163"/>
      <c r="T84" s="8"/>
      <c r="U84" s="188"/>
      <c r="V84" s="188"/>
      <c r="W84" s="188"/>
      <c r="X84" s="188"/>
      <c r="Y84" s="9"/>
    </row>
    <row r="85" spans="2:30" ht="18" customHeight="1">
      <c r="B85" s="1238" t="s">
        <v>526</v>
      </c>
      <c r="C85" s="945"/>
      <c r="D85" s="34" t="s">
        <v>522</v>
      </c>
      <c r="E85" s="1236"/>
      <c r="F85" s="1236"/>
      <c r="G85" s="1236"/>
      <c r="H85" s="1" t="s">
        <v>523</v>
      </c>
      <c r="K85" s="35" t="s">
        <v>268</v>
      </c>
      <c r="M85" s="1468" t="s">
        <v>524</v>
      </c>
      <c r="N85" s="1468"/>
      <c r="O85" s="1468"/>
      <c r="P85" s="1468"/>
      <c r="Q85" s="1237" t="str">
        <f>IF(OR($AB$80="20人未満",$C$123=1),IF($K$78=4,$V$15,0),"")</f>
        <v/>
      </c>
      <c r="R85" s="1237"/>
      <c r="S85" s="1" t="s">
        <v>451</v>
      </c>
      <c r="T85" s="8"/>
      <c r="U85" s="188"/>
      <c r="V85" s="188"/>
      <c r="W85" s="188"/>
      <c r="X85" s="188"/>
      <c r="Y85" s="9"/>
    </row>
    <row r="86" spans="2:30" ht="18" customHeight="1">
      <c r="B86" s="41"/>
      <c r="C86" s="42"/>
      <c r="D86" s="34"/>
      <c r="E86" s="1236"/>
      <c r="F86" s="1236"/>
      <c r="G86" s="1236"/>
      <c r="K86" s="35"/>
      <c r="Q86" s="163"/>
      <c r="R86" s="163"/>
      <c r="T86" s="8"/>
      <c r="U86" s="188"/>
      <c r="V86" s="188"/>
      <c r="W86" s="188"/>
      <c r="X86" s="188"/>
      <c r="Y86" s="9"/>
    </row>
    <row r="87" spans="2:30" ht="18" customHeight="1">
      <c r="B87" s="1238" t="s">
        <v>527</v>
      </c>
      <c r="C87" s="945"/>
      <c r="D87" s="34" t="s">
        <v>522</v>
      </c>
      <c r="E87" s="1236"/>
      <c r="F87" s="1236"/>
      <c r="G87" s="1236"/>
      <c r="H87" s="1" t="s">
        <v>523</v>
      </c>
      <c r="K87" s="35" t="s">
        <v>268</v>
      </c>
      <c r="M87" s="1468" t="s">
        <v>524</v>
      </c>
      <c r="N87" s="1468"/>
      <c r="O87" s="1468"/>
      <c r="P87" s="1468"/>
      <c r="Q87" s="1237" t="str">
        <f>IF(OR($AB$80="20人未満",$C123=1),IF($K$78=5,$V$15,0),"")</f>
        <v/>
      </c>
      <c r="R87" s="1237"/>
      <c r="S87" s="1" t="s">
        <v>451</v>
      </c>
      <c r="T87" s="8"/>
      <c r="U87" s="188"/>
      <c r="V87" s="188"/>
      <c r="W87" s="188"/>
      <c r="X87" s="188"/>
      <c r="Y87" s="9"/>
    </row>
    <row r="88" spans="2:30" ht="18" customHeight="1">
      <c r="B88" s="41"/>
      <c r="C88" s="42"/>
      <c r="D88" s="34"/>
      <c r="E88" s="1236"/>
      <c r="F88" s="1236"/>
      <c r="G88" s="1236"/>
      <c r="K88" s="35"/>
      <c r="Q88" s="163"/>
      <c r="R88" s="163"/>
      <c r="T88" s="8"/>
      <c r="U88" s="188"/>
      <c r="V88" s="188"/>
      <c r="W88" s="188"/>
      <c r="X88" s="188"/>
      <c r="Y88" s="9"/>
    </row>
    <row r="89" spans="2:30" ht="33.75" customHeight="1">
      <c r="B89" s="1239" t="s">
        <v>528</v>
      </c>
      <c r="C89" s="1240"/>
      <c r="D89" s="43" t="s">
        <v>522</v>
      </c>
      <c r="E89" s="1241"/>
      <c r="F89" s="1241"/>
      <c r="G89" s="1241"/>
      <c r="H89" s="11" t="s">
        <v>523</v>
      </c>
      <c r="I89" s="11"/>
      <c r="J89" s="11"/>
      <c r="K89" s="44" t="s">
        <v>268</v>
      </c>
      <c r="L89" s="11"/>
      <c r="M89" s="1242" t="s">
        <v>524</v>
      </c>
      <c r="N89" s="1242"/>
      <c r="O89" s="1242"/>
      <c r="P89" s="1242"/>
      <c r="Q89" s="1243" t="str">
        <f>IF(OR($AB$80="20人未満",$C123=1),IF($N$78=2,$V$15,0)+IF($N$78=3,$V$15,0),"")</f>
        <v/>
      </c>
      <c r="R89" s="1243"/>
      <c r="S89" s="11" t="s">
        <v>451</v>
      </c>
      <c r="T89" s="8"/>
      <c r="U89" s="188"/>
      <c r="V89" s="188"/>
      <c r="W89" s="188"/>
      <c r="X89" s="188"/>
      <c r="Y89" s="9"/>
    </row>
    <row r="90" spans="2:30" ht="9" customHeight="1">
      <c r="B90" s="160"/>
      <c r="C90" s="161"/>
      <c r="D90" s="43"/>
      <c r="E90" s="162"/>
      <c r="F90" s="162"/>
      <c r="G90" s="162"/>
      <c r="H90" s="11"/>
      <c r="I90" s="11"/>
      <c r="J90" s="11"/>
      <c r="K90" s="44"/>
      <c r="L90" s="11"/>
      <c r="M90" s="11"/>
      <c r="N90" s="11"/>
      <c r="O90" s="11"/>
      <c r="P90" s="11"/>
      <c r="Q90" s="45"/>
      <c r="R90" s="45"/>
      <c r="S90" s="11"/>
      <c r="T90" s="8"/>
      <c r="U90" s="188"/>
      <c r="V90" s="188"/>
      <c r="W90" s="188"/>
      <c r="X90" s="188"/>
      <c r="Y90" s="9"/>
    </row>
    <row r="91" spans="2:30" ht="22.5" customHeight="1">
      <c r="B91" s="1244" t="s">
        <v>529</v>
      </c>
      <c r="C91" s="1245"/>
      <c r="D91" s="1245"/>
      <c r="E91" s="1245"/>
      <c r="F91" s="1245"/>
      <c r="G91" s="1245"/>
      <c r="H91" s="1245"/>
      <c r="I91" s="1245"/>
      <c r="J91" s="1245"/>
      <c r="K91" s="1245"/>
      <c r="L91" s="1245"/>
      <c r="M91" s="1245"/>
      <c r="N91" s="1245"/>
      <c r="O91" s="1245"/>
      <c r="P91" s="1245"/>
      <c r="Q91" s="1245"/>
      <c r="R91" s="1245"/>
      <c r="S91" s="1246"/>
      <c r="T91" s="8"/>
      <c r="U91" s="164"/>
      <c r="V91" s="164"/>
      <c r="W91" s="164"/>
      <c r="X91" s="164"/>
      <c r="Y91" s="9"/>
    </row>
    <row r="92" spans="2:30" ht="33.75" customHeight="1">
      <c r="B92" s="1239" t="s">
        <v>530</v>
      </c>
      <c r="C92" s="1240"/>
      <c r="D92" s="43" t="s">
        <v>522</v>
      </c>
      <c r="E92" s="1247"/>
      <c r="F92" s="1247"/>
      <c r="G92" s="1247"/>
      <c r="H92" s="11" t="s">
        <v>523</v>
      </c>
      <c r="I92" s="11"/>
      <c r="J92" s="11"/>
      <c r="K92" s="44" t="s">
        <v>268</v>
      </c>
      <c r="L92" s="11"/>
      <c r="M92" s="1022" t="s">
        <v>531</v>
      </c>
      <c r="N92" s="1022"/>
      <c r="O92" s="1022"/>
      <c r="P92" s="1022"/>
      <c r="Q92" s="1414" t="str">
        <f>IF(OR($AB$80="20人未満",$C$123=1),IF(AC92="",0,AC92),"")</f>
        <v/>
      </c>
      <c r="R92" s="1414"/>
      <c r="S92" s="11" t="s">
        <v>451</v>
      </c>
      <c r="T92" s="8"/>
      <c r="U92" s="164"/>
      <c r="V92" s="164"/>
      <c r="W92" s="164"/>
      <c r="X92" s="164"/>
      <c r="Y92" s="9"/>
      <c r="AB92" s="189" t="e">
        <f>IF($U$41&gt;=0.5,"50％以上","50％未満")</f>
        <v>#DIV/0!</v>
      </c>
      <c r="AC92" s="190" t="e">
        <f>IF(AB92="50％以上",IF(OR(K78=1,K78=2),V49,""),"")</f>
        <v>#DIV/0!</v>
      </c>
      <c r="AD92" s="190" t="e">
        <f>IF(AB92="50％未満",IF(OR(K78=2,K78=1),U40,""),"")</f>
        <v>#DIV/0!</v>
      </c>
    </row>
    <row r="93" spans="2:30" ht="9" customHeight="1">
      <c r="B93" s="160"/>
      <c r="C93" s="161"/>
      <c r="D93" s="43"/>
      <c r="E93" s="123"/>
      <c r="F93" s="123"/>
      <c r="G93" s="123"/>
      <c r="H93" s="11"/>
      <c r="I93" s="11"/>
      <c r="J93" s="11"/>
      <c r="K93" s="44"/>
      <c r="L93" s="11"/>
      <c r="M93" s="11"/>
      <c r="N93" s="11"/>
      <c r="O93" s="11"/>
      <c r="P93" s="11"/>
      <c r="Q93" s="123"/>
      <c r="R93" s="123"/>
      <c r="S93" s="11"/>
      <c r="T93" s="8"/>
      <c r="U93" s="164"/>
      <c r="V93" s="164"/>
      <c r="W93" s="164"/>
      <c r="X93" s="164"/>
      <c r="Y93" s="9"/>
    </row>
    <row r="94" spans="2:30" ht="22.5" customHeight="1">
      <c r="B94" s="1244" t="s">
        <v>532</v>
      </c>
      <c r="C94" s="1245"/>
      <c r="D94" s="1245"/>
      <c r="E94" s="1245"/>
      <c r="F94" s="1245"/>
      <c r="G94" s="1245"/>
      <c r="H94" s="1245"/>
      <c r="I94" s="1245"/>
      <c r="J94" s="1245"/>
      <c r="K94" s="1245"/>
      <c r="L94" s="1245"/>
      <c r="M94" s="1245"/>
      <c r="N94" s="1245"/>
      <c r="O94" s="1245"/>
      <c r="P94" s="1245"/>
      <c r="Q94" s="1245"/>
      <c r="R94" s="1245"/>
      <c r="S94" s="1246"/>
      <c r="T94" s="8"/>
      <c r="U94" s="164"/>
      <c r="V94" s="164"/>
      <c r="W94" s="164"/>
      <c r="X94" s="164"/>
      <c r="Y94" s="9"/>
    </row>
    <row r="95" spans="2:30" ht="33.75" customHeight="1">
      <c r="B95" s="1239" t="s">
        <v>530</v>
      </c>
      <c r="C95" s="1240"/>
      <c r="D95" s="43" t="s">
        <v>522</v>
      </c>
      <c r="E95" s="1247"/>
      <c r="F95" s="1247"/>
      <c r="G95" s="1247"/>
      <c r="H95" s="124" t="s">
        <v>533</v>
      </c>
      <c r="I95" s="11"/>
      <c r="J95" s="11"/>
      <c r="K95" s="44" t="s">
        <v>268</v>
      </c>
      <c r="L95" s="11"/>
      <c r="M95" s="1022" t="s">
        <v>531</v>
      </c>
      <c r="N95" s="1022"/>
      <c r="O95" s="1022"/>
      <c r="P95" s="1022"/>
      <c r="Q95" s="1414" t="str">
        <f>IF(OR($AB$80="20人未満",$C$123=1),IF(AD92="",0,AD92),"")</f>
        <v/>
      </c>
      <c r="R95" s="1414"/>
      <c r="S95" s="11" t="s">
        <v>451</v>
      </c>
      <c r="T95" s="8"/>
      <c r="U95" s="164"/>
      <c r="V95" s="164"/>
      <c r="W95" s="164"/>
      <c r="X95" s="164"/>
      <c r="Y95" s="9"/>
    </row>
    <row r="96" spans="2:30" ht="9" customHeight="1">
      <c r="B96" s="160"/>
      <c r="C96" s="161"/>
      <c r="D96" s="43"/>
      <c r="E96" s="123"/>
      <c r="F96" s="123"/>
      <c r="G96" s="123"/>
      <c r="H96" s="124"/>
      <c r="I96" s="11"/>
      <c r="J96" s="11"/>
      <c r="K96" s="44"/>
      <c r="L96" s="11"/>
      <c r="M96" s="132"/>
      <c r="N96" s="132"/>
      <c r="O96" s="132"/>
      <c r="P96" s="132"/>
      <c r="Q96" s="123"/>
      <c r="R96" s="123"/>
      <c r="S96" s="11"/>
      <c r="T96" s="8"/>
      <c r="U96" s="164"/>
      <c r="V96" s="164"/>
      <c r="W96" s="164"/>
      <c r="X96" s="164"/>
      <c r="Y96" s="9"/>
    </row>
    <row r="97" spans="2:25" ht="30" customHeight="1">
      <c r="B97" s="1232" t="s">
        <v>534</v>
      </c>
      <c r="C97" s="951"/>
      <c r="D97" s="951"/>
      <c r="E97" s="951"/>
      <c r="F97" s="951"/>
      <c r="G97" s="951"/>
      <c r="H97" s="951"/>
      <c r="I97" s="951"/>
      <c r="J97" s="951"/>
      <c r="K97" s="951"/>
      <c r="L97" s="951"/>
      <c r="M97" s="951"/>
      <c r="N97" s="951"/>
      <c r="O97" s="951"/>
      <c r="P97" s="951"/>
      <c r="Q97" s="951"/>
      <c r="R97" s="951"/>
      <c r="S97" s="1233"/>
      <c r="T97" s="8"/>
      <c r="U97" s="188"/>
      <c r="V97" s="188"/>
      <c r="W97" s="188"/>
      <c r="X97" s="188"/>
      <c r="Y97" s="9"/>
    </row>
    <row r="98" spans="2:25" ht="32.25" customHeight="1">
      <c r="B98" s="1234" t="s">
        <v>521</v>
      </c>
      <c r="C98" s="945"/>
      <c r="D98" s="34" t="s">
        <v>522</v>
      </c>
      <c r="E98" s="1235"/>
      <c r="F98" s="1236"/>
      <c r="G98" s="1236"/>
      <c r="H98" s="1" t="s">
        <v>523</v>
      </c>
      <c r="K98" s="35" t="s">
        <v>268</v>
      </c>
      <c r="M98" s="1468" t="s">
        <v>524</v>
      </c>
      <c r="N98" s="1468"/>
      <c r="O98" s="1468"/>
      <c r="P98" s="1468"/>
      <c r="Q98" s="1249" t="str">
        <f>IF(AND($AB$80="20人以上",$C$123=""),IF($K$78=1,$V$15,0)+IF($K$78=2,$V$15,0),"")</f>
        <v/>
      </c>
      <c r="R98" s="1249"/>
      <c r="S98" s="1" t="s">
        <v>451</v>
      </c>
      <c r="T98" s="8"/>
      <c r="U98" s="188"/>
      <c r="V98" s="188"/>
      <c r="W98" s="188"/>
      <c r="X98" s="188"/>
      <c r="Y98" s="9"/>
    </row>
    <row r="99" spans="2:25" ht="9" customHeight="1">
      <c r="B99" s="40"/>
      <c r="C99" s="29"/>
      <c r="D99" s="34"/>
      <c r="E99" s="45"/>
      <c r="F99" s="45"/>
      <c r="G99" s="45"/>
      <c r="K99" s="35"/>
      <c r="M99" s="36"/>
      <c r="N99" s="36"/>
      <c r="O99" s="36"/>
      <c r="P99" s="36"/>
      <c r="Q99" s="163"/>
      <c r="R99" s="163"/>
      <c r="T99" s="8"/>
      <c r="U99" s="188"/>
      <c r="V99" s="188"/>
      <c r="W99" s="188"/>
      <c r="X99" s="188"/>
      <c r="Y99" s="9"/>
    </row>
    <row r="100" spans="2:25" ht="27.75" customHeight="1">
      <c r="B100" s="1238" t="s">
        <v>525</v>
      </c>
      <c r="C100" s="945"/>
      <c r="D100" s="34" t="s">
        <v>522</v>
      </c>
      <c r="E100" s="1235"/>
      <c r="F100" s="1236"/>
      <c r="G100" s="1236"/>
      <c r="H100" s="1" t="s">
        <v>523</v>
      </c>
      <c r="K100" s="35" t="s">
        <v>268</v>
      </c>
      <c r="M100" s="1468" t="s">
        <v>524</v>
      </c>
      <c r="N100" s="1468"/>
      <c r="O100" s="1468"/>
      <c r="P100" s="1468"/>
      <c r="Q100" s="1249" t="str">
        <f>IF(AND($AB$80="20人以上",$C$123=""),IF($K$78=3,$V$15,0),"")</f>
        <v/>
      </c>
      <c r="R100" s="1249"/>
      <c r="S100" s="1" t="s">
        <v>451</v>
      </c>
      <c r="T100" s="8"/>
      <c r="U100" s="188"/>
      <c r="V100" s="188"/>
      <c r="W100" s="188"/>
      <c r="X100" s="188"/>
      <c r="Y100" s="9"/>
    </row>
    <row r="101" spans="2:25" ht="18" customHeight="1">
      <c r="B101" s="41"/>
      <c r="C101" s="42"/>
      <c r="D101" s="34"/>
      <c r="E101" s="159"/>
      <c r="F101" s="45"/>
      <c r="G101" s="45"/>
      <c r="K101" s="35"/>
      <c r="Q101" s="163"/>
      <c r="R101" s="163"/>
      <c r="T101" s="8"/>
      <c r="U101" s="188"/>
      <c r="V101" s="188"/>
      <c r="W101" s="188"/>
      <c r="X101" s="188"/>
      <c r="Y101" s="9"/>
    </row>
    <row r="102" spans="2:25" ht="18" customHeight="1">
      <c r="B102" s="1238" t="s">
        <v>526</v>
      </c>
      <c r="C102" s="945"/>
      <c r="D102" s="34" t="s">
        <v>522</v>
      </c>
      <c r="E102" s="1236"/>
      <c r="F102" s="1236"/>
      <c r="G102" s="1236"/>
      <c r="H102" s="1" t="s">
        <v>523</v>
      </c>
      <c r="K102" s="35" t="s">
        <v>268</v>
      </c>
      <c r="M102" s="1468" t="s">
        <v>524</v>
      </c>
      <c r="N102" s="1468"/>
      <c r="O102" s="1468"/>
      <c r="P102" s="1468"/>
      <c r="Q102" s="1249" t="str">
        <f>IF(AND($AB$80="20人以上",$C$123=""),IF($K$78=4,$V$15,0),"")</f>
        <v/>
      </c>
      <c r="R102" s="1249"/>
      <c r="S102" s="1" t="s">
        <v>451</v>
      </c>
      <c r="T102" s="8"/>
      <c r="U102" s="188"/>
      <c r="V102" s="188"/>
      <c r="W102" s="188"/>
      <c r="X102" s="188"/>
      <c r="Y102" s="9"/>
    </row>
    <row r="103" spans="2:25" ht="18" customHeight="1">
      <c r="B103" s="41"/>
      <c r="C103" s="42"/>
      <c r="D103" s="34"/>
      <c r="E103" s="1236"/>
      <c r="F103" s="1236"/>
      <c r="G103" s="1236"/>
      <c r="K103" s="35"/>
      <c r="Q103" s="163"/>
      <c r="R103" s="163"/>
      <c r="T103" s="8"/>
      <c r="U103" s="188"/>
      <c r="V103" s="188"/>
      <c r="W103" s="188"/>
      <c r="X103" s="188"/>
      <c r="Y103" s="9"/>
    </row>
    <row r="104" spans="2:25" ht="18" customHeight="1">
      <c r="B104" s="1238" t="s">
        <v>527</v>
      </c>
      <c r="C104" s="945"/>
      <c r="D104" s="34" t="s">
        <v>522</v>
      </c>
      <c r="E104" s="1236"/>
      <c r="F104" s="1236"/>
      <c r="G104" s="1236"/>
      <c r="H104" s="1" t="s">
        <v>523</v>
      </c>
      <c r="K104" s="35" t="s">
        <v>268</v>
      </c>
      <c r="M104" s="1468" t="s">
        <v>524</v>
      </c>
      <c r="N104" s="1468"/>
      <c r="O104" s="1468"/>
      <c r="P104" s="1468"/>
      <c r="Q104" s="1249" t="str">
        <f>IF(AND($AB$80="20人以上",$C$123=""),IF($K$78=5,$V$15,0),"")</f>
        <v/>
      </c>
      <c r="R104" s="1249"/>
      <c r="S104" s="1" t="s">
        <v>451</v>
      </c>
      <c r="T104" s="8"/>
      <c r="U104" s="188"/>
      <c r="V104" s="188"/>
      <c r="W104" s="188"/>
      <c r="X104" s="188"/>
      <c r="Y104" s="9"/>
    </row>
    <row r="105" spans="2:25" ht="18" customHeight="1">
      <c r="B105" s="41"/>
      <c r="C105" s="42"/>
      <c r="D105" s="34"/>
      <c r="E105" s="1236"/>
      <c r="F105" s="1236"/>
      <c r="G105" s="1236"/>
      <c r="K105" s="35"/>
      <c r="Q105" s="163"/>
      <c r="R105" s="163"/>
      <c r="T105" s="8"/>
      <c r="U105" s="188"/>
      <c r="V105" s="188"/>
      <c r="W105" s="188"/>
      <c r="X105" s="188"/>
      <c r="Y105" s="9"/>
    </row>
    <row r="106" spans="2:25" ht="33.75" customHeight="1">
      <c r="B106" s="1239" t="s">
        <v>528</v>
      </c>
      <c r="C106" s="1240"/>
      <c r="D106" s="43" t="s">
        <v>522</v>
      </c>
      <c r="E106" s="1241"/>
      <c r="F106" s="1241"/>
      <c r="G106" s="1241"/>
      <c r="H106" s="11" t="s">
        <v>523</v>
      </c>
      <c r="I106" s="11"/>
      <c r="J106" s="11"/>
      <c r="K106" s="44" t="s">
        <v>268</v>
      </c>
      <c r="L106" s="11"/>
      <c r="M106" s="1242" t="s">
        <v>524</v>
      </c>
      <c r="N106" s="1242"/>
      <c r="O106" s="1242"/>
      <c r="P106" s="1242"/>
      <c r="Q106" s="1250" t="str">
        <f>IF(AND($AB$80="20人以上",$C$123=""),IF($N$78=2,$V$15,0)+IF($N$78=3,$V$15,0),"")</f>
        <v/>
      </c>
      <c r="R106" s="1250"/>
      <c r="S106" s="11" t="s">
        <v>451</v>
      </c>
      <c r="T106" s="8"/>
      <c r="U106" s="191"/>
      <c r="V106" s="191"/>
      <c r="W106" s="191"/>
      <c r="X106" s="191"/>
      <c r="Y106" s="9"/>
    </row>
    <row r="107" spans="2:25" ht="9" customHeight="1">
      <c r="B107" s="160"/>
      <c r="C107" s="161"/>
      <c r="D107" s="43"/>
      <c r="E107" s="162"/>
      <c r="F107" s="162"/>
      <c r="G107" s="162"/>
      <c r="H107" s="11"/>
      <c r="I107" s="11"/>
      <c r="J107" s="11"/>
      <c r="K107" s="44"/>
      <c r="L107" s="11"/>
      <c r="M107" s="11"/>
      <c r="N107" s="11"/>
      <c r="O107" s="11"/>
      <c r="P107" s="11"/>
      <c r="Q107" s="45"/>
      <c r="R107" s="45"/>
      <c r="S107" s="11"/>
      <c r="T107" s="8"/>
      <c r="U107" s="188"/>
      <c r="V107" s="188"/>
      <c r="W107" s="188"/>
      <c r="X107" s="188"/>
      <c r="Y107" s="9"/>
    </row>
    <row r="108" spans="2:25" ht="22.5" customHeight="1">
      <c r="B108" s="1244" t="s">
        <v>529</v>
      </c>
      <c r="C108" s="1245"/>
      <c r="D108" s="1245"/>
      <c r="E108" s="1245"/>
      <c r="F108" s="1245"/>
      <c r="G108" s="1245"/>
      <c r="H108" s="1245"/>
      <c r="I108" s="1245"/>
      <c r="J108" s="1245"/>
      <c r="K108" s="1245"/>
      <c r="L108" s="1245"/>
      <c r="M108" s="1245"/>
      <c r="N108" s="1245"/>
      <c r="O108" s="1245"/>
      <c r="P108" s="1245"/>
      <c r="Q108" s="1245"/>
      <c r="R108" s="1245"/>
      <c r="S108" s="1246"/>
      <c r="T108" s="8"/>
      <c r="U108" s="164"/>
      <c r="V108" s="164"/>
      <c r="W108" s="164"/>
      <c r="X108" s="164"/>
      <c r="Y108" s="9"/>
    </row>
    <row r="109" spans="2:25" ht="33.75" customHeight="1">
      <c r="B109" s="1239" t="s">
        <v>530</v>
      </c>
      <c r="C109" s="1240"/>
      <c r="D109" s="43" t="s">
        <v>522</v>
      </c>
      <c r="E109" s="1247"/>
      <c r="F109" s="1247"/>
      <c r="G109" s="1247"/>
      <c r="H109" s="11" t="s">
        <v>523</v>
      </c>
      <c r="I109" s="11"/>
      <c r="J109" s="11"/>
      <c r="K109" s="44" t="s">
        <v>268</v>
      </c>
      <c r="L109" s="11"/>
      <c r="M109" s="1022" t="s">
        <v>531</v>
      </c>
      <c r="N109" s="1022"/>
      <c r="O109" s="1022"/>
      <c r="P109" s="1022"/>
      <c r="Q109" s="1237" t="str">
        <f>IF(AND($AB$80="20人以上",$C$123=""),IF(AC92="",0,AC92),"")</f>
        <v/>
      </c>
      <c r="R109" s="1237"/>
      <c r="S109" s="11" t="s">
        <v>451</v>
      </c>
      <c r="T109" s="8"/>
      <c r="U109" s="164"/>
      <c r="V109" s="164"/>
      <c r="W109" s="164"/>
      <c r="X109" s="164"/>
      <c r="Y109" s="9"/>
    </row>
    <row r="110" spans="2:25" ht="9" customHeight="1">
      <c r="B110" s="160"/>
      <c r="C110" s="161"/>
      <c r="D110" s="43"/>
      <c r="E110" s="123"/>
      <c r="F110" s="123"/>
      <c r="G110" s="123"/>
      <c r="H110" s="11"/>
      <c r="I110" s="11"/>
      <c r="J110" s="11"/>
      <c r="K110" s="44"/>
      <c r="L110" s="11"/>
      <c r="M110" s="11"/>
      <c r="N110" s="11"/>
      <c r="O110" s="11"/>
      <c r="P110" s="11"/>
      <c r="Q110" s="123"/>
      <c r="R110" s="123"/>
      <c r="S110" s="11"/>
      <c r="T110" s="8"/>
      <c r="U110" s="164"/>
      <c r="V110" s="164"/>
      <c r="W110" s="164"/>
      <c r="X110" s="164"/>
      <c r="Y110" s="9"/>
    </row>
    <row r="111" spans="2:25" ht="22.5" customHeight="1">
      <c r="B111" s="1244" t="s">
        <v>532</v>
      </c>
      <c r="C111" s="1245"/>
      <c r="D111" s="1245"/>
      <c r="E111" s="1245"/>
      <c r="F111" s="1245"/>
      <c r="G111" s="1245"/>
      <c r="H111" s="1245"/>
      <c r="I111" s="1245"/>
      <c r="J111" s="1245"/>
      <c r="K111" s="1245"/>
      <c r="L111" s="1245"/>
      <c r="M111" s="1245"/>
      <c r="N111" s="1245"/>
      <c r="O111" s="1245"/>
      <c r="P111" s="1245"/>
      <c r="Q111" s="1245"/>
      <c r="R111" s="1245"/>
      <c r="S111" s="1246"/>
      <c r="T111" s="8"/>
      <c r="U111" s="164"/>
      <c r="V111" s="164"/>
      <c r="W111" s="164"/>
      <c r="X111" s="164"/>
      <c r="Y111" s="9"/>
    </row>
    <row r="112" spans="2:25" ht="33.75" customHeight="1">
      <c r="B112" s="1239" t="s">
        <v>530</v>
      </c>
      <c r="C112" s="1240"/>
      <c r="D112" s="43" t="s">
        <v>522</v>
      </c>
      <c r="E112" s="1247"/>
      <c r="F112" s="1247"/>
      <c r="G112" s="1247"/>
      <c r="H112" s="124" t="s">
        <v>533</v>
      </c>
      <c r="I112" s="11"/>
      <c r="J112" s="11"/>
      <c r="K112" s="44" t="s">
        <v>268</v>
      </c>
      <c r="L112" s="11"/>
      <c r="M112" s="1022" t="s">
        <v>531</v>
      </c>
      <c r="N112" s="1022"/>
      <c r="O112" s="1022"/>
      <c r="P112" s="1022"/>
      <c r="Q112" s="1237" t="str">
        <f>IF(AND($AB$80="20人以上",$C$123=""),IF(AD92="",0,AD92),"")</f>
        <v/>
      </c>
      <c r="R112" s="1237"/>
      <c r="S112" s="11" t="s">
        <v>451</v>
      </c>
      <c r="T112" s="8"/>
      <c r="U112" s="164"/>
      <c r="V112" s="164"/>
      <c r="W112" s="164"/>
      <c r="X112" s="164"/>
      <c r="Y112" s="9"/>
    </row>
    <row r="113" spans="2:32" ht="9" customHeight="1">
      <c r="B113" s="160"/>
      <c r="C113" s="161"/>
      <c r="D113" s="43"/>
      <c r="E113" s="123"/>
      <c r="F113" s="123"/>
      <c r="G113" s="123"/>
      <c r="H113" s="124"/>
      <c r="I113" s="11"/>
      <c r="J113" s="11"/>
      <c r="K113" s="44"/>
      <c r="L113" s="11"/>
      <c r="M113" s="132"/>
      <c r="N113" s="132"/>
      <c r="O113" s="132"/>
      <c r="P113" s="132"/>
      <c r="Q113" s="123"/>
      <c r="R113" s="123"/>
      <c r="S113" s="11"/>
      <c r="T113" s="8"/>
      <c r="U113" s="164"/>
      <c r="V113" s="164"/>
      <c r="W113" s="164"/>
      <c r="X113" s="164"/>
      <c r="Y113" s="9"/>
    </row>
    <row r="114" spans="2:32" s="11" customFormat="1" ht="19.5" customHeight="1">
      <c r="B114" s="46" t="s">
        <v>535</v>
      </c>
      <c r="C114" s="30"/>
      <c r="D114" s="43" t="s">
        <v>263</v>
      </c>
      <c r="E114" s="1241"/>
      <c r="F114" s="1241"/>
      <c r="G114" s="1241"/>
      <c r="H114" s="11" t="s">
        <v>523</v>
      </c>
      <c r="K114" s="44" t="s">
        <v>268</v>
      </c>
      <c r="M114" s="1242" t="s">
        <v>524</v>
      </c>
      <c r="N114" s="1242"/>
      <c r="O114" s="1242"/>
      <c r="P114" s="1242"/>
      <c r="Q114" s="1237">
        <f>V15</f>
        <v>0</v>
      </c>
      <c r="R114" s="1237"/>
      <c r="S114" s="11" t="s">
        <v>449</v>
      </c>
      <c r="T114" s="192" t="s">
        <v>263</v>
      </c>
      <c r="U114" s="1254">
        <f>E114*Q114</f>
        <v>0</v>
      </c>
      <c r="V114" s="1254"/>
      <c r="W114" s="1254"/>
      <c r="X114" s="1254"/>
      <c r="Y114" s="193" t="s">
        <v>264</v>
      </c>
    </row>
    <row r="115" spans="2:32" ht="6" customHeight="1">
      <c r="B115" s="194"/>
      <c r="C115" s="195"/>
      <c r="D115" s="34"/>
      <c r="E115" s="45"/>
      <c r="F115" s="45"/>
      <c r="G115" s="45"/>
      <c r="K115" s="35"/>
      <c r="Q115" s="45"/>
      <c r="R115" s="45"/>
      <c r="T115" s="8"/>
      <c r="U115" s="191"/>
      <c r="V115" s="191"/>
      <c r="W115" s="191"/>
      <c r="X115" s="191"/>
      <c r="Y115" s="9"/>
    </row>
    <row r="116" spans="2:32" ht="15" customHeight="1" thickBot="1">
      <c r="B116" s="2"/>
      <c r="C116" s="1" t="s">
        <v>536</v>
      </c>
      <c r="H116" s="101" t="s">
        <v>537</v>
      </c>
      <c r="T116" s="192"/>
      <c r="U116" s="1255"/>
      <c r="V116" s="1255"/>
      <c r="W116" s="1255"/>
      <c r="X116" s="1255"/>
      <c r="Y116" s="193"/>
    </row>
    <row r="117" spans="2:32" ht="15" customHeight="1" thickBot="1">
      <c r="B117" s="2"/>
      <c r="C117" s="196"/>
      <c r="D117" s="1" t="s">
        <v>538</v>
      </c>
      <c r="K117" s="35" t="s">
        <v>539</v>
      </c>
      <c r="L117" s="101" t="s">
        <v>540</v>
      </c>
      <c r="Q117" s="1252">
        <f>U27</f>
        <v>0</v>
      </c>
      <c r="R117" s="1253"/>
      <c r="S117" s="1" t="s">
        <v>449</v>
      </c>
      <c r="T117" s="8"/>
      <c r="U117" s="1256"/>
      <c r="V117" s="1256"/>
      <c r="W117" s="1256"/>
      <c r="X117" s="1256"/>
      <c r="Y117" s="9"/>
      <c r="AB117" s="197"/>
      <c r="AC117" s="197"/>
      <c r="AF117" s="197"/>
    </row>
    <row r="118" spans="2:32" ht="15" customHeight="1" thickBot="1">
      <c r="B118" s="2"/>
      <c r="D118" s="34" t="s">
        <v>522</v>
      </c>
      <c r="E118" s="1236"/>
      <c r="F118" s="1236"/>
      <c r="G118" s="1236"/>
      <c r="H118" s="1" t="s">
        <v>541</v>
      </c>
      <c r="K118" s="1260"/>
      <c r="L118" s="1260"/>
      <c r="M118" s="1260"/>
      <c r="N118" s="1260"/>
      <c r="O118" s="1260"/>
      <c r="P118" s="1260"/>
      <c r="Q118" s="1260"/>
      <c r="R118" s="1260"/>
      <c r="S118" s="1261"/>
      <c r="T118" s="2"/>
      <c r="U118" s="187"/>
      <c r="V118" s="187"/>
      <c r="W118" s="187"/>
      <c r="X118" s="187"/>
      <c r="Y118" s="9"/>
      <c r="AE118" s="197"/>
      <c r="AF118" s="197"/>
    </row>
    <row r="119" spans="2:32" ht="15" customHeight="1" thickBot="1">
      <c r="B119" s="2"/>
      <c r="C119" s="198"/>
      <c r="D119" s="1" t="s">
        <v>542</v>
      </c>
      <c r="K119" s="35" t="s">
        <v>268</v>
      </c>
      <c r="L119" s="101" t="s">
        <v>540</v>
      </c>
      <c r="M119" s="199"/>
      <c r="N119" s="199"/>
      <c r="O119" s="199"/>
      <c r="P119" s="199"/>
      <c r="Q119" s="1237">
        <f>U27</f>
        <v>0</v>
      </c>
      <c r="R119" s="1237"/>
      <c r="S119" s="1" t="s">
        <v>451</v>
      </c>
      <c r="T119" s="8" t="s">
        <v>543</v>
      </c>
      <c r="U119" s="1262">
        <f>IF(C119="○",AA120,IF(C117="○",AA119,0))</f>
        <v>0</v>
      </c>
      <c r="V119" s="1262"/>
      <c r="W119" s="1262"/>
      <c r="X119" s="1262"/>
      <c r="Y119" s="9" t="s">
        <v>544</v>
      </c>
      <c r="AA119" s="1251">
        <f>IF(Q119=0,0,ROUNDDOWN((40000*M120/Q120*Q119),0))</f>
        <v>0</v>
      </c>
      <c r="AB119" s="1251"/>
      <c r="AC119" s="1251"/>
      <c r="AD119" s="1251"/>
      <c r="AE119" s="1251"/>
    </row>
    <row r="120" spans="2:32" ht="15" customHeight="1">
      <c r="B120" s="2"/>
      <c r="D120" s="34" t="s">
        <v>522</v>
      </c>
      <c r="E120" s="1236"/>
      <c r="F120" s="1236"/>
      <c r="G120" s="1236"/>
      <c r="H120" s="1" t="s">
        <v>541</v>
      </c>
      <c r="K120" s="34" t="s">
        <v>522</v>
      </c>
      <c r="L120" s="35" t="s">
        <v>545</v>
      </c>
      <c r="M120" s="1252">
        <f>+V15</f>
        <v>0</v>
      </c>
      <c r="N120" s="1253"/>
      <c r="O120" s="35" t="s">
        <v>546</v>
      </c>
      <c r="P120" s="35" t="s">
        <v>547</v>
      </c>
      <c r="Q120" s="1252">
        <f>+V17</f>
        <v>0</v>
      </c>
      <c r="R120" s="1253"/>
      <c r="S120" s="1" t="s">
        <v>548</v>
      </c>
      <c r="T120" s="8"/>
      <c r="U120" s="191"/>
      <c r="V120" s="191"/>
      <c r="W120" s="191"/>
      <c r="X120" s="191"/>
      <c r="Y120" s="9"/>
      <c r="AA120" s="1251" t="e">
        <f>IF(C117="○","",ROUNDDOWN((95000*M120/Q120*Q119),0))</f>
        <v>#DIV/0!</v>
      </c>
      <c r="AB120" s="1251"/>
      <c r="AC120" s="1251"/>
      <c r="AD120" s="1251"/>
      <c r="AE120" s="1251"/>
    </row>
    <row r="121" spans="2:32" ht="8.25" customHeight="1">
      <c r="B121" s="2"/>
      <c r="M121" s="34"/>
      <c r="P121" s="35"/>
      <c r="T121" s="2"/>
      <c r="U121" s="187"/>
      <c r="V121" s="187"/>
      <c r="W121" s="187"/>
      <c r="X121" s="187"/>
      <c r="Y121" s="9"/>
    </row>
    <row r="122" spans="2:32" ht="13.5" customHeight="1" thickBot="1">
      <c r="B122" s="2"/>
      <c r="C122" s="101"/>
      <c r="D122" s="101" t="s">
        <v>549</v>
      </c>
      <c r="M122" s="34"/>
      <c r="P122" s="35"/>
      <c r="T122" s="2"/>
      <c r="U122" s="187"/>
      <c r="V122" s="187"/>
      <c r="W122" s="187"/>
      <c r="X122" s="187"/>
      <c r="Y122" s="9"/>
    </row>
    <row r="123" spans="2:32" ht="15" customHeight="1" thickBot="1">
      <c r="B123" s="2"/>
      <c r="C123" s="47"/>
      <c r="D123" s="101" t="s">
        <v>550</v>
      </c>
      <c r="M123" s="34"/>
      <c r="P123" s="35"/>
      <c r="T123" s="2"/>
      <c r="U123" s="187"/>
      <c r="V123" s="187"/>
      <c r="W123" s="187"/>
      <c r="X123" s="187"/>
      <c r="Y123" s="9"/>
    </row>
    <row r="124" spans="2:32" ht="15" customHeight="1">
      <c r="B124" s="2"/>
      <c r="C124" s="1" t="s">
        <v>551</v>
      </c>
      <c r="L124" s="200"/>
      <c r="M124" s="200"/>
      <c r="N124" s="200"/>
      <c r="O124" s="200"/>
      <c r="P124" s="200"/>
      <c r="T124" s="2"/>
      <c r="U124" s="187"/>
      <c r="V124" s="187"/>
      <c r="W124" s="187"/>
      <c r="X124" s="187"/>
      <c r="Y124" s="9"/>
    </row>
    <row r="125" spans="2:32" ht="15" customHeight="1" thickBot="1">
      <c r="B125" s="2"/>
      <c r="D125" s="200"/>
      <c r="E125" s="1257"/>
      <c r="F125" s="1257"/>
      <c r="G125" s="1257"/>
      <c r="H125" s="1257"/>
      <c r="K125" s="937" t="s">
        <v>552</v>
      </c>
      <c r="L125" s="937"/>
      <c r="M125" s="937"/>
      <c r="N125" s="937"/>
      <c r="O125" s="937"/>
      <c r="P125" s="937"/>
      <c r="Q125" s="1237">
        <f>U27</f>
        <v>0</v>
      </c>
      <c r="R125" s="1237"/>
      <c r="S125" s="1" t="s">
        <v>451</v>
      </c>
      <c r="T125" s="8" t="s">
        <v>543</v>
      </c>
      <c r="U125" s="1231">
        <f>IF($C123=1,0,IF(C126="○",0,IF($U27&gt;19,538000,IF($U27&gt;1,269000,IF($U27=0,0,179000)))))</f>
        <v>0</v>
      </c>
      <c r="V125" s="1231"/>
      <c r="W125" s="1231"/>
      <c r="X125" s="1231"/>
      <c r="Y125" s="9" t="s">
        <v>544</v>
      </c>
    </row>
    <row r="126" spans="2:32" ht="15" customHeight="1" thickBot="1">
      <c r="B126" s="2"/>
      <c r="C126" s="201"/>
      <c r="D126" s="1258" t="s">
        <v>553</v>
      </c>
      <c r="E126" s="1258"/>
      <c r="F126" s="1258"/>
      <c r="G126" s="1258"/>
      <c r="H126" s="1258"/>
      <c r="I126" s="1258"/>
      <c r="J126" s="1258"/>
      <c r="K126" s="1258"/>
      <c r="L126" s="1258"/>
      <c r="M126" s="1258"/>
      <c r="N126" s="1258"/>
      <c r="O126" s="1258"/>
      <c r="P126" s="1258"/>
      <c r="Q126" s="1258"/>
      <c r="R126" s="1258"/>
      <c r="S126" s="1259"/>
      <c r="T126" s="8" t="s">
        <v>543</v>
      </c>
      <c r="U126" s="1231">
        <f>IF(C123=1,0,IF(C126="○",1076000,0))</f>
        <v>0</v>
      </c>
      <c r="V126" s="1231"/>
      <c r="W126" s="1231"/>
      <c r="X126" s="1231"/>
      <c r="Y126" s="9" t="s">
        <v>544</v>
      </c>
    </row>
    <row r="127" spans="2:32" ht="7.5" customHeight="1">
      <c r="B127" s="2"/>
      <c r="D127" s="1258"/>
      <c r="E127" s="1258"/>
      <c r="F127" s="1258"/>
      <c r="G127" s="1258"/>
      <c r="H127" s="1258"/>
      <c r="I127" s="1258"/>
      <c r="J127" s="1258"/>
      <c r="K127" s="1258"/>
      <c r="L127" s="1258"/>
      <c r="M127" s="1258"/>
      <c r="N127" s="1258"/>
      <c r="O127" s="1258"/>
      <c r="P127" s="1258"/>
      <c r="Q127" s="1258"/>
      <c r="R127" s="1258"/>
      <c r="S127" s="1259"/>
      <c r="T127" s="8"/>
      <c r="U127" s="191"/>
      <c r="V127" s="191"/>
      <c r="W127" s="191"/>
      <c r="X127" s="191"/>
      <c r="Y127" s="9"/>
    </row>
    <row r="128" spans="2:32" ht="15" customHeight="1">
      <c r="B128" s="2"/>
      <c r="D128" s="200"/>
      <c r="E128" s="200"/>
      <c r="T128" s="2"/>
      <c r="U128" s="187"/>
      <c r="V128" s="187"/>
      <c r="W128" s="187"/>
      <c r="X128" s="187"/>
      <c r="Y128" s="9"/>
    </row>
    <row r="129" spans="2:39" ht="15" customHeight="1">
      <c r="B129" s="2"/>
      <c r="C129" s="1" t="s">
        <v>554</v>
      </c>
      <c r="T129" s="8" t="s">
        <v>543</v>
      </c>
      <c r="U129" s="1231">
        <f>U130+U132</f>
        <v>0</v>
      </c>
      <c r="V129" s="1231"/>
      <c r="W129" s="1231"/>
      <c r="X129" s="1231"/>
      <c r="Y129" s="9" t="s">
        <v>544</v>
      </c>
    </row>
    <row r="130" spans="2:39" ht="15" customHeight="1">
      <c r="B130" s="2"/>
      <c r="D130" s="1" t="s">
        <v>555</v>
      </c>
      <c r="T130" s="8" t="s">
        <v>263</v>
      </c>
      <c r="U130" s="1231">
        <f>IF($I$7="",0,IF(C123=1,0,240000))</f>
        <v>0</v>
      </c>
      <c r="V130" s="1231"/>
      <c r="W130" s="1231"/>
      <c r="X130" s="1231"/>
      <c r="Y130" s="9" t="s">
        <v>264</v>
      </c>
    </row>
    <row r="131" spans="2:39" ht="15" customHeight="1">
      <c r="B131" s="2"/>
      <c r="D131" s="1" t="s">
        <v>556</v>
      </c>
      <c r="T131" s="8"/>
      <c r="U131" s="191"/>
      <c r="V131" s="191"/>
      <c r="W131" s="191"/>
      <c r="X131" s="191"/>
      <c r="Y131" s="9"/>
    </row>
    <row r="132" spans="2:39" ht="15" customHeight="1">
      <c r="B132" s="2"/>
      <c r="E132" s="202"/>
      <c r="F132" s="202"/>
      <c r="G132" s="1236"/>
      <c r="H132" s="1236"/>
      <c r="I132" s="1236"/>
      <c r="J132" s="1" t="s">
        <v>209</v>
      </c>
      <c r="K132" s="1" t="s">
        <v>539</v>
      </c>
      <c r="L132" s="1264" t="s">
        <v>557</v>
      </c>
      <c r="M132" s="1264"/>
      <c r="N132" s="1264"/>
      <c r="O132" s="1265"/>
      <c r="P132" s="1265"/>
      <c r="Q132" s="1" t="s">
        <v>558</v>
      </c>
      <c r="T132" s="8" t="s">
        <v>263</v>
      </c>
      <c r="U132" s="1231">
        <f>IF(C123=1,0,G132*O132)</f>
        <v>0</v>
      </c>
      <c r="V132" s="1231"/>
      <c r="W132" s="1231"/>
      <c r="X132" s="1231"/>
      <c r="Y132" s="9" t="s">
        <v>264</v>
      </c>
      <c r="AM132" s="180">
        <v>0</v>
      </c>
    </row>
    <row r="133" spans="2:39" ht="15" customHeight="1">
      <c r="B133" s="2"/>
      <c r="N133" s="18" t="s">
        <v>559</v>
      </c>
      <c r="T133" s="8"/>
      <c r="U133" s="191"/>
      <c r="V133" s="191"/>
      <c r="W133" s="191"/>
      <c r="X133" s="191"/>
      <c r="Y133" s="9"/>
      <c r="AM133" s="180">
        <v>1</v>
      </c>
    </row>
    <row r="134" spans="2:39" ht="15" customHeight="1">
      <c r="B134" s="2"/>
      <c r="C134" s="1" t="s">
        <v>560</v>
      </c>
      <c r="T134" s="2"/>
      <c r="U134" s="187"/>
      <c r="V134" s="187"/>
      <c r="W134" s="187"/>
      <c r="X134" s="187"/>
      <c r="Y134" s="9"/>
      <c r="AM134" s="180">
        <v>2</v>
      </c>
    </row>
    <row r="135" spans="2:39" ht="15.75" customHeight="1">
      <c r="B135" s="2"/>
      <c r="D135" s="34" t="s">
        <v>522</v>
      </c>
      <c r="E135" s="1236"/>
      <c r="F135" s="1236"/>
      <c r="G135" s="1236"/>
      <c r="H135" s="1" t="s">
        <v>561</v>
      </c>
      <c r="K135" s="35" t="s">
        <v>268</v>
      </c>
      <c r="M135" s="1263" t="s">
        <v>562</v>
      </c>
      <c r="N135" s="1263"/>
      <c r="O135" s="1263"/>
      <c r="P135" s="1" t="s">
        <v>563</v>
      </c>
      <c r="Q135" s="1237">
        <f>U55</f>
        <v>0</v>
      </c>
      <c r="R135" s="1237"/>
      <c r="S135" s="1" t="s">
        <v>485</v>
      </c>
      <c r="T135" s="8" t="s">
        <v>543</v>
      </c>
      <c r="U135" s="1231">
        <f>+IF(C123=1,0,E135*Q135)</f>
        <v>0</v>
      </c>
      <c r="V135" s="1231"/>
      <c r="W135" s="1231"/>
      <c r="X135" s="1231"/>
      <c r="Y135" s="9" t="s">
        <v>544</v>
      </c>
    </row>
    <row r="136" spans="2:39" ht="15.75" customHeight="1">
      <c r="B136" s="2"/>
      <c r="D136" s="34"/>
      <c r="E136" s="45"/>
      <c r="F136" s="45"/>
      <c r="G136" s="45"/>
      <c r="K136" s="35"/>
      <c r="M136" s="36"/>
      <c r="N136" s="36"/>
      <c r="O136" s="36"/>
      <c r="Q136" s="45"/>
      <c r="R136" s="45"/>
      <c r="T136" s="8"/>
      <c r="U136" s="191"/>
      <c r="V136" s="191"/>
      <c r="W136" s="191"/>
      <c r="X136" s="191"/>
      <c r="Y136" s="9"/>
    </row>
    <row r="137" spans="2:39">
      <c r="B137" s="2"/>
      <c r="C137" s="1207" t="s">
        <v>564</v>
      </c>
      <c r="D137" s="1207"/>
      <c r="E137" s="1207"/>
      <c r="F137" s="1207"/>
      <c r="G137" s="1207"/>
      <c r="H137" s="1207"/>
      <c r="I137" s="1207"/>
      <c r="J137" s="1207"/>
      <c r="K137" s="1207"/>
      <c r="L137" s="1207"/>
      <c r="M137" s="1207"/>
      <c r="N137" s="1207"/>
      <c r="O137" s="1207"/>
      <c r="P137" s="203"/>
      <c r="Q137" s="44"/>
      <c r="R137" s="44"/>
      <c r="S137" s="193"/>
      <c r="T137" s="8"/>
      <c r="U137" s="1231"/>
      <c r="V137" s="1231"/>
      <c r="W137" s="1231"/>
      <c r="X137" s="1231"/>
      <c r="Y137" s="9"/>
    </row>
    <row r="138" spans="2:39" ht="16.5" customHeight="1">
      <c r="B138" s="2"/>
      <c r="C138" s="74"/>
      <c r="D138" s="1" t="s">
        <v>565</v>
      </c>
      <c r="F138" s="74"/>
      <c r="G138" s="74"/>
      <c r="H138" s="74"/>
      <c r="I138" s="74"/>
      <c r="J138" s="74"/>
      <c r="K138" s="74"/>
      <c r="L138" s="74"/>
      <c r="M138" s="74"/>
      <c r="N138" s="74"/>
      <c r="O138" s="74"/>
      <c r="P138" s="203"/>
      <c r="Q138" s="44"/>
      <c r="R138" s="44"/>
      <c r="S138" s="193"/>
      <c r="T138" s="8" t="s">
        <v>543</v>
      </c>
      <c r="U138" s="1231">
        <f>U139+U140</f>
        <v>0</v>
      </c>
      <c r="V138" s="1231"/>
      <c r="W138" s="1231"/>
      <c r="X138" s="1231"/>
      <c r="Y138" s="9" t="s">
        <v>544</v>
      </c>
    </row>
    <row r="139" spans="2:39" ht="25.5" customHeight="1">
      <c r="B139" s="2"/>
      <c r="E139" s="1263"/>
      <c r="F139" s="1263"/>
      <c r="G139" s="34" t="s">
        <v>522</v>
      </c>
      <c r="H139" s="1266"/>
      <c r="I139" s="1266"/>
      <c r="J139" s="1" t="s">
        <v>566</v>
      </c>
      <c r="M139" s="44" t="s">
        <v>567</v>
      </c>
      <c r="N139" s="1177" t="s">
        <v>568</v>
      </c>
      <c r="O139" s="1267"/>
      <c r="P139" s="1267"/>
      <c r="Q139" s="1255">
        <f>U65</f>
        <v>0</v>
      </c>
      <c r="R139" s="1255"/>
      <c r="S139" s="193" t="s">
        <v>497</v>
      </c>
      <c r="T139" s="192" t="s">
        <v>263</v>
      </c>
      <c r="U139" s="1254">
        <f>H139*Q139</f>
        <v>0</v>
      </c>
      <c r="V139" s="1254"/>
      <c r="W139" s="1254"/>
      <c r="X139" s="1254"/>
      <c r="Y139" s="193" t="s">
        <v>264</v>
      </c>
    </row>
    <row r="140" spans="2:39" ht="25.5" customHeight="1">
      <c r="B140" s="2"/>
      <c r="E140" s="1263"/>
      <c r="F140" s="1263"/>
      <c r="G140" s="34" t="s">
        <v>522</v>
      </c>
      <c r="H140" s="1266"/>
      <c r="I140" s="1266"/>
      <c r="J140" s="1" t="s">
        <v>561</v>
      </c>
      <c r="M140" s="44" t="s">
        <v>567</v>
      </c>
      <c r="N140" s="1177" t="s">
        <v>569</v>
      </c>
      <c r="O140" s="1267"/>
      <c r="P140" s="1267"/>
      <c r="Q140" s="1255">
        <f>U66</f>
        <v>0</v>
      </c>
      <c r="R140" s="1255"/>
      <c r="S140" s="193" t="s">
        <v>485</v>
      </c>
      <c r="T140" s="192" t="s">
        <v>263</v>
      </c>
      <c r="U140" s="1254">
        <f>H140*Q140</f>
        <v>0</v>
      </c>
      <c r="V140" s="1254"/>
      <c r="W140" s="1254"/>
      <c r="X140" s="1254"/>
      <c r="Y140" s="193" t="s">
        <v>264</v>
      </c>
    </row>
    <row r="141" spans="2:39" ht="12.75" customHeight="1">
      <c r="B141" s="2"/>
      <c r="E141" s="36"/>
      <c r="F141" s="36"/>
      <c r="G141" s="34"/>
      <c r="H141" s="204"/>
      <c r="I141" s="204"/>
      <c r="M141" s="44"/>
      <c r="N141" s="205"/>
      <c r="O141" s="203"/>
      <c r="P141" s="203"/>
      <c r="Q141" s="206"/>
      <c r="R141" s="206"/>
      <c r="S141" s="193"/>
      <c r="T141" s="192"/>
      <c r="U141" s="207"/>
      <c r="V141" s="207"/>
      <c r="W141" s="207"/>
      <c r="X141" s="207"/>
      <c r="Y141" s="193"/>
    </row>
    <row r="142" spans="2:39" ht="15" customHeight="1">
      <c r="B142" s="2"/>
      <c r="D142" s="1" t="s">
        <v>570</v>
      </c>
      <c r="F142" s="74"/>
      <c r="G142" s="74"/>
      <c r="H142" s="74"/>
      <c r="I142" s="74"/>
      <c r="J142" s="74"/>
      <c r="K142" s="74"/>
      <c r="L142" s="74"/>
      <c r="M142" s="74"/>
      <c r="N142" s="74"/>
      <c r="O142" s="74"/>
      <c r="P142" s="203"/>
      <c r="Q142" s="206"/>
      <c r="R142" s="206"/>
      <c r="S142" s="193"/>
      <c r="T142" s="8" t="s">
        <v>543</v>
      </c>
      <c r="U142" s="1231">
        <f>U143+U144</f>
        <v>0</v>
      </c>
      <c r="V142" s="1231"/>
      <c r="W142" s="1231"/>
      <c r="X142" s="1231"/>
      <c r="Y142" s="9" t="s">
        <v>544</v>
      </c>
    </row>
    <row r="143" spans="2:39" ht="27.75" customHeight="1">
      <c r="B143" s="2"/>
      <c r="E143" s="1263"/>
      <c r="F143" s="1263"/>
      <c r="G143" s="34" t="s">
        <v>522</v>
      </c>
      <c r="H143" s="1266"/>
      <c r="I143" s="1266"/>
      <c r="J143" s="1" t="s">
        <v>566</v>
      </c>
      <c r="M143" s="44" t="s">
        <v>567</v>
      </c>
      <c r="N143" s="1177" t="s">
        <v>571</v>
      </c>
      <c r="O143" s="1267"/>
      <c r="P143" s="1267"/>
      <c r="Q143" s="1255">
        <f>U67</f>
        <v>0</v>
      </c>
      <c r="R143" s="1255"/>
      <c r="S143" s="193" t="s">
        <v>497</v>
      </c>
      <c r="T143" s="192" t="s">
        <v>263</v>
      </c>
      <c r="U143" s="1254">
        <f>H143*Q143</f>
        <v>0</v>
      </c>
      <c r="V143" s="1254"/>
      <c r="W143" s="1254"/>
      <c r="X143" s="1254"/>
      <c r="Y143" s="193" t="s">
        <v>264</v>
      </c>
    </row>
    <row r="144" spans="2:39" ht="27.75" customHeight="1">
      <c r="B144" s="2"/>
      <c r="E144" s="1263"/>
      <c r="F144" s="1263"/>
      <c r="G144" s="34" t="s">
        <v>522</v>
      </c>
      <c r="H144" s="1266"/>
      <c r="I144" s="1266"/>
      <c r="J144" s="1" t="s">
        <v>561</v>
      </c>
      <c r="M144" s="44" t="s">
        <v>567</v>
      </c>
      <c r="N144" s="1177" t="s">
        <v>572</v>
      </c>
      <c r="O144" s="1267"/>
      <c r="P144" s="1267"/>
      <c r="Q144" s="1255">
        <f>U68</f>
        <v>0</v>
      </c>
      <c r="R144" s="1255"/>
      <c r="S144" s="193" t="s">
        <v>485</v>
      </c>
      <c r="T144" s="192" t="s">
        <v>263</v>
      </c>
      <c r="U144" s="1254">
        <f>H144*Q144</f>
        <v>0</v>
      </c>
      <c r="V144" s="1254"/>
      <c r="W144" s="1254"/>
      <c r="X144" s="1254"/>
      <c r="Y144" s="193" t="s">
        <v>264</v>
      </c>
    </row>
    <row r="145" spans="2:28" ht="13.5" customHeight="1">
      <c r="B145" s="2"/>
      <c r="E145" s="36"/>
      <c r="F145" s="36"/>
      <c r="G145" s="34"/>
      <c r="H145" s="204"/>
      <c r="I145" s="204"/>
      <c r="M145" s="44"/>
      <c r="N145" s="205"/>
      <c r="O145" s="203"/>
      <c r="P145" s="203"/>
      <c r="Q145" s="206"/>
      <c r="R145" s="206"/>
      <c r="S145" s="193"/>
      <c r="T145" s="192"/>
      <c r="U145" s="207"/>
      <c r="V145" s="207"/>
      <c r="W145" s="207"/>
      <c r="X145" s="207"/>
      <c r="Y145" s="193"/>
    </row>
    <row r="146" spans="2:28">
      <c r="B146" s="2"/>
      <c r="C146" s="1207" t="s">
        <v>573</v>
      </c>
      <c r="D146" s="1207"/>
      <c r="E146" s="1207"/>
      <c r="F146" s="1207"/>
      <c r="G146" s="1207"/>
      <c r="H146" s="1207"/>
      <c r="I146" s="1207"/>
      <c r="J146" s="1207"/>
      <c r="K146" s="1207"/>
      <c r="L146" s="1207"/>
      <c r="M146" s="1207"/>
      <c r="N146" s="1207"/>
      <c r="O146" s="1207"/>
      <c r="P146" s="203"/>
      <c r="Q146" s="206"/>
      <c r="R146" s="206"/>
      <c r="S146" s="193"/>
      <c r="T146" s="8"/>
      <c r="U146" s="1231"/>
      <c r="V146" s="1231"/>
      <c r="W146" s="1231"/>
      <c r="X146" s="1231"/>
      <c r="Y146" s="9"/>
    </row>
    <row r="147" spans="2:28" ht="14.25" customHeight="1">
      <c r="B147" s="2"/>
      <c r="C147" s="74"/>
      <c r="D147" s="1" t="s">
        <v>565</v>
      </c>
      <c r="F147" s="74"/>
      <c r="G147" s="74"/>
      <c r="H147" s="74"/>
      <c r="I147" s="74"/>
      <c r="J147" s="74"/>
      <c r="K147" s="74"/>
      <c r="L147" s="74"/>
      <c r="M147" s="74"/>
      <c r="N147" s="74"/>
      <c r="O147" s="74"/>
      <c r="P147" s="203"/>
      <c r="Q147" s="206"/>
      <c r="R147" s="206"/>
      <c r="S147" s="193"/>
      <c r="T147" s="8" t="s">
        <v>543</v>
      </c>
      <c r="U147" s="1231">
        <f>U148+U149</f>
        <v>0</v>
      </c>
      <c r="V147" s="1231"/>
      <c r="W147" s="1231"/>
      <c r="X147" s="1231"/>
      <c r="Y147" s="9" t="s">
        <v>544</v>
      </c>
    </row>
    <row r="148" spans="2:28" ht="25.5" customHeight="1">
      <c r="B148" s="2"/>
      <c r="E148" s="1263"/>
      <c r="F148" s="1263"/>
      <c r="G148" s="34" t="s">
        <v>522</v>
      </c>
      <c r="H148" s="1266"/>
      <c r="I148" s="1266"/>
      <c r="J148" s="1" t="s">
        <v>566</v>
      </c>
      <c r="M148" s="44" t="s">
        <v>567</v>
      </c>
      <c r="N148" s="1177" t="s">
        <v>574</v>
      </c>
      <c r="O148" s="1267"/>
      <c r="P148" s="1267"/>
      <c r="Q148" s="1255">
        <f>U70</f>
        <v>0</v>
      </c>
      <c r="R148" s="1255"/>
      <c r="S148" s="193" t="s">
        <v>497</v>
      </c>
      <c r="T148" s="192" t="s">
        <v>263</v>
      </c>
      <c r="U148" s="1254">
        <f>H148*Q148</f>
        <v>0</v>
      </c>
      <c r="V148" s="1254"/>
      <c r="W148" s="1254"/>
      <c r="X148" s="1254"/>
      <c r="Y148" s="193" t="s">
        <v>264</v>
      </c>
    </row>
    <row r="149" spans="2:28" ht="25.5" customHeight="1">
      <c r="B149" s="2"/>
      <c r="E149" s="1263"/>
      <c r="F149" s="1263"/>
      <c r="G149" s="34" t="s">
        <v>522</v>
      </c>
      <c r="H149" s="1266"/>
      <c r="I149" s="1266"/>
      <c r="J149" s="1" t="s">
        <v>561</v>
      </c>
      <c r="M149" s="44" t="s">
        <v>567</v>
      </c>
      <c r="N149" s="1177" t="s">
        <v>575</v>
      </c>
      <c r="O149" s="1267"/>
      <c r="P149" s="1267"/>
      <c r="Q149" s="1255">
        <f>U71</f>
        <v>0</v>
      </c>
      <c r="R149" s="1255"/>
      <c r="S149" s="193" t="s">
        <v>485</v>
      </c>
      <c r="T149" s="192" t="s">
        <v>263</v>
      </c>
      <c r="U149" s="1254">
        <f>H149*Q149</f>
        <v>0</v>
      </c>
      <c r="V149" s="1254"/>
      <c r="W149" s="1254"/>
      <c r="X149" s="1254"/>
      <c r="Y149" s="193" t="s">
        <v>264</v>
      </c>
    </row>
    <row r="150" spans="2:28" ht="14.25" customHeight="1">
      <c r="B150" s="2"/>
      <c r="E150" s="36"/>
      <c r="F150" s="36"/>
      <c r="G150" s="34"/>
      <c r="H150" s="204"/>
      <c r="I150" s="204"/>
      <c r="M150" s="44"/>
      <c r="N150" s="205"/>
      <c r="O150" s="203"/>
      <c r="P150" s="203"/>
      <c r="Q150" s="206"/>
      <c r="R150" s="206"/>
      <c r="S150" s="193"/>
      <c r="T150" s="192"/>
      <c r="U150" s="207"/>
      <c r="V150" s="207"/>
      <c r="W150" s="207"/>
      <c r="X150" s="207"/>
      <c r="Y150" s="193"/>
    </row>
    <row r="151" spans="2:28" ht="15" customHeight="1">
      <c r="B151" s="2"/>
      <c r="D151" s="1" t="s">
        <v>570</v>
      </c>
      <c r="F151" s="74"/>
      <c r="G151" s="74"/>
      <c r="H151" s="74"/>
      <c r="I151" s="74"/>
      <c r="J151" s="74"/>
      <c r="K151" s="74"/>
      <c r="L151" s="74"/>
      <c r="M151" s="74"/>
      <c r="N151" s="74"/>
      <c r="O151" s="74"/>
      <c r="P151" s="203"/>
      <c r="Q151" s="206"/>
      <c r="R151" s="206"/>
      <c r="S151" s="193"/>
      <c r="T151" s="8" t="s">
        <v>543</v>
      </c>
      <c r="U151" s="1231">
        <f>U152+U153</f>
        <v>0</v>
      </c>
      <c r="V151" s="1231"/>
      <c r="W151" s="1231"/>
      <c r="X151" s="1231"/>
      <c r="Y151" s="9" t="s">
        <v>544</v>
      </c>
    </row>
    <row r="152" spans="2:28" ht="27.75" customHeight="1">
      <c r="B152" s="2"/>
      <c r="E152" s="1263"/>
      <c r="F152" s="1263"/>
      <c r="G152" s="34" t="s">
        <v>522</v>
      </c>
      <c r="H152" s="1266"/>
      <c r="I152" s="1266"/>
      <c r="J152" s="1" t="s">
        <v>566</v>
      </c>
      <c r="M152" s="44" t="s">
        <v>567</v>
      </c>
      <c r="N152" s="1177" t="s">
        <v>576</v>
      </c>
      <c r="O152" s="1267"/>
      <c r="P152" s="1267"/>
      <c r="Q152" s="1255">
        <f>U72</f>
        <v>0</v>
      </c>
      <c r="R152" s="1255"/>
      <c r="S152" s="193" t="s">
        <v>497</v>
      </c>
      <c r="T152" s="192" t="s">
        <v>263</v>
      </c>
      <c r="U152" s="1254">
        <f>H152*Q152</f>
        <v>0</v>
      </c>
      <c r="V152" s="1254"/>
      <c r="W152" s="1254"/>
      <c r="X152" s="1254"/>
      <c r="Y152" s="193" t="s">
        <v>264</v>
      </c>
    </row>
    <row r="153" spans="2:28" ht="27.75" customHeight="1">
      <c r="B153" s="2"/>
      <c r="E153" s="1263"/>
      <c r="F153" s="1263"/>
      <c r="G153" s="34" t="s">
        <v>522</v>
      </c>
      <c r="H153" s="1266"/>
      <c r="I153" s="1266"/>
      <c r="J153" s="1" t="s">
        <v>561</v>
      </c>
      <c r="M153" s="44" t="s">
        <v>567</v>
      </c>
      <c r="N153" s="1177" t="s">
        <v>577</v>
      </c>
      <c r="O153" s="1267"/>
      <c r="P153" s="1267"/>
      <c r="Q153" s="1255">
        <f>U73</f>
        <v>0</v>
      </c>
      <c r="R153" s="1255"/>
      <c r="S153" s="193" t="s">
        <v>485</v>
      </c>
      <c r="T153" s="192" t="s">
        <v>263</v>
      </c>
      <c r="U153" s="1254">
        <f>H153*Q153</f>
        <v>0</v>
      </c>
      <c r="V153" s="1254"/>
      <c r="W153" s="1254"/>
      <c r="X153" s="1254"/>
      <c r="Y153" s="193" t="s">
        <v>264</v>
      </c>
    </row>
    <row r="154" spans="2:28" ht="8.25" customHeight="1">
      <c r="B154" s="2"/>
      <c r="C154" s="1207"/>
      <c r="D154" s="1207"/>
      <c r="E154" s="1207"/>
      <c r="F154" s="1207"/>
      <c r="G154" s="1207"/>
      <c r="H154" s="1207"/>
      <c r="I154" s="1207"/>
      <c r="J154" s="1207"/>
      <c r="K154" s="1207"/>
      <c r="L154" s="1207"/>
      <c r="M154" s="1207"/>
      <c r="N154" s="1207"/>
      <c r="O154" s="1207"/>
      <c r="P154" s="45"/>
      <c r="Q154" s="45"/>
      <c r="R154" s="45"/>
      <c r="S154" s="9"/>
      <c r="T154" s="8"/>
      <c r="U154" s="191"/>
      <c r="V154" s="191"/>
      <c r="W154" s="191"/>
      <c r="X154" s="191"/>
      <c r="Y154" s="9"/>
    </row>
    <row r="155" spans="2:28" ht="9" customHeight="1">
      <c r="B155" s="2"/>
      <c r="D155" s="35"/>
      <c r="E155" s="36"/>
      <c r="F155" s="36"/>
      <c r="G155" s="34"/>
      <c r="H155" s="204"/>
      <c r="I155" s="204"/>
      <c r="M155" s="132"/>
      <c r="N155" s="208"/>
      <c r="O155" s="84"/>
      <c r="P155" s="84"/>
      <c r="Q155" s="44"/>
      <c r="R155" s="44"/>
      <c r="T155" s="192"/>
      <c r="U155" s="207"/>
      <c r="V155" s="207"/>
      <c r="W155" s="207"/>
      <c r="X155" s="207"/>
      <c r="Y155" s="193"/>
    </row>
    <row r="156" spans="2:28" ht="15" customHeight="1">
      <c r="B156" s="2"/>
      <c r="K156" s="1" t="s">
        <v>578</v>
      </c>
      <c r="P156" s="155"/>
      <c r="Q156" s="35"/>
      <c r="R156" s="35"/>
      <c r="S156" s="121"/>
      <c r="T156" s="8" t="s">
        <v>543</v>
      </c>
      <c r="U156" s="1268" t="e">
        <f>U78+U117+U119+U125+U126+U129+U135+U138+U142+U147+U151</f>
        <v>#VALUE!</v>
      </c>
      <c r="V156" s="1268"/>
      <c r="W156" s="1268"/>
      <c r="X156" s="1268"/>
      <c r="Y156" s="9" t="s">
        <v>544</v>
      </c>
      <c r="AB156" s="110"/>
    </row>
    <row r="157" spans="2:28" ht="6" customHeight="1" thickBot="1">
      <c r="B157" s="209"/>
      <c r="C157" s="210"/>
      <c r="D157" s="210"/>
      <c r="E157" s="210"/>
      <c r="F157" s="210"/>
      <c r="G157" s="210"/>
      <c r="H157" s="210"/>
      <c r="I157" s="210"/>
      <c r="J157" s="210"/>
      <c r="K157" s="210"/>
      <c r="L157" s="210"/>
      <c r="M157" s="210"/>
      <c r="N157" s="210"/>
      <c r="O157" s="210"/>
      <c r="P157" s="210"/>
      <c r="Q157" s="210"/>
      <c r="R157" s="210"/>
      <c r="S157" s="211"/>
      <c r="T157" s="209"/>
      <c r="U157" s="210"/>
      <c r="V157" s="210"/>
      <c r="W157" s="210"/>
      <c r="X157" s="210"/>
      <c r="Y157" s="211"/>
    </row>
    <row r="158" spans="2:28" ht="30" customHeight="1" thickTop="1">
      <c r="B158" s="1269" t="s">
        <v>579</v>
      </c>
      <c r="C158" s="1270"/>
      <c r="D158" s="1270"/>
      <c r="E158" s="1270"/>
      <c r="F158" s="1270"/>
      <c r="G158" s="1270"/>
      <c r="H158" s="1270"/>
      <c r="I158" s="1273"/>
      <c r="J158" s="1273"/>
      <c r="K158" s="1273"/>
      <c r="L158" s="1273"/>
      <c r="M158" s="1273"/>
      <c r="N158" s="1469"/>
      <c r="O158" s="1469"/>
      <c r="P158" s="1469"/>
      <c r="Q158" s="1469"/>
      <c r="R158" s="1469"/>
      <c r="S158" s="48"/>
      <c r="T158" s="1274" t="s">
        <v>580</v>
      </c>
      <c r="U158" s="1275"/>
      <c r="V158" s="1275"/>
      <c r="W158" s="1275"/>
      <c r="X158" s="1275"/>
      <c r="Y158" s="1276"/>
    </row>
    <row r="159" spans="2:28" ht="30" customHeight="1" thickBot="1">
      <c r="B159" s="1271"/>
      <c r="C159" s="1272"/>
      <c r="D159" s="1272"/>
      <c r="E159" s="1272"/>
      <c r="F159" s="1272"/>
      <c r="G159" s="1272"/>
      <c r="H159" s="1280" t="s">
        <v>581</v>
      </c>
      <c r="I159" s="1281"/>
      <c r="J159" s="1281"/>
      <c r="K159" s="1281"/>
      <c r="L159" s="1281"/>
      <c r="M159" s="1281"/>
      <c r="N159" s="1470"/>
      <c r="O159" s="1470"/>
      <c r="P159" s="1470"/>
      <c r="Q159" s="1470"/>
      <c r="R159" s="1470"/>
      <c r="S159" s="9" t="s">
        <v>209</v>
      </c>
      <c r="T159" s="1277"/>
      <c r="U159" s="1278"/>
      <c r="V159" s="1278"/>
      <c r="W159" s="1278"/>
      <c r="X159" s="1278"/>
      <c r="Y159" s="1279"/>
      <c r="AB159" s="212" t="e">
        <f>U156</f>
        <v>#VALUE!</v>
      </c>
    </row>
    <row r="160" spans="2:28" ht="17.25" customHeight="1">
      <c r="B160" s="49"/>
      <c r="C160" s="50"/>
      <c r="D160" s="50"/>
      <c r="E160" s="50"/>
      <c r="F160" s="50"/>
      <c r="G160" s="50"/>
      <c r="H160" s="50"/>
      <c r="I160" s="50"/>
      <c r="J160" s="125" t="s">
        <v>582</v>
      </c>
      <c r="S160" s="9"/>
      <c r="T160" s="8" t="s">
        <v>543</v>
      </c>
      <c r="U160" s="1268">
        <f>ROUNDDOWN(IF(N159&gt;7200000,U156*0.8,0),0)</f>
        <v>0</v>
      </c>
      <c r="V160" s="1268"/>
      <c r="W160" s="1268"/>
      <c r="X160" s="1268"/>
      <c r="Y160" s="9" t="s">
        <v>544</v>
      </c>
      <c r="AB160" s="212">
        <f>U160</f>
        <v>0</v>
      </c>
    </row>
    <row r="161" spans="2:28" ht="28.5" customHeight="1">
      <c r="B161" s="16"/>
      <c r="C161" s="51"/>
      <c r="D161" s="51"/>
      <c r="E161" s="51"/>
      <c r="F161" s="51"/>
      <c r="G161" s="51"/>
      <c r="H161" s="1284" t="s">
        <v>583</v>
      </c>
      <c r="I161" s="1284"/>
      <c r="J161" s="1284"/>
      <c r="K161" s="1284"/>
      <c r="L161" s="1284"/>
      <c r="M161" s="1284"/>
      <c r="N161" s="1284"/>
      <c r="O161" s="1284"/>
      <c r="P161" s="1284"/>
      <c r="Q161" s="1284"/>
      <c r="R161" s="1284"/>
      <c r="S161" s="1285"/>
      <c r="T161" s="1277" t="s">
        <v>584</v>
      </c>
      <c r="U161" s="1278"/>
      <c r="V161" s="1278"/>
      <c r="W161" s="1278"/>
      <c r="X161" s="1278"/>
      <c r="Y161" s="1279"/>
      <c r="AB161" s="110">
        <f>U163</f>
        <v>0</v>
      </c>
    </row>
    <row r="162" spans="2:28" ht="30" customHeight="1">
      <c r="B162" s="1286" t="s">
        <v>585</v>
      </c>
      <c r="C162" s="1287"/>
      <c r="D162" s="1287"/>
      <c r="E162" s="1287"/>
      <c r="F162" s="1287"/>
      <c r="G162" s="1287"/>
      <c r="H162" s="1290"/>
      <c r="I162" s="1290"/>
      <c r="J162" s="1290"/>
      <c r="K162" s="52"/>
      <c r="L162" s="52"/>
      <c r="M162" s="52"/>
      <c r="N162" s="53"/>
      <c r="O162" s="53"/>
      <c r="P162" s="53"/>
      <c r="Q162" s="53"/>
      <c r="R162" s="53"/>
      <c r="S162" s="54"/>
      <c r="T162" s="1277"/>
      <c r="U162" s="1278"/>
      <c r="V162" s="1278"/>
      <c r="W162" s="1278"/>
      <c r="X162" s="1278"/>
      <c r="Y162" s="1279"/>
    </row>
    <row r="163" spans="2:28" ht="30" customHeight="1" thickBot="1">
      <c r="B163" s="1288"/>
      <c r="C163" s="1289"/>
      <c r="D163" s="1289"/>
      <c r="E163" s="1289"/>
      <c r="F163" s="1289"/>
      <c r="G163" s="1289"/>
      <c r="H163" s="1291"/>
      <c r="I163" s="1292"/>
      <c r="J163" s="1292"/>
      <c r="K163" s="1292"/>
      <c r="L163" s="1292"/>
      <c r="M163" s="1292"/>
      <c r="N163" s="1471"/>
      <c r="O163" s="1471"/>
      <c r="P163" s="1471"/>
      <c r="Q163" s="1471"/>
      <c r="R163" s="1471"/>
      <c r="S163" s="9" t="s">
        <v>449</v>
      </c>
      <c r="T163" s="8" t="s">
        <v>543</v>
      </c>
      <c r="U163" s="1268">
        <f>ROUNDDOWN(IF(AND(N159&gt;6300000,N159&lt;=7200000),U156*0.9,0),0)</f>
        <v>0</v>
      </c>
      <c r="V163" s="1268"/>
      <c r="W163" s="1268"/>
      <c r="X163" s="1268"/>
      <c r="Y163" s="9" t="s">
        <v>544</v>
      </c>
    </row>
    <row r="164" spans="2:28" ht="43.5" customHeight="1">
      <c r="B164" s="1282" t="s">
        <v>586</v>
      </c>
      <c r="C164" s="1177"/>
      <c r="D164" s="1177"/>
      <c r="E164" s="1177"/>
      <c r="F164" s="1177"/>
      <c r="G164" s="1177"/>
      <c r="H164" s="1177"/>
      <c r="I164" s="1177"/>
      <c r="J164" s="1177"/>
      <c r="K164" s="1177"/>
      <c r="L164" s="1177"/>
      <c r="M164" s="1177"/>
      <c r="N164" s="1177"/>
      <c r="O164" s="1177"/>
      <c r="P164" s="1177"/>
      <c r="Q164" s="1177"/>
      <c r="R164" s="1177"/>
      <c r="S164" s="1283"/>
      <c r="T164" s="8"/>
      <c r="U164" s="55"/>
      <c r="V164" s="55"/>
      <c r="W164" s="55"/>
      <c r="X164" s="55"/>
      <c r="Y164" s="9"/>
    </row>
    <row r="165" spans="2:28" ht="6" customHeight="1">
      <c r="B165" s="56"/>
      <c r="C165" s="57"/>
      <c r="D165" s="57"/>
      <c r="E165" s="57"/>
      <c r="F165" s="57"/>
      <c r="G165" s="57"/>
      <c r="H165" s="57"/>
      <c r="I165" s="57"/>
      <c r="J165" s="57"/>
      <c r="K165" s="57"/>
      <c r="L165" s="57"/>
      <c r="M165" s="57"/>
      <c r="N165" s="57"/>
      <c r="O165" s="57"/>
      <c r="P165" s="57"/>
      <c r="Q165" s="57"/>
      <c r="R165" s="57"/>
      <c r="S165" s="58"/>
      <c r="T165" s="16"/>
      <c r="U165" s="51"/>
      <c r="V165" s="51"/>
      <c r="W165" s="51"/>
      <c r="X165" s="51"/>
      <c r="Y165" s="59"/>
    </row>
    <row r="166" spans="2:28" ht="15.75" customHeight="1">
      <c r="B166" s="213" t="s">
        <v>288</v>
      </c>
      <c r="C166" s="214"/>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row>
    <row r="167" spans="2:28" ht="11.1" customHeight="1">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row>
    <row r="168" spans="2:28" ht="11.25" customHeight="1">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4"/>
  <conditionalFormatting sqref="C117">
    <cfRule type="containsBlanks" dxfId="39" priority="7">
      <formula>LEN(TRIM(C117))=0</formula>
    </cfRule>
  </conditionalFormatting>
  <conditionalFormatting sqref="C119">
    <cfRule type="containsBlanks" dxfId="38" priority="6">
      <formula>LEN(TRIM(C119))=0</formula>
    </cfRule>
  </conditionalFormatting>
  <conditionalFormatting sqref="C123">
    <cfRule type="containsBlanks" dxfId="37" priority="5">
      <formula>LEN(TRIM(C123))=0</formula>
    </cfRule>
  </conditionalFormatting>
  <conditionalFormatting sqref="C126">
    <cfRule type="containsBlanks" dxfId="36" priority="4">
      <formula>LEN(TRIM(C126))=0</formula>
    </cfRule>
  </conditionalFormatting>
  <conditionalFormatting sqref="I7">
    <cfRule type="containsBlanks" dxfId="35" priority="10" stopIfTrue="1">
      <formula>LEN(TRIM(I7))=0</formula>
    </cfRule>
  </conditionalFormatting>
  <conditionalFormatting sqref="J38:M39 U38:X39">
    <cfRule type="containsBlanks" dxfId="34" priority="13">
      <formula>LEN(TRIM(J38))=0</formula>
    </cfRule>
  </conditionalFormatting>
  <conditionalFormatting sqref="K78 N78">
    <cfRule type="containsBlanks" dxfId="33" priority="8" stopIfTrue="1">
      <formula>LEN(TRIM(K78))=0</formula>
    </cfRule>
  </conditionalFormatting>
  <conditionalFormatting sqref="M49:O49 Q49:S49">
    <cfRule type="containsBlanks" dxfId="32" priority="1">
      <formula>LEN(TRIM(M49))=0</formula>
    </cfRule>
  </conditionalFormatting>
  <conditionalFormatting sqref="N163:R163">
    <cfRule type="containsBlanks" dxfId="31" priority="2">
      <formula>LEN(TRIM(N163))=0</formula>
    </cfRule>
  </conditionalFormatting>
  <conditionalFormatting sqref="N6:Y6">
    <cfRule type="containsBlanks" dxfId="30" priority="11" stopIfTrue="1">
      <formula>LEN(TRIM(N6))=0</formula>
    </cfRule>
  </conditionalFormatting>
  <conditionalFormatting sqref="O132:P132">
    <cfRule type="containsBlanks" dxfId="29" priority="3">
      <formula>LEN(TRIM(O132))=0</formula>
    </cfRule>
  </conditionalFormatting>
  <conditionalFormatting sqref="V59:Y62">
    <cfRule type="containsBlanks" dxfId="28" priority="9" stopIfTrue="1">
      <formula>LEN(TRIM(V59))=0</formula>
    </cfRule>
  </conditionalFormatting>
  <dataValidations count="5">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xr:uid="{00000000-0002-0000-2300-000000000000}">
      <formula1>$AA$1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xr:uid="{00000000-0002-0000-2300-000001000000}">
      <formula1>$AA$3</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xr:uid="{00000000-0002-0000-2300-000002000000}">
      <formula1>$AM$66:$AM$71</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2300-000003000000}">
      <formula1>$AN$66:$AN$68</formula1>
    </dataValidation>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xr:uid="{00000000-0002-0000-2300-000004000000}">
      <formula1>$AM$132:$AM$134</formula1>
    </dataValidation>
  </dataValidations>
  <pageMargins left="0.70866141732283472" right="0.70866141732283472" top="0.74803149606299213" bottom="0.74803149606299213" header="0.31496062992125984" footer="0.31496062992125984"/>
  <pageSetup paperSize="9" scale="72" orientation="portrait" blackAndWhite="1" r:id="rId1"/>
  <rowBreaks count="1" manualBreakCount="1">
    <brk id="73" max="2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19DC4-AD71-42C4-8DEF-7D30E1AB2F5E}">
  <sheetPr>
    <tabColor rgb="FFFFC000"/>
    <pageSetUpPr fitToPage="1"/>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3" width="3.625" style="1"/>
    <col min="34" max="34" width="5.5" style="1" bestFit="1" customWidth="1"/>
    <col min="35" max="35" width="6.5" style="1" bestFit="1" customWidth="1"/>
    <col min="36"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587</v>
      </c>
      <c r="B1" s="305"/>
      <c r="AA1" s="1" t="s">
        <v>435</v>
      </c>
    </row>
    <row r="2" spans="1:29" ht="9" customHeight="1"/>
    <row r="3" spans="1:29" ht="18.75" customHeight="1">
      <c r="A3" s="952" t="s">
        <v>588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'第4号様式別紙2-1（臨床研修（医師）実績報告）附表 A1'!U24+'第4号様式別紙2-1（臨床研修（医師）実績報告）附表 A1'!U25</f>
        <v>0</v>
      </c>
      <c r="N15" s="1335"/>
      <c r="O15" s="1335"/>
      <c r="P15" s="438" t="s">
        <v>449</v>
      </c>
      <c r="Q15" s="1334">
        <f>'第4号様式別紙2-1（臨床研修（医師）実績報告）附表 A2'!U32+'第4号様式別紙2-1（臨床研修（医師）実績報告）附表 A2'!U33+'第4号様式別紙2-1（臨床研修（医師）実績報告）附表 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'第4号様式別紙2-1（臨床研修（医師）実績報告）附表 A1'!V24+'第4号様式別紙2-1（臨床研修（医師）実績報告）附表 A1'!V25</f>
        <v>0</v>
      </c>
      <c r="N16" s="1335"/>
      <c r="O16" s="1335"/>
      <c r="P16" s="438" t="s">
        <v>449</v>
      </c>
      <c r="Q16" s="1334">
        <f>'第4号様式別紙2-1（臨床研修（医師）実績報告）附表 A2'!V32+'第4号様式別紙2-1（臨床研修（医師）実績報告）附表 A2'!V33+'第4号様式別紙2-1（臨床研修（医師）実績報告）附表 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3.25"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1.7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c r="AH33" s="1" t="b">
        <f>IF('第4号様式別紙2-1（臨床研修（医師）実績報告）附表 A1'!AI17="入力不可",FALSE,TRUE)</f>
        <v>1</v>
      </c>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row>
    <row r="39" spans="1:34" ht="15" customHeight="1">
      <c r="B39" s="102" t="s">
        <v>473</v>
      </c>
      <c r="C39" s="103"/>
      <c r="D39" s="103"/>
      <c r="E39" s="103"/>
      <c r="F39" s="103"/>
      <c r="G39" s="103"/>
      <c r="H39" s="103"/>
      <c r="I39" s="104"/>
      <c r="J39" s="1328"/>
      <c r="K39" s="1329"/>
      <c r="L39" s="1329"/>
      <c r="M39" s="1329"/>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'第4号様式別紙2-1（臨床研修（医師）実績報告）附表 A1'!AI21+'第4号様式別紙2-1（臨床研修（医師）実績報告）附表 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'第4号様式別紙2-1（臨床研修（医師）実績報告）附表 A1'!AI23+'第4号様式別紙2-1（臨床研修（医師）実績報告）附表 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'第4号様式別紙2-1（臨床研修（医師）実績報告）附表 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'第4号様式別紙2-1（臨床研修（医師）実績報告）附表 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'第4号様式別紙2-1（臨床研修（医師）実績報告）附表 A1'!AJ21+'第4号様式別紙2-1（臨床研修（医師）実績報告）附表 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'第4号様式別紙2-1（臨床研修（医師）実績報告）附表 A1'!AJ23+'第4号様式別紙2-1（臨床研修（医師）実績報告）附表 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'第4号様式別紙2-1（臨床研修（医師）実績報告）附表 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'第4号様式別紙2-1（臨床研修（医師）実績報告）附表 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 t="s">
        <v>538</v>
      </c>
      <c r="K112" s="35" t="s">
        <v>539</v>
      </c>
      <c r="L112" s="101" t="s">
        <v>540</v>
      </c>
      <c r="Q112" s="1252">
        <f>U28</f>
        <v>0</v>
      </c>
      <c r="R112" s="1253"/>
      <c r="S112" s="1" t="s">
        <v>449</v>
      </c>
      <c r="T112" s="8"/>
      <c r="U112" s="1256"/>
      <c r="V112" s="1256"/>
      <c r="W112" s="1256"/>
      <c r="X112" s="1256"/>
      <c r="Y112" s="9"/>
      <c r="AB112" s="197"/>
      <c r="AC112" s="197"/>
      <c r="AF112" s="197"/>
    </row>
    <row r="113" spans="2: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2:39" ht="15" customHeight="1" thickBot="1">
      <c r="B114" s="2"/>
      <c r="C114" s="198"/>
      <c r="D114" s="1" t="s">
        <v>542</v>
      </c>
      <c r="K114" s="35" t="s">
        <v>268</v>
      </c>
      <c r="L114" s="101" t="s">
        <v>540</v>
      </c>
      <c r="M114" s="199"/>
      <c r="N114" s="199"/>
      <c r="O114" s="199"/>
      <c r="P114" s="199"/>
      <c r="Q114" s="1303">
        <f>U28</f>
        <v>0</v>
      </c>
      <c r="R114" s="1303"/>
      <c r="S114" s="1" t="s">
        <v>451</v>
      </c>
      <c r="T114" s="8" t="s">
        <v>543</v>
      </c>
      <c r="U114" s="1262">
        <f>IF(C114="○",AA115,IF(C112="○",AA114,0))</f>
        <v>0</v>
      </c>
      <c r="V114" s="1262"/>
      <c r="W114" s="1262"/>
      <c r="X114" s="1262"/>
      <c r="Y114" s="9" t="s">
        <v>544</v>
      </c>
      <c r="AA114" s="1251">
        <f>IF(Q114=0,0,ROUNDDOWN((40000*M115/Q115*Q114),0))</f>
        <v>0</v>
      </c>
      <c r="AB114" s="1251"/>
      <c r="AC114" s="1251"/>
      <c r="AD114" s="1251"/>
      <c r="AE114" s="1251"/>
    </row>
    <row r="115" spans="2: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IF(C112="○","",ROUNDDOWN((97000*M115/Q115*Q114),0))</f>
        <v>#DIV/0!</v>
      </c>
      <c r="AB115" s="1251"/>
      <c r="AC115" s="1251"/>
      <c r="AD115" s="1251"/>
      <c r="AE115" s="1251"/>
    </row>
    <row r="116" spans="2:39" ht="8.25" customHeight="1">
      <c r="B116" s="2"/>
      <c r="M116" s="34"/>
      <c r="P116" s="35"/>
      <c r="T116" s="2"/>
      <c r="U116" s="187"/>
      <c r="V116" s="187"/>
      <c r="W116" s="187"/>
      <c r="X116" s="187"/>
      <c r="Y116" s="9"/>
    </row>
    <row r="117" spans="2:39" ht="13.5" customHeight="1" thickBot="1">
      <c r="B117" s="2"/>
      <c r="C117" s="101"/>
      <c r="D117" s="786" t="s">
        <v>608</v>
      </c>
      <c r="M117" s="34"/>
      <c r="P117" s="35"/>
      <c r="T117" s="2"/>
      <c r="U117" s="187"/>
      <c r="V117" s="187"/>
      <c r="W117" s="187"/>
      <c r="X117" s="187"/>
      <c r="Y117" s="9"/>
    </row>
    <row r="118" spans="2:39" ht="15" customHeight="1" thickBot="1">
      <c r="B118" s="2"/>
      <c r="C118" s="47"/>
      <c r="D118" s="101" t="s">
        <v>550</v>
      </c>
      <c r="M118" s="34"/>
      <c r="P118" s="35"/>
      <c r="T118" s="2"/>
      <c r="U118" s="187"/>
      <c r="V118" s="187"/>
      <c r="W118" s="187"/>
      <c r="X118" s="187"/>
      <c r="Y118" s="9"/>
    </row>
    <row r="119" spans="2:39" ht="15" customHeight="1">
      <c r="B119" s="2"/>
      <c r="C119" s="609" t="s">
        <v>609</v>
      </c>
      <c r="L119" s="200"/>
      <c r="M119" s="200"/>
      <c r="N119" s="200"/>
      <c r="O119" s="200"/>
      <c r="P119" s="200"/>
      <c r="T119" s="2"/>
      <c r="U119" s="187"/>
      <c r="V119" s="187"/>
      <c r="W119" s="187"/>
      <c r="X119" s="187"/>
      <c r="Y119" s="9"/>
    </row>
    <row r="120" spans="2:39" ht="15" customHeight="1" thickBot="1">
      <c r="B120" s="2"/>
      <c r="D120" s="200"/>
      <c r="E120" s="1257"/>
      <c r="F120" s="1257"/>
      <c r="G120" s="1257"/>
      <c r="H120" s="1257"/>
      <c r="K120" s="937" t="s">
        <v>552</v>
      </c>
      <c r="L120" s="937"/>
      <c r="M120" s="937"/>
      <c r="N120" s="937"/>
      <c r="O120" s="937"/>
      <c r="P120" s="937"/>
      <c r="Q120" s="1303">
        <f>U28</f>
        <v>0</v>
      </c>
      <c r="R120" s="1303"/>
      <c r="S120" s="1" t="s">
        <v>451</v>
      </c>
      <c r="T120" s="8" t="s">
        <v>543</v>
      </c>
      <c r="U120" s="1298">
        <f>IF($C118=1,0,IF(C121="○",0,IF($U28&gt;19,538000,IF($U28&gt;1,269000,IF($U28=0,0,179000)))))</f>
        <v>0</v>
      </c>
      <c r="V120" s="1298"/>
      <c r="W120" s="1298"/>
      <c r="X120" s="1298"/>
      <c r="Y120" s="9" t="s">
        <v>544</v>
      </c>
    </row>
    <row r="121" spans="2:39" ht="15" customHeight="1" thickBot="1">
      <c r="B121" s="2"/>
      <c r="C121" s="201"/>
      <c r="D121" s="1258" t="s">
        <v>553</v>
      </c>
      <c r="E121" s="1258"/>
      <c r="F121" s="1258"/>
      <c r="G121" s="1258"/>
      <c r="H121" s="1258"/>
      <c r="I121" s="1258"/>
      <c r="J121" s="1258"/>
      <c r="K121" s="1258"/>
      <c r="L121" s="1258"/>
      <c r="M121" s="1258"/>
      <c r="N121" s="1258"/>
      <c r="O121" s="1258"/>
      <c r="P121" s="1258"/>
      <c r="Q121" s="1258"/>
      <c r="R121" s="1258"/>
      <c r="S121" s="1259"/>
      <c r="T121" s="8" t="s">
        <v>543</v>
      </c>
      <c r="U121" s="1298">
        <f>IF(C118=1,0,IF(C121="○",1076000,0))</f>
        <v>0</v>
      </c>
      <c r="V121" s="1298"/>
      <c r="W121" s="1298"/>
      <c r="X121" s="1298"/>
      <c r="Y121" s="9" t="s">
        <v>544</v>
      </c>
    </row>
    <row r="122" spans="2:39" ht="7.5" customHeight="1">
      <c r="B122" s="2"/>
      <c r="D122" s="1258"/>
      <c r="E122" s="1258"/>
      <c r="F122" s="1258"/>
      <c r="G122" s="1258"/>
      <c r="H122" s="1258"/>
      <c r="I122" s="1258"/>
      <c r="J122" s="1258"/>
      <c r="K122" s="1258"/>
      <c r="L122" s="1258"/>
      <c r="M122" s="1258"/>
      <c r="N122" s="1258"/>
      <c r="O122" s="1258"/>
      <c r="P122" s="1258"/>
      <c r="Q122" s="1258"/>
      <c r="R122" s="1258"/>
      <c r="S122" s="1259"/>
      <c r="T122" s="8"/>
      <c r="U122" s="592"/>
      <c r="V122" s="592"/>
      <c r="W122" s="592"/>
      <c r="X122" s="592"/>
      <c r="Y122" s="9"/>
    </row>
    <row r="123" spans="2:39" ht="15" customHeight="1">
      <c r="B123" s="2"/>
      <c r="D123" s="200"/>
      <c r="E123" s="200"/>
      <c r="T123" s="2"/>
      <c r="U123" s="187"/>
      <c r="V123" s="187"/>
      <c r="W123" s="187"/>
      <c r="X123" s="187"/>
      <c r="Y123" s="9"/>
    </row>
    <row r="124" spans="2:39" ht="15" customHeight="1">
      <c r="B124" s="2"/>
      <c r="C124" s="609" t="s">
        <v>610</v>
      </c>
      <c r="T124" s="8" t="s">
        <v>543</v>
      </c>
      <c r="U124" s="1298">
        <f>U125+U127</f>
        <v>0</v>
      </c>
      <c r="V124" s="1298"/>
      <c r="W124" s="1298"/>
      <c r="X124" s="1298"/>
      <c r="Y124" s="9" t="s">
        <v>544</v>
      </c>
    </row>
    <row r="125" spans="2:39" ht="15" customHeight="1">
      <c r="B125" s="2"/>
      <c r="D125" s="1" t="s">
        <v>555</v>
      </c>
      <c r="T125" s="8" t="s">
        <v>263</v>
      </c>
      <c r="U125" s="1298">
        <f>IF($I$7="",0,IF(C118=1,0,240000))</f>
        <v>0</v>
      </c>
      <c r="V125" s="1298"/>
      <c r="W125" s="1298"/>
      <c r="X125" s="1298"/>
      <c r="Y125" s="9" t="s">
        <v>264</v>
      </c>
      <c r="AJ125" s="1">
        <v>0</v>
      </c>
    </row>
    <row r="126" spans="2:39" ht="15" customHeight="1">
      <c r="B126" s="2"/>
      <c r="D126" s="1" t="s">
        <v>556</v>
      </c>
      <c r="T126" s="8"/>
      <c r="U126" s="592"/>
      <c r="V126" s="592"/>
      <c r="W126" s="592"/>
      <c r="X126" s="592"/>
      <c r="Y126" s="9"/>
    </row>
    <row r="127" spans="2:39" ht="15" customHeight="1">
      <c r="B127" s="2"/>
      <c r="E127" s="444"/>
      <c r="F127" s="444"/>
      <c r="G127" s="1299">
        <v>81000</v>
      </c>
      <c r="H127" s="1299"/>
      <c r="I127" s="1299"/>
      <c r="J127" s="1" t="s">
        <v>209</v>
      </c>
      <c r="K127" s="1" t="s">
        <v>539</v>
      </c>
      <c r="L127" s="1264" t="s">
        <v>557</v>
      </c>
      <c r="M127" s="1264"/>
      <c r="N127" s="1264"/>
      <c r="O127" s="1301">
        <v>0</v>
      </c>
      <c r="P127" s="1301"/>
      <c r="Q127" s="1" t="s">
        <v>558</v>
      </c>
      <c r="T127" s="8" t="s">
        <v>263</v>
      </c>
      <c r="U127" s="1298">
        <f>IF(C118=1,0,G127*O127)</f>
        <v>0</v>
      </c>
      <c r="V127" s="1298"/>
      <c r="W127" s="1298"/>
      <c r="X127" s="1298"/>
      <c r="Y127" s="9" t="s">
        <v>264</v>
      </c>
      <c r="AM127" s="180">
        <v>0</v>
      </c>
    </row>
    <row r="128" spans="2:39" ht="15" customHeight="1">
      <c r="B128" s="2"/>
      <c r="N128" s="18" t="s">
        <v>559</v>
      </c>
      <c r="T128" s="8"/>
      <c r="U128" s="592"/>
      <c r="V128" s="592"/>
      <c r="W128" s="592"/>
      <c r="X128" s="592"/>
      <c r="Y128" s="9"/>
      <c r="AM128" s="180">
        <v>1</v>
      </c>
    </row>
    <row r="129" spans="2:39" ht="15" customHeight="1">
      <c r="B129" s="2"/>
      <c r="C129" s="609" t="s">
        <v>611</v>
      </c>
      <c r="T129" s="2"/>
      <c r="U129" s="187"/>
      <c r="V129" s="187"/>
      <c r="W129" s="187"/>
      <c r="X129" s="187"/>
      <c r="Y129" s="9"/>
      <c r="AM129" s="180">
        <v>2</v>
      </c>
    </row>
    <row r="130" spans="2:39" ht="15.75" customHeight="1">
      <c r="B130" s="2"/>
      <c r="D130" s="34" t="s">
        <v>522</v>
      </c>
      <c r="E130" s="1299">
        <v>10000</v>
      </c>
      <c r="F130" s="1299"/>
      <c r="G130" s="1299"/>
      <c r="H130" s="1" t="s">
        <v>561</v>
      </c>
      <c r="K130" s="35" t="s">
        <v>268</v>
      </c>
      <c r="M130" s="1263" t="s">
        <v>562</v>
      </c>
      <c r="N130" s="1263"/>
      <c r="O130" s="1263"/>
      <c r="P130" s="1" t="s">
        <v>563</v>
      </c>
      <c r="Q130" s="1303">
        <f>U55</f>
        <v>0</v>
      </c>
      <c r="R130" s="1303"/>
      <c r="S130" s="1" t="s">
        <v>485</v>
      </c>
      <c r="T130" s="8" t="s">
        <v>543</v>
      </c>
      <c r="U130" s="1298">
        <f>+IF(C118=1,0,E130*Q130)</f>
        <v>0</v>
      </c>
      <c r="V130" s="1298"/>
      <c r="W130" s="1298"/>
      <c r="X130" s="1298"/>
      <c r="Y130" s="9" t="s">
        <v>544</v>
      </c>
    </row>
    <row r="131" spans="2:39" ht="15.75" customHeight="1">
      <c r="B131" s="2"/>
      <c r="D131" s="34"/>
      <c r="E131" s="593"/>
      <c r="F131" s="593"/>
      <c r="G131" s="593"/>
      <c r="K131" s="35"/>
      <c r="M131" s="36"/>
      <c r="N131" s="36"/>
      <c r="O131" s="36"/>
      <c r="Q131" s="593"/>
      <c r="R131" s="593"/>
      <c r="T131" s="8"/>
      <c r="U131" s="592"/>
      <c r="V131" s="592"/>
      <c r="W131" s="592"/>
      <c r="X131" s="592"/>
      <c r="Y131" s="9"/>
    </row>
    <row r="132" spans="2:39">
      <c r="B132" s="2"/>
      <c r="C132" s="1100" t="s">
        <v>612</v>
      </c>
      <c r="D132" s="1100"/>
      <c r="E132" s="1100"/>
      <c r="F132" s="1100"/>
      <c r="G132" s="1100"/>
      <c r="H132" s="1100"/>
      <c r="I132" s="1100"/>
      <c r="J132" s="1100"/>
      <c r="K132" s="1100"/>
      <c r="L132" s="1100"/>
      <c r="M132" s="1100"/>
      <c r="N132" s="1100"/>
      <c r="O132" s="1100"/>
      <c r="P132" s="203"/>
      <c r="Q132" s="44"/>
      <c r="R132" s="44"/>
      <c r="S132" s="193"/>
      <c r="T132" s="8"/>
      <c r="U132" s="1298"/>
      <c r="V132" s="1298"/>
      <c r="W132" s="1298"/>
      <c r="X132" s="1298"/>
      <c r="Y132" s="9"/>
    </row>
    <row r="133" spans="2:39" ht="16.5" customHeight="1">
      <c r="B133" s="2"/>
      <c r="C133" s="74"/>
      <c r="D133" s="1" t="s">
        <v>565</v>
      </c>
      <c r="F133" s="74"/>
      <c r="G133" s="74"/>
      <c r="H133" s="74"/>
      <c r="I133" s="74"/>
      <c r="J133" s="74"/>
      <c r="K133" s="74"/>
      <c r="L133" s="74"/>
      <c r="M133" s="74"/>
      <c r="N133" s="74"/>
      <c r="O133" s="74"/>
      <c r="P133" s="203"/>
      <c r="Q133" s="44"/>
      <c r="R133" s="44"/>
      <c r="S133" s="193"/>
      <c r="T133" s="8" t="s">
        <v>543</v>
      </c>
      <c r="U133" s="1298">
        <f>U134+U135</f>
        <v>0</v>
      </c>
      <c r="V133" s="1298"/>
      <c r="W133" s="1298"/>
      <c r="X133" s="1298"/>
      <c r="Y133" s="9" t="s">
        <v>544</v>
      </c>
    </row>
    <row r="134" spans="2:39" ht="25.5" customHeight="1">
      <c r="B134" s="2"/>
      <c r="E134" s="1263"/>
      <c r="F134" s="1263"/>
      <c r="G134" s="34" t="s">
        <v>522</v>
      </c>
      <c r="H134" s="1296">
        <v>120000</v>
      </c>
      <c r="I134" s="1296"/>
      <c r="J134" s="1" t="s">
        <v>566</v>
      </c>
      <c r="M134" s="44" t="s">
        <v>567</v>
      </c>
      <c r="N134" s="1177" t="s">
        <v>568</v>
      </c>
      <c r="O134" s="1267"/>
      <c r="P134" s="1267"/>
      <c r="Q134" s="1255">
        <f>U63</f>
        <v>0</v>
      </c>
      <c r="R134" s="1255"/>
      <c r="S134" s="193" t="s">
        <v>497</v>
      </c>
      <c r="T134" s="192" t="s">
        <v>263</v>
      </c>
      <c r="U134" s="1297">
        <f>H134*Q134</f>
        <v>0</v>
      </c>
      <c r="V134" s="1297"/>
      <c r="W134" s="1297"/>
      <c r="X134" s="1297"/>
      <c r="Y134" s="193" t="s">
        <v>264</v>
      </c>
    </row>
    <row r="135" spans="2:39" ht="25.5" customHeight="1">
      <c r="B135" s="2"/>
      <c r="E135" s="1263"/>
      <c r="F135" s="1263"/>
      <c r="G135" s="34" t="s">
        <v>522</v>
      </c>
      <c r="H135" s="1296">
        <v>30000</v>
      </c>
      <c r="I135" s="1296"/>
      <c r="J135" s="1" t="s">
        <v>561</v>
      </c>
      <c r="M135" s="44" t="s">
        <v>567</v>
      </c>
      <c r="N135" s="1177" t="s">
        <v>569</v>
      </c>
      <c r="O135" s="1267"/>
      <c r="P135" s="1267"/>
      <c r="Q135" s="1255">
        <f>U64</f>
        <v>0</v>
      </c>
      <c r="R135" s="1255"/>
      <c r="S135" s="193" t="s">
        <v>485</v>
      </c>
      <c r="T135" s="192" t="s">
        <v>263</v>
      </c>
      <c r="U135" s="1297">
        <f>H135*Q135</f>
        <v>0</v>
      </c>
      <c r="V135" s="1297"/>
      <c r="W135" s="1297"/>
      <c r="X135" s="1297"/>
      <c r="Y135" s="193" t="s">
        <v>264</v>
      </c>
    </row>
    <row r="136" spans="2:39" ht="12.75" customHeight="1">
      <c r="B136" s="2"/>
      <c r="E136" s="36"/>
      <c r="F136" s="36"/>
      <c r="G136" s="34"/>
      <c r="H136" s="590"/>
      <c r="I136" s="590"/>
      <c r="M136" s="44"/>
      <c r="N136" s="205"/>
      <c r="O136" s="203"/>
      <c r="P136" s="203"/>
      <c r="Q136" s="206"/>
      <c r="R136" s="206"/>
      <c r="S136" s="193"/>
      <c r="T136" s="192"/>
      <c r="U136" s="591"/>
      <c r="V136" s="591"/>
      <c r="W136" s="591"/>
      <c r="X136" s="591"/>
      <c r="Y136" s="193"/>
    </row>
    <row r="137" spans="2:39" ht="15" customHeight="1">
      <c r="B137" s="2"/>
      <c r="D137" s="1" t="s">
        <v>570</v>
      </c>
      <c r="F137" s="74"/>
      <c r="G137" s="74"/>
      <c r="H137" s="74"/>
      <c r="I137" s="74"/>
      <c r="J137" s="74"/>
      <c r="K137" s="74"/>
      <c r="L137" s="74"/>
      <c r="M137" s="74"/>
      <c r="N137" s="74"/>
      <c r="O137" s="74"/>
      <c r="P137" s="203"/>
      <c r="Q137" s="206"/>
      <c r="R137" s="206"/>
      <c r="S137" s="193"/>
      <c r="T137" s="8" t="s">
        <v>543</v>
      </c>
      <c r="U137" s="1298">
        <f>U138+U139</f>
        <v>0</v>
      </c>
      <c r="V137" s="1298"/>
      <c r="W137" s="1298"/>
      <c r="X137" s="1298"/>
      <c r="Y137" s="9" t="s">
        <v>544</v>
      </c>
    </row>
    <row r="138" spans="2:39" ht="27.75" customHeight="1">
      <c r="B138" s="2"/>
      <c r="E138" s="1263"/>
      <c r="F138" s="1263"/>
      <c r="G138" s="34" t="s">
        <v>522</v>
      </c>
      <c r="H138" s="1296">
        <v>20000</v>
      </c>
      <c r="I138" s="1296"/>
      <c r="J138" s="1" t="s">
        <v>566</v>
      </c>
      <c r="M138" s="44" t="s">
        <v>567</v>
      </c>
      <c r="N138" s="1177" t="s">
        <v>571</v>
      </c>
      <c r="O138" s="1267"/>
      <c r="P138" s="1267"/>
      <c r="Q138" s="1255">
        <f>U65</f>
        <v>0</v>
      </c>
      <c r="R138" s="1255"/>
      <c r="S138" s="193" t="s">
        <v>497</v>
      </c>
      <c r="T138" s="192" t="s">
        <v>263</v>
      </c>
      <c r="U138" s="1297">
        <f>H138*Q138</f>
        <v>0</v>
      </c>
      <c r="V138" s="1297"/>
      <c r="W138" s="1297"/>
      <c r="X138" s="1297"/>
      <c r="Y138" s="193" t="s">
        <v>264</v>
      </c>
    </row>
    <row r="139" spans="2:39" ht="27.75" customHeight="1">
      <c r="B139" s="2"/>
      <c r="E139" s="1263"/>
      <c r="F139" s="1263"/>
      <c r="G139" s="34" t="s">
        <v>522</v>
      </c>
      <c r="H139" s="1296">
        <v>5000</v>
      </c>
      <c r="I139" s="1296"/>
      <c r="J139" s="1" t="s">
        <v>561</v>
      </c>
      <c r="M139" s="44" t="s">
        <v>567</v>
      </c>
      <c r="N139" s="1177" t="s">
        <v>572</v>
      </c>
      <c r="O139" s="1267"/>
      <c r="P139" s="1267"/>
      <c r="Q139" s="1255">
        <f>U66</f>
        <v>0</v>
      </c>
      <c r="R139" s="1255"/>
      <c r="S139" s="193" t="s">
        <v>485</v>
      </c>
      <c r="T139" s="192" t="s">
        <v>263</v>
      </c>
      <c r="U139" s="1297">
        <f>H139*Q139</f>
        <v>0</v>
      </c>
      <c r="V139" s="1297"/>
      <c r="W139" s="1297"/>
      <c r="X139" s="1297"/>
      <c r="Y139" s="193" t="s">
        <v>264</v>
      </c>
    </row>
    <row r="140" spans="2:39" ht="13.5" customHeight="1">
      <c r="B140" s="2"/>
      <c r="E140" s="36"/>
      <c r="F140" s="36"/>
      <c r="G140" s="34"/>
      <c r="H140" s="590"/>
      <c r="I140" s="590"/>
      <c r="M140" s="44"/>
      <c r="N140" s="205"/>
      <c r="O140" s="203"/>
      <c r="P140" s="203"/>
      <c r="Q140" s="206"/>
      <c r="R140" s="206"/>
      <c r="S140" s="193"/>
      <c r="T140" s="192"/>
      <c r="U140" s="591"/>
      <c r="V140" s="591"/>
      <c r="W140" s="591"/>
      <c r="X140" s="591"/>
      <c r="Y140" s="193"/>
    </row>
    <row r="141" spans="2:39">
      <c r="B141" s="2"/>
      <c r="C141" s="1100" t="s">
        <v>613</v>
      </c>
      <c r="D141" s="1100"/>
      <c r="E141" s="1100"/>
      <c r="F141" s="1100"/>
      <c r="G141" s="1100"/>
      <c r="H141" s="1100"/>
      <c r="I141" s="1100"/>
      <c r="J141" s="1100"/>
      <c r="K141" s="1100"/>
      <c r="L141" s="1100"/>
      <c r="M141" s="1100"/>
      <c r="N141" s="1100"/>
      <c r="O141" s="1100"/>
      <c r="P141" s="203"/>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B159:S159"/>
    <mergeCell ref="B160:N160"/>
    <mergeCell ref="P160:Q160"/>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Q55:S55"/>
    <mergeCell ref="U55:X55"/>
    <mergeCell ref="D50:Y50"/>
    <mergeCell ref="D51:Y51"/>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J25:M25"/>
    <mergeCell ref="T25:X25"/>
    <mergeCell ref="D19:Y19"/>
    <mergeCell ref="D20:Y20"/>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F48">
    <cfRule type="containsBlanks" dxfId="27" priority="1">
      <formula>LEN(TRIM(B48))=0</formula>
    </cfRule>
  </conditionalFormatting>
  <conditionalFormatting sqref="C112">
    <cfRule type="containsBlanks" dxfId="26" priority="6">
      <formula>LEN(TRIM(C112))=0</formula>
    </cfRule>
  </conditionalFormatting>
  <conditionalFormatting sqref="C114">
    <cfRule type="containsBlanks" dxfId="25" priority="5">
      <formula>LEN(TRIM(C114))=0</formula>
    </cfRule>
  </conditionalFormatting>
  <conditionalFormatting sqref="C118">
    <cfRule type="containsBlanks" dxfId="24" priority="4">
      <formula>LEN(TRIM(C118))=0</formula>
    </cfRule>
  </conditionalFormatting>
  <conditionalFormatting sqref="C121">
    <cfRule type="containsBlanks" dxfId="23" priority="3">
      <formula>LEN(TRIM(C121))=0</formula>
    </cfRule>
  </conditionalFormatting>
  <conditionalFormatting sqref="I7">
    <cfRule type="containsBlanks" dxfId="22" priority="9" stopIfTrue="1">
      <formula>LEN(TRIM(I7))=0</formula>
    </cfRule>
  </conditionalFormatting>
  <conditionalFormatting sqref="J39:M40 U39:X40">
    <cfRule type="containsBlanks" dxfId="21" priority="12">
      <formula>LEN(TRIM(J39))=0</formula>
    </cfRule>
  </conditionalFormatting>
  <conditionalFormatting sqref="K76 N76">
    <cfRule type="containsBlanks" dxfId="20" priority="7" stopIfTrue="1">
      <formula>LEN(TRIM(K76))=0</formula>
    </cfRule>
  </conditionalFormatting>
  <conditionalFormatting sqref="N158:R158">
    <cfRule type="containsBlanks" dxfId="19" priority="13">
      <formula>LEN(TRIM(N158))=0</formula>
    </cfRule>
  </conditionalFormatting>
  <conditionalFormatting sqref="N6:Y6">
    <cfRule type="containsBlanks" dxfId="18" priority="10" stopIfTrue="1">
      <formula>LEN(TRIM(N6))=0</formula>
    </cfRule>
  </conditionalFormatting>
  <conditionalFormatting sqref="O127:P127">
    <cfRule type="containsBlanks" dxfId="17" priority="2">
      <formula>LEN(TRIM(O127))=0</formula>
    </cfRule>
  </conditionalFormatting>
  <conditionalFormatting sqref="P160:Q160">
    <cfRule type="containsBlanks" dxfId="16" priority="14">
      <formula>LEN(TRIM(P160))=0</formula>
    </cfRule>
  </conditionalFormatting>
  <conditionalFormatting sqref="V59:Y62">
    <cfRule type="containsBlanks" dxfId="15" priority="8" stopIfTrue="1">
      <formula>LEN(TRIM(V59))=0</formula>
    </cfRule>
  </conditionalFormatting>
  <dataValidations count="6">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78B35950-1038-4354-8B4A-2BF31EF8A1DA}">
      <formula1>$AM$127:$AM$129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5E781C96-4500-495F-AA50-2B293313CB95}">
      <formula1>$AN$64:$AN$66</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3BE8AF1-DFB2-4ED2-9B7F-DB56B3C69333}">
      <formula1>$AM$64:$AM$69</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6DBD3640-9416-40F0-9DBF-34BE735AFB81}">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7875EA04-703B-41B7-84A2-E0DB8E0F437B}">
      <formula1>$AA$1</formula1>
    </dataValidation>
    <dataValidation type="list" allowBlank="1" showInputMessage="1" showErrorMessage="1" sqref="P160:Q160" xr:uid="{E2C8A82E-431E-4B03-9731-991BE3435879}">
      <formula1>"○,×"</formula1>
    </dataValidation>
  </dataValidations>
  <printOptions horizontalCentered="1"/>
  <pageMargins left="0.23622047244094491" right="0.23622047244094491" top="0.74803149606299213" bottom="0.74803149606299213" header="0.31496062992125984" footer="0.31496062992125984"/>
  <pageSetup paperSize="9" scale="17" orientation="landscape" blackAndWhite="1" errors="blank" r:id="rId1"/>
  <headerFooter alignWithMargins="0"/>
  <rowBreaks count="3" manualBreakCount="3">
    <brk id="56" max="24" man="1"/>
    <brk id="71" max="24" man="1"/>
    <brk id="123" max="2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7D6-A82D-46CC-875D-039BC93D46CA}">
  <sheetPr>
    <tabColor rgb="FFFFC000"/>
    <pageSetUpPr fitToPage="1"/>
  </sheetPr>
  <dimension ref="A1:AN164"/>
  <sheetViews>
    <sheetView view="pageBreakPreview" zoomScaleNormal="100" zoomScaleSheetLayoutView="100" workbookViewId="0"/>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10" style="1" customWidth="1"/>
    <col min="29" max="33" width="3.625" style="1"/>
    <col min="34" max="34" width="6.5" style="1" bestFit="1" customWidth="1"/>
    <col min="35"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9" ht="18.75" customHeight="1">
      <c r="A1" s="1" t="s">
        <v>617</v>
      </c>
      <c r="B1" s="305"/>
      <c r="AA1" s="1" t="s">
        <v>435</v>
      </c>
    </row>
    <row r="2" spans="1:29" ht="9" customHeight="1"/>
    <row r="3" spans="1:29" ht="18.75" customHeight="1">
      <c r="A3" s="952" t="s">
        <v>618</v>
      </c>
      <c r="B3" s="952"/>
      <c r="C3" s="952"/>
      <c r="D3" s="952"/>
      <c r="E3" s="952"/>
      <c r="F3" s="952"/>
      <c r="G3" s="952"/>
      <c r="H3" s="952"/>
      <c r="I3" s="952"/>
      <c r="J3" s="952"/>
      <c r="K3" s="952"/>
      <c r="L3" s="952"/>
      <c r="M3" s="952"/>
      <c r="N3" s="952"/>
      <c r="O3" s="952"/>
      <c r="P3" s="952"/>
      <c r="Q3" s="952"/>
      <c r="R3" s="952"/>
      <c r="S3" s="952"/>
      <c r="T3" s="952"/>
      <c r="U3" s="952"/>
      <c r="V3" s="952"/>
      <c r="W3" s="952"/>
      <c r="X3" s="952"/>
      <c r="Y3" s="952"/>
      <c r="AA3" s="1" t="s">
        <v>256</v>
      </c>
    </row>
    <row r="4" spans="1:29" ht="9" customHeight="1"/>
    <row r="5" spans="1:29" ht="18.75" customHeight="1">
      <c r="L5" s="11"/>
      <c r="N5" s="101" t="s">
        <v>437</v>
      </c>
    </row>
    <row r="6" spans="1:29" ht="18.75" customHeight="1">
      <c r="N6" s="1157">
        <f>第2号様式!G9</f>
        <v>0</v>
      </c>
      <c r="O6" s="1157"/>
      <c r="P6" s="1157"/>
      <c r="Q6" s="1157"/>
      <c r="R6" s="1157"/>
      <c r="S6" s="1157"/>
      <c r="T6" s="1157"/>
      <c r="U6" s="1157"/>
      <c r="V6" s="1157"/>
      <c r="W6" s="1157"/>
      <c r="X6" s="1157"/>
      <c r="Y6" s="1157"/>
    </row>
    <row r="7" spans="1:29" ht="18.75" customHeight="1">
      <c r="A7" s="1" t="s">
        <v>438</v>
      </c>
      <c r="I7" s="172"/>
      <c r="J7" s="1" t="s">
        <v>439</v>
      </c>
      <c r="N7" s="35"/>
      <c r="O7" s="35"/>
      <c r="P7" s="35"/>
      <c r="Q7" s="35"/>
      <c r="R7" s="35"/>
      <c r="S7" s="35"/>
      <c r="T7" s="35"/>
      <c r="U7" s="35"/>
      <c r="V7" s="35"/>
      <c r="W7" s="35"/>
      <c r="X7" s="35"/>
      <c r="Y7" s="35"/>
    </row>
    <row r="8" spans="1:29" ht="18.75" customHeight="1">
      <c r="A8" s="1" t="s">
        <v>46</v>
      </c>
      <c r="B8" s="951" t="s">
        <v>440</v>
      </c>
      <c r="C8" s="951"/>
      <c r="D8" s="951"/>
      <c r="E8" s="951"/>
      <c r="F8" s="951"/>
      <c r="G8" s="951"/>
      <c r="H8" s="951"/>
      <c r="I8" s="951"/>
      <c r="J8" s="951"/>
      <c r="K8" s="951"/>
      <c r="L8" s="951"/>
      <c r="M8" s="951"/>
      <c r="N8" s="951"/>
      <c r="O8" s="951"/>
      <c r="P8" s="951"/>
      <c r="Q8" s="951"/>
      <c r="R8" s="951"/>
      <c r="S8" s="951"/>
      <c r="T8" s="951"/>
      <c r="U8" s="951"/>
      <c r="V8" s="951"/>
      <c r="W8" s="951"/>
      <c r="X8" s="951"/>
      <c r="Y8" s="951"/>
    </row>
    <row r="9" spans="1:29" ht="18.75" customHeight="1">
      <c r="B9" s="951"/>
      <c r="C9" s="951"/>
      <c r="D9" s="951"/>
      <c r="E9" s="951"/>
      <c r="F9" s="951"/>
      <c r="G9" s="951"/>
      <c r="H9" s="951"/>
      <c r="I9" s="951"/>
      <c r="J9" s="951"/>
      <c r="K9" s="951"/>
      <c r="L9" s="951"/>
      <c r="M9" s="951"/>
      <c r="N9" s="951"/>
      <c r="O9" s="951"/>
      <c r="P9" s="951"/>
      <c r="Q9" s="951"/>
      <c r="R9" s="951"/>
      <c r="S9" s="951"/>
      <c r="T9" s="951"/>
      <c r="U9" s="951"/>
      <c r="V9" s="951"/>
      <c r="W9" s="951"/>
      <c r="X9" s="951"/>
      <c r="Y9" s="951"/>
    </row>
    <row r="10" spans="1:29" ht="18.75" customHeight="1">
      <c r="N10" s="35"/>
      <c r="O10" s="35"/>
      <c r="P10" s="35"/>
      <c r="Q10" s="35"/>
      <c r="R10" s="35"/>
      <c r="S10" s="35"/>
      <c r="T10" s="35"/>
      <c r="U10" s="35"/>
      <c r="V10" s="35"/>
      <c r="W10" s="35"/>
      <c r="X10" s="35"/>
      <c r="Y10" s="35"/>
    </row>
    <row r="11" spans="1:29" ht="15" customHeight="1">
      <c r="A11" s="1" t="s">
        <v>441</v>
      </c>
    </row>
    <row r="12" spans="1:29" ht="15" customHeight="1">
      <c r="A12" s="1" t="s">
        <v>589</v>
      </c>
      <c r="AC12" s="1" t="s">
        <v>590</v>
      </c>
    </row>
    <row r="13" spans="1:29" ht="15" customHeight="1">
      <c r="B13" s="1158" t="s">
        <v>443</v>
      </c>
      <c r="C13" s="1159"/>
      <c r="D13" s="1159"/>
      <c r="E13" s="1159"/>
      <c r="F13" s="1159"/>
      <c r="G13" s="1159"/>
      <c r="H13" s="1159"/>
      <c r="I13" s="1159"/>
      <c r="J13" s="1159"/>
      <c r="K13" s="1159"/>
      <c r="L13" s="1160"/>
      <c r="M13" s="1164" t="s">
        <v>444</v>
      </c>
      <c r="N13" s="1165"/>
      <c r="O13" s="1165"/>
      <c r="P13" s="1165"/>
      <c r="Q13" s="1165"/>
      <c r="R13" s="1165"/>
      <c r="S13" s="1165"/>
      <c r="T13" s="1165"/>
      <c r="U13" s="1165"/>
      <c r="V13" s="1165"/>
      <c r="W13" s="1165"/>
      <c r="X13" s="1165"/>
      <c r="Y13" s="1166"/>
    </row>
    <row r="14" spans="1:29" ht="15" customHeight="1">
      <c r="B14" s="1161"/>
      <c r="C14" s="1162"/>
      <c r="D14" s="1162"/>
      <c r="E14" s="1162"/>
      <c r="F14" s="1162"/>
      <c r="G14" s="1162"/>
      <c r="H14" s="1162"/>
      <c r="I14" s="1162"/>
      <c r="J14" s="1162"/>
      <c r="K14" s="1162"/>
      <c r="L14" s="1163"/>
      <c r="M14" s="1164" t="s">
        <v>445</v>
      </c>
      <c r="N14" s="1165"/>
      <c r="O14" s="1165"/>
      <c r="P14" s="1166"/>
      <c r="Q14" s="1164" t="s">
        <v>446</v>
      </c>
      <c r="R14" s="1165"/>
      <c r="S14" s="1165"/>
      <c r="T14" s="1166"/>
      <c r="U14" s="1164" t="s">
        <v>447</v>
      </c>
      <c r="V14" s="1165"/>
      <c r="W14" s="1165"/>
      <c r="X14" s="1165"/>
      <c r="Y14" s="1166"/>
    </row>
    <row r="15" spans="1:29" ht="15" customHeight="1">
      <c r="B15" s="102" t="s">
        <v>448</v>
      </c>
      <c r="C15" s="67"/>
      <c r="D15" s="67"/>
      <c r="E15" s="67"/>
      <c r="F15" s="67"/>
      <c r="G15" s="67"/>
      <c r="H15" s="67"/>
      <c r="I15" s="67"/>
      <c r="J15" s="67"/>
      <c r="K15" s="67"/>
      <c r="L15" s="67"/>
      <c r="M15" s="1334">
        <f>'第4号様式別紙2-1（臨床研修（医師）実績報告）附表 A1'!U24+'第4号様式別紙2-1（臨床研修（医師）実績報告）附表 A1'!U25</f>
        <v>0</v>
      </c>
      <c r="N15" s="1335"/>
      <c r="O15" s="1335"/>
      <c r="P15" s="438" t="s">
        <v>449</v>
      </c>
      <c r="Q15" s="1334">
        <f>'第4号様式別紙2-1（臨床研修（医師）実績報告）附表 A2'!U32+'第4号様式別紙2-1（臨床研修（医師）実績報告）附表 A2'!U33+'第4号様式別紙2-1（臨床研修（医師）実績報告）附表 A2'!AJ33</f>
        <v>0</v>
      </c>
      <c r="R15" s="1335"/>
      <c r="S15" s="1335"/>
      <c r="T15" s="39" t="s">
        <v>449</v>
      </c>
      <c r="U15" s="65" t="s">
        <v>450</v>
      </c>
      <c r="V15" s="1168">
        <f>SUM(M15+Q15)</f>
        <v>0</v>
      </c>
      <c r="W15" s="1168"/>
      <c r="X15" s="1168"/>
      <c r="Y15" s="39" t="s">
        <v>451</v>
      </c>
    </row>
    <row r="16" spans="1:29" ht="15" customHeight="1">
      <c r="B16" s="102" t="s">
        <v>452</v>
      </c>
      <c r="C16" s="67"/>
      <c r="D16" s="67"/>
      <c r="E16" s="67"/>
      <c r="F16" s="67"/>
      <c r="G16" s="67"/>
      <c r="H16" s="67"/>
      <c r="I16" s="67"/>
      <c r="J16" s="67"/>
      <c r="K16" s="67"/>
      <c r="L16" s="67"/>
      <c r="M16" s="1334">
        <f>'第4号様式別紙2-1（臨床研修（医師）実績報告）附表 A1'!V24+'第4号様式別紙2-1（臨床研修（医師）実績報告）附表 A1'!V25</f>
        <v>0</v>
      </c>
      <c r="N16" s="1335"/>
      <c r="O16" s="1335"/>
      <c r="P16" s="438" t="s">
        <v>449</v>
      </c>
      <c r="Q16" s="1334">
        <f>'第4号様式別紙2-1（臨床研修（医師）実績報告）附表 A2'!V32+'第4号様式別紙2-1（臨床研修（医師）実績報告）附表 A2'!V33+'第4号様式別紙2-1（臨床研修（医師）実績報告）附表 A2'!AK33</f>
        <v>0</v>
      </c>
      <c r="R16" s="1335"/>
      <c r="S16" s="1335"/>
      <c r="T16" s="39" t="s">
        <v>449</v>
      </c>
      <c r="U16" s="174"/>
      <c r="V16" s="1168">
        <f>SUM(M16+Q16)</f>
        <v>0</v>
      </c>
      <c r="W16" s="1168"/>
      <c r="X16" s="1168"/>
      <c r="Y16" s="39" t="s">
        <v>451</v>
      </c>
    </row>
    <row r="17" spans="1:25" ht="15" customHeight="1">
      <c r="B17" s="102" t="s">
        <v>453</v>
      </c>
      <c r="C17" s="67"/>
      <c r="D17" s="67"/>
      <c r="E17" s="67"/>
      <c r="F17" s="67"/>
      <c r="G17" s="67"/>
      <c r="H17" s="67"/>
      <c r="I17" s="67"/>
      <c r="J17" s="67"/>
      <c r="K17" s="67"/>
      <c r="L17" s="67"/>
      <c r="M17" s="1167">
        <f>SUM(M15:O16)</f>
        <v>0</v>
      </c>
      <c r="N17" s="1168"/>
      <c r="O17" s="1168"/>
      <c r="P17" s="438" t="s">
        <v>449</v>
      </c>
      <c r="Q17" s="1332">
        <f>SUM(Q15:S16)</f>
        <v>0</v>
      </c>
      <c r="R17" s="1333"/>
      <c r="S17" s="1333"/>
      <c r="T17" s="439" t="s">
        <v>449</v>
      </c>
      <c r="U17" s="440" t="s">
        <v>454</v>
      </c>
      <c r="V17" s="1333">
        <f>SUM(V15:X16)</f>
        <v>0</v>
      </c>
      <c r="W17" s="1333"/>
      <c r="X17" s="1333"/>
      <c r="Y17" s="39" t="s">
        <v>451</v>
      </c>
    </row>
    <row r="18" spans="1:25" ht="12" customHeight="1">
      <c r="B18" s="101" t="s">
        <v>591</v>
      </c>
      <c r="C18" s="120"/>
      <c r="D18" s="120" t="s">
        <v>592</v>
      </c>
      <c r="E18" s="120"/>
      <c r="F18" s="120"/>
      <c r="G18" s="120"/>
      <c r="H18" s="120"/>
      <c r="I18" s="120"/>
      <c r="J18" s="120"/>
      <c r="K18" s="120"/>
      <c r="L18" s="120"/>
      <c r="M18" s="120"/>
      <c r="N18" s="76"/>
      <c r="O18" s="76"/>
      <c r="P18" s="76"/>
      <c r="Q18" s="76"/>
      <c r="R18" s="76"/>
      <c r="S18" s="76"/>
      <c r="T18" s="76"/>
      <c r="U18" s="76"/>
      <c r="V18" s="76"/>
      <c r="W18" s="76"/>
      <c r="X18" s="76"/>
      <c r="Y18" s="76"/>
    </row>
    <row r="19" spans="1:25" ht="24" customHeight="1">
      <c r="B19" s="841" t="s">
        <v>593</v>
      </c>
      <c r="C19" s="842"/>
      <c r="D19" s="1318" t="s">
        <v>594</v>
      </c>
      <c r="E19" s="1318"/>
      <c r="F19" s="1318"/>
      <c r="G19" s="1318"/>
      <c r="H19" s="1318"/>
      <c r="I19" s="1318"/>
      <c r="J19" s="1318"/>
      <c r="K19" s="1318"/>
      <c r="L19" s="1318"/>
      <c r="M19" s="1318"/>
      <c r="N19" s="1318"/>
      <c r="O19" s="1318"/>
      <c r="P19" s="1318"/>
      <c r="Q19" s="1318"/>
      <c r="R19" s="1318"/>
      <c r="S19" s="1318"/>
      <c r="T19" s="1318"/>
      <c r="U19" s="1318"/>
      <c r="V19" s="1318"/>
      <c r="W19" s="1318"/>
      <c r="X19" s="1318"/>
      <c r="Y19" s="1318"/>
    </row>
    <row r="20" spans="1:25" ht="24.75" customHeight="1">
      <c r="B20" s="840" t="s">
        <v>595</v>
      </c>
      <c r="C20"/>
      <c r="D20" s="1319" t="s">
        <v>596</v>
      </c>
      <c r="E20" s="1319"/>
      <c r="F20" s="1319"/>
      <c r="G20" s="1319"/>
      <c r="H20" s="1319"/>
      <c r="I20" s="1319"/>
      <c r="J20" s="1319"/>
      <c r="K20" s="1319"/>
      <c r="L20" s="1319"/>
      <c r="M20" s="1319"/>
      <c r="N20" s="1319"/>
      <c r="O20" s="1319"/>
      <c r="P20" s="1319"/>
      <c r="Q20" s="1319"/>
      <c r="R20" s="1319"/>
      <c r="S20" s="1319"/>
      <c r="T20" s="1319"/>
      <c r="U20" s="1319"/>
      <c r="V20" s="1319"/>
      <c r="W20" s="1319"/>
      <c r="X20" s="1319"/>
      <c r="Y20" s="1319"/>
    </row>
    <row r="21" spans="1:25" ht="12" customHeight="1">
      <c r="B21" s="609"/>
      <c r="C21" s="786"/>
      <c r="D21" s="609"/>
      <c r="E21" s="609"/>
      <c r="F21" s="609"/>
      <c r="G21" s="609"/>
      <c r="H21" s="609"/>
      <c r="I21" s="609"/>
      <c r="J21" s="609"/>
      <c r="K21" s="609"/>
      <c r="L21" s="609"/>
      <c r="M21" s="609"/>
      <c r="N21" s="609"/>
      <c r="O21" s="609"/>
      <c r="P21" s="609"/>
      <c r="Q21" s="609"/>
      <c r="R21" s="609"/>
      <c r="S21" s="609"/>
      <c r="T21" s="609"/>
      <c r="U21" s="609"/>
      <c r="V21" s="609"/>
      <c r="W21" s="609"/>
      <c r="X21" s="609"/>
      <c r="Y21" s="609"/>
    </row>
    <row r="22" spans="1:25" ht="9" customHeight="1"/>
    <row r="23" spans="1:25" ht="15" customHeight="1">
      <c r="A23" s="1" t="s">
        <v>458</v>
      </c>
    </row>
    <row r="24" spans="1:25" ht="15" customHeight="1">
      <c r="B24" s="1" t="s">
        <v>459</v>
      </c>
    </row>
    <row r="25" spans="1:25" ht="15" customHeight="1">
      <c r="B25" s="102" t="s">
        <v>460</v>
      </c>
      <c r="C25" s="103"/>
      <c r="D25" s="103"/>
      <c r="E25" s="103"/>
      <c r="F25" s="103"/>
      <c r="G25" s="103"/>
      <c r="H25" s="103"/>
      <c r="I25" s="104"/>
      <c r="J25" s="1171">
        <f>M17</f>
        <v>0</v>
      </c>
      <c r="K25" s="1172"/>
      <c r="L25" s="1172"/>
      <c r="M25" s="1172"/>
      <c r="N25" s="71" t="s">
        <v>451</v>
      </c>
      <c r="O25" s="102" t="s">
        <v>461</v>
      </c>
      <c r="P25" s="67"/>
      <c r="Q25" s="67"/>
      <c r="R25" s="71"/>
      <c r="S25" s="122" t="s">
        <v>462</v>
      </c>
      <c r="T25" s="1327">
        <f>ROUND(J25/12,3)</f>
        <v>0</v>
      </c>
      <c r="U25" s="1327"/>
      <c r="V25" s="1327"/>
      <c r="W25" s="1327"/>
      <c r="X25" s="1327"/>
      <c r="Y25" s="71" t="s">
        <v>451</v>
      </c>
    </row>
    <row r="26" spans="1:25" ht="15" customHeight="1">
      <c r="B26" s="102" t="s">
        <v>463</v>
      </c>
      <c r="C26" s="103"/>
      <c r="D26" s="103"/>
      <c r="E26" s="103"/>
      <c r="F26" s="103"/>
      <c r="G26" s="103"/>
      <c r="H26" s="103"/>
      <c r="I26" s="104"/>
      <c r="J26" s="1171">
        <f>Q17</f>
        <v>0</v>
      </c>
      <c r="K26" s="1172"/>
      <c r="L26" s="1172"/>
      <c r="M26" s="1172"/>
      <c r="N26" s="71" t="s">
        <v>451</v>
      </c>
      <c r="O26" s="102" t="s">
        <v>461</v>
      </c>
      <c r="P26" s="67"/>
      <c r="Q26" s="67"/>
      <c r="R26" s="71"/>
      <c r="S26" s="122" t="s">
        <v>464</v>
      </c>
      <c r="T26" s="1327">
        <f>ROUND(J26/12,3)</f>
        <v>0</v>
      </c>
      <c r="U26" s="1327"/>
      <c r="V26" s="1327"/>
      <c r="W26" s="1327"/>
      <c r="X26" s="1327"/>
      <c r="Y26" s="71" t="s">
        <v>451</v>
      </c>
    </row>
    <row r="27" spans="1:25" ht="15" customHeight="1">
      <c r="B27" s="107"/>
      <c r="C27" s="107"/>
      <c r="D27" s="107"/>
      <c r="E27" s="107"/>
      <c r="F27" s="108"/>
      <c r="G27" s="108"/>
      <c r="H27" s="76"/>
      <c r="I27" s="107"/>
      <c r="J27" s="107"/>
      <c r="K27" s="107"/>
      <c r="L27" s="107"/>
      <c r="M27" s="102"/>
      <c r="N27" s="67"/>
      <c r="O27" s="67"/>
      <c r="P27" s="67" t="s">
        <v>447</v>
      </c>
      <c r="Q27" s="157"/>
      <c r="R27" s="65"/>
      <c r="S27" s="157"/>
      <c r="T27" s="177"/>
      <c r="U27" s="1330">
        <f>SUM(T25:X26)</f>
        <v>0</v>
      </c>
      <c r="V27" s="1452"/>
      <c r="W27" s="1452"/>
      <c r="X27" s="1452"/>
      <c r="Y27" s="71" t="s">
        <v>451</v>
      </c>
    </row>
    <row r="28" spans="1:25" ht="15" customHeight="1">
      <c r="B28" s="35"/>
      <c r="C28" s="35"/>
      <c r="D28" s="35"/>
      <c r="E28" s="35"/>
      <c r="F28" s="110"/>
      <c r="G28" s="110"/>
      <c r="I28" s="35"/>
      <c r="J28" s="35"/>
      <c r="K28" s="35"/>
      <c r="L28" s="35"/>
      <c r="M28" s="102" t="s">
        <v>465</v>
      </c>
      <c r="N28" s="67"/>
      <c r="O28" s="67"/>
      <c r="P28" s="67"/>
      <c r="Q28" s="157"/>
      <c r="R28" s="65"/>
      <c r="S28" s="157"/>
      <c r="T28" s="122" t="s">
        <v>466</v>
      </c>
      <c r="U28" s="1331">
        <f>ROUND(IF(T25=0,IF(J26=0,0,T26),IF(J26=0,T25,(T25+T26)/2)),0)</f>
        <v>0</v>
      </c>
      <c r="V28" s="1453"/>
      <c r="W28" s="1453"/>
      <c r="X28" s="1453"/>
      <c r="Y28" s="71" t="s">
        <v>449</v>
      </c>
    </row>
    <row r="29" spans="1:25" ht="9" customHeight="1"/>
    <row r="30" spans="1:25" ht="15" customHeight="1">
      <c r="B30" s="1" t="s">
        <v>467</v>
      </c>
      <c r="T30" s="35"/>
    </row>
    <row r="31" spans="1:25" ht="15" customHeight="1">
      <c r="B31" s="102" t="s">
        <v>460</v>
      </c>
      <c r="C31" s="103"/>
      <c r="D31" s="103"/>
      <c r="E31" s="103"/>
      <c r="F31" s="103"/>
      <c r="G31" s="103"/>
      <c r="H31" s="103"/>
      <c r="I31" s="104"/>
      <c r="J31" s="1454">
        <f>M15</f>
        <v>0</v>
      </c>
      <c r="K31" s="1453"/>
      <c r="L31" s="1453"/>
      <c r="M31" s="1453"/>
      <c r="N31" s="71" t="s">
        <v>451</v>
      </c>
      <c r="O31" s="102" t="s">
        <v>461</v>
      </c>
      <c r="P31" s="67"/>
      <c r="Q31" s="67"/>
      <c r="R31" s="71"/>
      <c r="S31" s="122" t="s">
        <v>468</v>
      </c>
      <c r="T31" s="1327">
        <f>ROUND(J31/12,3)</f>
        <v>0</v>
      </c>
      <c r="U31" s="1327"/>
      <c r="V31" s="1327"/>
      <c r="W31" s="1327"/>
      <c r="X31" s="1327"/>
      <c r="Y31" s="71" t="s">
        <v>451</v>
      </c>
    </row>
    <row r="32" spans="1:25" ht="15" customHeight="1">
      <c r="B32" s="102" t="s">
        <v>463</v>
      </c>
      <c r="C32" s="103"/>
      <c r="D32" s="103"/>
      <c r="E32" s="103"/>
      <c r="F32" s="103"/>
      <c r="G32" s="103"/>
      <c r="H32" s="103"/>
      <c r="I32" s="104"/>
      <c r="J32" s="1454">
        <f>Q15</f>
        <v>0</v>
      </c>
      <c r="K32" s="1453"/>
      <c r="L32" s="1453"/>
      <c r="M32" s="1453"/>
      <c r="N32" s="71" t="s">
        <v>451</v>
      </c>
      <c r="O32" s="102" t="s">
        <v>461</v>
      </c>
      <c r="P32" s="67"/>
      <c r="Q32" s="67"/>
      <c r="R32" s="71"/>
      <c r="S32" s="122" t="s">
        <v>469</v>
      </c>
      <c r="T32" s="1327">
        <f>ROUND(J32/12,3)</f>
        <v>0</v>
      </c>
      <c r="U32" s="1327"/>
      <c r="V32" s="1327"/>
      <c r="W32" s="1327"/>
      <c r="X32" s="1327"/>
      <c r="Y32" s="71" t="s">
        <v>451</v>
      </c>
    </row>
    <row r="33" spans="1:34" ht="12" customHeight="1">
      <c r="B33" s="1176" t="s">
        <v>470</v>
      </c>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row>
    <row r="34" spans="1:34" ht="12" customHeight="1">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row>
    <row r="35" spans="1:34" ht="12" customHeight="1">
      <c r="B35" s="1178" t="s">
        <v>471</v>
      </c>
      <c r="C35" s="1178"/>
      <c r="D35" s="1178"/>
      <c r="E35" s="1178"/>
      <c r="F35" s="1178"/>
      <c r="G35" s="1178"/>
      <c r="H35" s="1178"/>
      <c r="I35" s="1178"/>
      <c r="J35" s="1178"/>
      <c r="K35" s="1178"/>
      <c r="L35" s="1178"/>
      <c r="M35" s="1178"/>
      <c r="N35" s="1178"/>
      <c r="O35" s="1178"/>
      <c r="P35" s="1178"/>
      <c r="Q35" s="1178"/>
      <c r="R35" s="1178"/>
      <c r="S35" s="1178"/>
      <c r="T35" s="1178"/>
      <c r="U35" s="1178"/>
      <c r="V35" s="1178"/>
      <c r="W35" s="1178"/>
      <c r="X35" s="1178"/>
      <c r="Y35" s="1178"/>
    </row>
    <row r="36" spans="1:34" ht="12" customHeight="1">
      <c r="B36" s="1179"/>
      <c r="C36" s="1179"/>
      <c r="D36" s="1179"/>
      <c r="E36" s="1179"/>
      <c r="F36" s="1179"/>
      <c r="G36" s="1179"/>
      <c r="H36" s="1179"/>
      <c r="I36" s="1179"/>
      <c r="J36" s="1179"/>
      <c r="K36" s="1179"/>
      <c r="L36" s="1179"/>
      <c r="M36" s="1179"/>
      <c r="N36" s="1179"/>
      <c r="O36" s="1179"/>
      <c r="P36" s="1179"/>
      <c r="Q36" s="1179"/>
      <c r="R36" s="1179"/>
      <c r="S36" s="1179"/>
      <c r="T36" s="1179"/>
      <c r="U36" s="1179"/>
      <c r="V36" s="1179"/>
      <c r="W36" s="1179"/>
      <c r="X36" s="1179"/>
      <c r="Y36" s="1179"/>
    </row>
    <row r="37" spans="1:34" ht="9" customHeight="1">
      <c r="A37" s="101"/>
    </row>
    <row r="38" spans="1:34" ht="15" customHeight="1">
      <c r="A38" s="1" t="s">
        <v>472</v>
      </c>
      <c r="AH38" s="1" t="b">
        <f>IF('第4号様式別紙2-1（臨床研修（医師）実績報告）附表 A2'!AI17="入力不可",FALSE,TRUE)</f>
        <v>1</v>
      </c>
    </row>
    <row r="39" spans="1:34" ht="15" customHeight="1">
      <c r="B39" s="102" t="s">
        <v>473</v>
      </c>
      <c r="C39" s="103"/>
      <c r="D39" s="103"/>
      <c r="E39" s="103"/>
      <c r="F39" s="103"/>
      <c r="G39" s="103"/>
      <c r="H39" s="103"/>
      <c r="I39" s="104"/>
      <c r="J39" s="1180"/>
      <c r="K39" s="1181"/>
      <c r="L39" s="1181"/>
      <c r="M39" s="1181"/>
      <c r="N39" s="71" t="s">
        <v>451</v>
      </c>
      <c r="O39" s="105" t="s">
        <v>474</v>
      </c>
      <c r="P39" s="67"/>
      <c r="Q39" s="67"/>
      <c r="R39" s="67"/>
      <c r="S39" s="158"/>
      <c r="T39" s="441"/>
      <c r="U39" s="1320"/>
      <c r="V39" s="1321"/>
      <c r="W39" s="1321"/>
      <c r="X39" s="1321"/>
      <c r="Y39" s="71" t="s">
        <v>451</v>
      </c>
    </row>
    <row r="40" spans="1:34" ht="15" customHeight="1">
      <c r="B40" s="102" t="s">
        <v>475</v>
      </c>
      <c r="C40" s="103"/>
      <c r="D40" s="103"/>
      <c r="E40" s="103"/>
      <c r="F40" s="103"/>
      <c r="G40" s="103"/>
      <c r="H40" s="103"/>
      <c r="I40" s="104"/>
      <c r="J40" s="1180"/>
      <c r="K40" s="1181"/>
      <c r="L40" s="1181"/>
      <c r="M40" s="1181"/>
      <c r="N40" s="71" t="s">
        <v>451</v>
      </c>
      <c r="O40" s="105" t="s">
        <v>476</v>
      </c>
      <c r="P40" s="67"/>
      <c r="Q40" s="67"/>
      <c r="R40" s="67"/>
      <c r="S40" s="158"/>
      <c r="T40" s="441"/>
      <c r="U40" s="1320"/>
      <c r="V40" s="1321"/>
      <c r="W40" s="1321"/>
      <c r="X40" s="1321"/>
      <c r="Y40" s="71" t="s">
        <v>451</v>
      </c>
    </row>
    <row r="41" spans="1:34" ht="15" customHeight="1">
      <c r="B41" s="107"/>
      <c r="C41" s="107"/>
      <c r="D41" s="107"/>
      <c r="E41" s="107"/>
      <c r="F41" s="108"/>
      <c r="G41" s="108"/>
      <c r="H41" s="76"/>
      <c r="I41" s="107"/>
      <c r="J41" s="107"/>
      <c r="K41" s="107"/>
      <c r="L41" s="107"/>
      <c r="M41" s="102"/>
      <c r="N41" s="67"/>
      <c r="O41" s="67"/>
      <c r="P41" s="67" t="s">
        <v>447</v>
      </c>
      <c r="Q41" s="157"/>
      <c r="R41" s="65"/>
      <c r="S41" s="157"/>
      <c r="T41" s="109"/>
      <c r="U41" s="1322">
        <f>SUM(U39:X40)</f>
        <v>0</v>
      </c>
      <c r="V41" s="1455"/>
      <c r="W41" s="1455"/>
      <c r="X41" s="1455"/>
      <c r="Y41" s="71" t="s">
        <v>451</v>
      </c>
    </row>
    <row r="42" spans="1:34" ht="15" customHeight="1">
      <c r="B42" s="35"/>
      <c r="C42" s="35"/>
      <c r="D42" s="35"/>
      <c r="E42" s="35"/>
      <c r="F42" s="110"/>
      <c r="G42" s="110"/>
      <c r="I42" s="35"/>
      <c r="J42" s="35"/>
      <c r="K42" s="35"/>
      <c r="L42" s="35"/>
      <c r="M42" s="111" t="s">
        <v>477</v>
      </c>
      <c r="N42" s="67"/>
      <c r="O42" s="67"/>
      <c r="P42" s="67"/>
      <c r="Q42" s="157"/>
      <c r="R42" s="65"/>
      <c r="S42" s="157"/>
      <c r="T42" s="158"/>
      <c r="U42" s="1323" t="e">
        <f>ROUNDDOWN(U41/(J39+J40),3)</f>
        <v>#DIV/0!</v>
      </c>
      <c r="V42" s="1456"/>
      <c r="W42" s="1456"/>
      <c r="X42" s="1456"/>
      <c r="Y42" s="71"/>
    </row>
    <row r="43" spans="1:34" ht="6" customHeight="1">
      <c r="B43" s="35"/>
      <c r="C43" s="35"/>
      <c r="D43" s="35"/>
      <c r="E43" s="35"/>
      <c r="F43" s="110"/>
      <c r="G43" s="110"/>
      <c r="I43" s="35"/>
      <c r="J43" s="35"/>
      <c r="K43" s="35"/>
      <c r="L43" s="35"/>
      <c r="M43" s="18"/>
      <c r="Q43" s="35"/>
      <c r="R43" s="155"/>
      <c r="S43" s="35"/>
      <c r="T43" s="35"/>
      <c r="U43" s="442"/>
      <c r="V43" s="113"/>
      <c r="W43" s="113"/>
      <c r="X43" s="113"/>
    </row>
    <row r="44" spans="1:34" ht="12" customHeight="1">
      <c r="B44" s="1196" t="s">
        <v>478</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row>
    <row r="45" spans="1:34" ht="12" customHeight="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row>
    <row r="46" spans="1:34" ht="15" customHeight="1">
      <c r="A46" s="1" t="s">
        <v>479</v>
      </c>
    </row>
    <row r="47" spans="1:34" ht="15" customHeight="1">
      <c r="B47" s="1324" t="s">
        <v>445</v>
      </c>
      <c r="C47" s="1325"/>
      <c r="D47" s="1325"/>
      <c r="E47" s="1326"/>
      <c r="F47" s="1324" t="s">
        <v>446</v>
      </c>
      <c r="G47" s="1325"/>
      <c r="H47" s="1325"/>
      <c r="I47" s="1326"/>
      <c r="J47" s="1324" t="s">
        <v>447</v>
      </c>
      <c r="K47" s="1325"/>
      <c r="L47" s="1325"/>
      <c r="M47" s="1325"/>
      <c r="N47" s="1326"/>
      <c r="O47" s="787"/>
      <c r="P47" s="609"/>
      <c r="Q47" s="609"/>
      <c r="R47" s="609"/>
      <c r="S47" s="609"/>
      <c r="T47" s="609"/>
      <c r="U47" s="609"/>
      <c r="V47" s="609"/>
      <c r="W47" s="609"/>
      <c r="X47" s="609"/>
      <c r="Y47" s="609"/>
    </row>
    <row r="48" spans="1:34" ht="15" customHeight="1">
      <c r="B48" s="1315"/>
      <c r="C48" s="1316"/>
      <c r="D48" s="1316"/>
      <c r="E48" s="788" t="s">
        <v>449</v>
      </c>
      <c r="F48" s="1315"/>
      <c r="G48" s="1316"/>
      <c r="H48" s="1316"/>
      <c r="I48" s="789" t="s">
        <v>449</v>
      </c>
      <c r="J48" s="790" t="s">
        <v>481</v>
      </c>
      <c r="K48" s="1317">
        <f>B48+F48</f>
        <v>0</v>
      </c>
      <c r="L48" s="1317"/>
      <c r="M48" s="1317"/>
      <c r="N48" s="789" t="s">
        <v>449</v>
      </c>
      <c r="O48" s="787"/>
      <c r="P48" s="609"/>
      <c r="Q48" s="609"/>
      <c r="R48" s="609"/>
      <c r="S48" s="609"/>
      <c r="T48" s="609"/>
      <c r="U48" s="609"/>
      <c r="V48" s="609"/>
      <c r="W48" s="609"/>
      <c r="X48" s="609"/>
      <c r="Y48" s="609"/>
    </row>
    <row r="49" spans="1:40" ht="12" customHeight="1">
      <c r="B49" s="101" t="s">
        <v>591</v>
      </c>
      <c r="C49" s="120"/>
      <c r="D49" s="120" t="s">
        <v>592</v>
      </c>
      <c r="E49" s="120"/>
      <c r="F49" s="120"/>
      <c r="G49" s="120"/>
      <c r="H49" s="120"/>
      <c r="I49" s="120"/>
      <c r="J49" s="120"/>
      <c r="K49" s="120"/>
      <c r="L49" s="120"/>
      <c r="M49" s="120"/>
      <c r="N49" s="76"/>
      <c r="O49" s="76"/>
      <c r="P49" s="76"/>
      <c r="Q49" s="76"/>
      <c r="R49" s="76"/>
      <c r="S49" s="76"/>
      <c r="T49" s="76"/>
      <c r="U49" s="76"/>
      <c r="V49" s="76"/>
      <c r="W49" s="76"/>
      <c r="X49" s="76"/>
      <c r="Y49" s="76"/>
    </row>
    <row r="50" spans="1:40" ht="23.25" customHeight="1">
      <c r="B50" s="841" t="s">
        <v>593</v>
      </c>
      <c r="C50" s="842"/>
      <c r="D50" s="1318" t="s">
        <v>594</v>
      </c>
      <c r="E50" s="1318"/>
      <c r="F50" s="1318"/>
      <c r="G50" s="1318"/>
      <c r="H50" s="1318"/>
      <c r="I50" s="1318"/>
      <c r="J50" s="1318"/>
      <c r="K50" s="1318"/>
      <c r="L50" s="1318"/>
      <c r="M50" s="1318"/>
      <c r="N50" s="1318"/>
      <c r="O50" s="1318"/>
      <c r="P50" s="1318"/>
      <c r="Q50" s="1318"/>
      <c r="R50" s="1318"/>
      <c r="S50" s="1318"/>
      <c r="T50" s="1318"/>
      <c r="U50" s="1318"/>
      <c r="V50" s="1318"/>
      <c r="W50" s="1318"/>
      <c r="X50" s="1318"/>
      <c r="Y50" s="1318"/>
    </row>
    <row r="51" spans="1:40" ht="22.5" customHeight="1">
      <c r="B51" s="840" t="s">
        <v>595</v>
      </c>
      <c r="C51"/>
      <c r="D51" s="1319" t="s">
        <v>596</v>
      </c>
      <c r="E51" s="1319"/>
      <c r="F51" s="1319"/>
      <c r="G51" s="1319"/>
      <c r="H51" s="1319"/>
      <c r="I51" s="1319"/>
      <c r="J51" s="1319"/>
      <c r="K51" s="1319"/>
      <c r="L51" s="1319"/>
      <c r="M51" s="1319"/>
      <c r="N51" s="1319"/>
      <c r="O51" s="1319"/>
      <c r="P51" s="1319"/>
      <c r="Q51" s="1319"/>
      <c r="R51" s="1319"/>
      <c r="S51" s="1319"/>
      <c r="T51" s="1319"/>
      <c r="U51" s="1319"/>
      <c r="V51" s="1319"/>
      <c r="W51" s="1319"/>
      <c r="X51" s="1319"/>
      <c r="Y51" s="1319"/>
    </row>
    <row r="52" spans="1:40" ht="12" customHeight="1">
      <c r="B52" s="609"/>
      <c r="C52" s="786"/>
      <c r="D52" s="609"/>
      <c r="E52" s="609"/>
      <c r="F52" s="609"/>
      <c r="G52" s="609"/>
      <c r="H52" s="609"/>
      <c r="I52" s="609"/>
      <c r="J52" s="609"/>
      <c r="K52" s="609"/>
      <c r="L52" s="609"/>
      <c r="M52" s="609"/>
      <c r="N52" s="609"/>
      <c r="O52" s="609"/>
      <c r="P52" s="609"/>
      <c r="Q52" s="609"/>
      <c r="R52" s="609"/>
      <c r="S52" s="609"/>
      <c r="T52" s="609"/>
      <c r="U52" s="609"/>
      <c r="V52" s="609"/>
      <c r="W52" s="609"/>
      <c r="X52" s="609"/>
      <c r="Y52" s="609"/>
    </row>
    <row r="53" spans="1:40" ht="12" customHeight="1">
      <c r="C53" s="101"/>
    </row>
    <row r="54" spans="1:40" ht="15" customHeight="1">
      <c r="A54" s="1" t="s">
        <v>597</v>
      </c>
    </row>
    <row r="55" spans="1:40" ht="15" customHeight="1">
      <c r="P55" s="121"/>
      <c r="Q55" s="1197" t="s">
        <v>483</v>
      </c>
      <c r="R55" s="1198"/>
      <c r="S55" s="1199"/>
      <c r="T55" s="122" t="s">
        <v>484</v>
      </c>
      <c r="U55" s="1457"/>
      <c r="V55" s="1457"/>
      <c r="W55" s="1457"/>
      <c r="X55" s="1457"/>
      <c r="Y55" s="71" t="s">
        <v>485</v>
      </c>
    </row>
    <row r="56" spans="1:40" ht="15" customHeight="1">
      <c r="Q56" s="35"/>
      <c r="R56" s="35"/>
      <c r="S56" s="35"/>
      <c r="T56" s="35"/>
    </row>
    <row r="57" spans="1:40" ht="15" customHeight="1">
      <c r="A57" s="1" t="s">
        <v>486</v>
      </c>
      <c r="V57" s="1200" t="s">
        <v>487</v>
      </c>
      <c r="W57" s="1200"/>
      <c r="X57" s="1200" t="s">
        <v>488</v>
      </c>
      <c r="Y57" s="1200"/>
    </row>
    <row r="58" spans="1:40" ht="15" customHeight="1">
      <c r="V58" s="1200"/>
      <c r="W58" s="1200"/>
      <c r="X58" s="1200"/>
      <c r="Y58" s="1200"/>
    </row>
    <row r="59" spans="1:40" ht="12" customHeight="1">
      <c r="B59" s="1201" t="s">
        <v>489</v>
      </c>
      <c r="C59" s="1202" t="s">
        <v>490</v>
      </c>
      <c r="D59" s="1202"/>
      <c r="E59" s="1202"/>
      <c r="F59" s="1202"/>
      <c r="G59" s="1202"/>
      <c r="H59" s="1202"/>
      <c r="I59" s="1202"/>
      <c r="J59" s="1202"/>
      <c r="K59" s="1202"/>
      <c r="L59" s="1202"/>
      <c r="M59" s="1202"/>
      <c r="N59" s="1202"/>
      <c r="O59" s="1202"/>
      <c r="P59" s="1202"/>
      <c r="Q59" s="1202"/>
      <c r="R59" s="1202"/>
      <c r="S59" s="1202"/>
      <c r="T59" s="1202"/>
      <c r="U59" s="1202"/>
      <c r="V59" s="1203"/>
      <c r="W59" s="1204"/>
      <c r="X59" s="1203"/>
      <c r="Y59" s="1204"/>
    </row>
    <row r="60" spans="1:40" ht="12" customHeight="1">
      <c r="B60" s="1201"/>
      <c r="C60" s="1202"/>
      <c r="D60" s="1202"/>
      <c r="E60" s="1202"/>
      <c r="F60" s="1202"/>
      <c r="G60" s="1202"/>
      <c r="H60" s="1202"/>
      <c r="I60" s="1202"/>
      <c r="J60" s="1202"/>
      <c r="K60" s="1202"/>
      <c r="L60" s="1202"/>
      <c r="M60" s="1202"/>
      <c r="N60" s="1202"/>
      <c r="O60" s="1202"/>
      <c r="P60" s="1202"/>
      <c r="Q60" s="1202"/>
      <c r="R60" s="1202"/>
      <c r="S60" s="1202"/>
      <c r="T60" s="1202"/>
      <c r="U60" s="1202"/>
      <c r="V60" s="1205"/>
      <c r="W60" s="1206"/>
      <c r="X60" s="1205"/>
      <c r="Y60" s="1206"/>
    </row>
    <row r="61" spans="1:40" ht="12" customHeight="1">
      <c r="B61" s="1201" t="s">
        <v>491</v>
      </c>
      <c r="C61" s="950" t="s">
        <v>492</v>
      </c>
      <c r="D61" s="950"/>
      <c r="E61" s="950"/>
      <c r="F61" s="950"/>
      <c r="G61" s="950"/>
      <c r="H61" s="950"/>
      <c r="I61" s="950"/>
      <c r="J61" s="950"/>
      <c r="K61" s="950"/>
      <c r="L61" s="950"/>
      <c r="M61" s="950"/>
      <c r="N61" s="950"/>
      <c r="O61" s="950"/>
      <c r="P61" s="950"/>
      <c r="Q61" s="950"/>
      <c r="R61" s="950"/>
      <c r="S61" s="950"/>
      <c r="T61" s="950"/>
      <c r="U61" s="1213"/>
      <c r="V61" s="1203"/>
      <c r="W61" s="1204"/>
      <c r="X61" s="1203"/>
      <c r="Y61" s="1204"/>
    </row>
    <row r="62" spans="1:40" ht="12" customHeight="1">
      <c r="B62" s="1201"/>
      <c r="C62" s="950"/>
      <c r="D62" s="950"/>
      <c r="E62" s="950"/>
      <c r="F62" s="950"/>
      <c r="G62" s="950"/>
      <c r="H62" s="950"/>
      <c r="I62" s="950"/>
      <c r="J62" s="950"/>
      <c r="K62" s="950"/>
      <c r="L62" s="950"/>
      <c r="M62" s="950"/>
      <c r="N62" s="950"/>
      <c r="O62" s="950"/>
      <c r="P62" s="950"/>
      <c r="Q62" s="950"/>
      <c r="R62" s="950"/>
      <c r="S62" s="950"/>
      <c r="T62" s="950"/>
      <c r="U62" s="1213"/>
      <c r="V62" s="1205"/>
      <c r="W62" s="1206"/>
      <c r="X62" s="1205"/>
      <c r="Y62" s="1206"/>
    </row>
    <row r="63" spans="1:40" ht="24.95" customHeight="1">
      <c r="A63" s="1207" t="s">
        <v>598</v>
      </c>
      <c r="B63" s="1207"/>
      <c r="C63" s="1207"/>
      <c r="D63" s="1207"/>
      <c r="E63" s="1207"/>
      <c r="F63" s="1207"/>
      <c r="G63" s="1207"/>
      <c r="H63" s="1207"/>
      <c r="I63" s="1207"/>
      <c r="J63" s="1207"/>
      <c r="K63" s="1207"/>
      <c r="L63" s="1207"/>
      <c r="M63" s="1207"/>
      <c r="N63" s="1012" t="s">
        <v>494</v>
      </c>
      <c r="O63" s="970"/>
      <c r="P63" s="1210" t="s">
        <v>495</v>
      </c>
      <c r="Q63" s="1211"/>
      <c r="R63" s="1211"/>
      <c r="S63" s="1212"/>
      <c r="T63" s="174" t="s">
        <v>496</v>
      </c>
      <c r="U63" s="1472">
        <f>'第4号様式別紙2-1（臨床研修（医師）実績報告）附表 A1'!AI21+'第4号様式別紙2-1（臨床研修（医師）実績報告）附表 A2'!AH37</f>
        <v>0</v>
      </c>
      <c r="V63" s="1473"/>
      <c r="W63" s="1473"/>
      <c r="X63" s="1474"/>
      <c r="Y63" s="71" t="s">
        <v>497</v>
      </c>
    </row>
    <row r="64" spans="1:40" ht="24.95" customHeight="1">
      <c r="A64" s="1207"/>
      <c r="B64" s="1207"/>
      <c r="C64" s="1207"/>
      <c r="D64" s="1207"/>
      <c r="E64" s="1207"/>
      <c r="F64" s="1207"/>
      <c r="G64" s="1207"/>
      <c r="H64" s="1207"/>
      <c r="I64" s="1207"/>
      <c r="J64" s="1207"/>
      <c r="K64" s="1207"/>
      <c r="L64" s="1207"/>
      <c r="M64" s="1207"/>
      <c r="N64" s="1214"/>
      <c r="O64" s="1215"/>
      <c r="P64" s="1210" t="s">
        <v>498</v>
      </c>
      <c r="Q64" s="1211"/>
      <c r="R64" s="1211"/>
      <c r="S64" s="1212"/>
      <c r="T64" s="174" t="s">
        <v>499</v>
      </c>
      <c r="U64" s="1472">
        <f>'第4号様式別紙2-1（臨床研修（医師）実績報告）附表 A1'!AI23+'第4号様式別紙2-1（臨床研修（医師）実績報告）附表 A2'!AH39</f>
        <v>0</v>
      </c>
      <c r="V64" s="1473"/>
      <c r="W64" s="1473"/>
      <c r="X64" s="1474"/>
      <c r="Y64" s="71" t="s">
        <v>485</v>
      </c>
      <c r="AM64" s="180"/>
      <c r="AN64" s="180"/>
    </row>
    <row r="65" spans="1:40" ht="24.95" customHeight="1">
      <c r="A65" s="1207" t="s">
        <v>500</v>
      </c>
      <c r="B65" s="1207"/>
      <c r="C65" s="1207"/>
      <c r="D65" s="1207"/>
      <c r="E65" s="1207"/>
      <c r="F65" s="1207"/>
      <c r="G65" s="1207"/>
      <c r="H65" s="1207"/>
      <c r="I65" s="1207"/>
      <c r="J65" s="1207"/>
      <c r="K65" s="1207"/>
      <c r="L65" s="1207"/>
      <c r="M65" s="1207"/>
      <c r="N65" s="1208" t="s">
        <v>501</v>
      </c>
      <c r="O65" s="1209"/>
      <c r="P65" s="1210" t="s">
        <v>495</v>
      </c>
      <c r="Q65" s="1211"/>
      <c r="R65" s="1211"/>
      <c r="S65" s="1212"/>
      <c r="T65" s="174" t="s">
        <v>502</v>
      </c>
      <c r="U65" s="1472">
        <f>'第4号様式別紙2-1（臨床研修（医師）実績報告）附表 A2'!AH44</f>
        <v>0</v>
      </c>
      <c r="V65" s="1473"/>
      <c r="W65" s="1473"/>
      <c r="X65" s="1474"/>
      <c r="Y65" s="71" t="s">
        <v>497</v>
      </c>
      <c r="AM65" s="180">
        <v>1</v>
      </c>
      <c r="AN65" s="180">
        <v>2</v>
      </c>
    </row>
    <row r="66" spans="1:40" ht="24.95" customHeight="1">
      <c r="A66" s="1207"/>
      <c r="B66" s="1207"/>
      <c r="C66" s="1207"/>
      <c r="D66" s="1207"/>
      <c r="E66" s="1207"/>
      <c r="F66" s="1207"/>
      <c r="G66" s="1207"/>
      <c r="H66" s="1207"/>
      <c r="I66" s="1207"/>
      <c r="J66" s="1207"/>
      <c r="K66" s="1207"/>
      <c r="L66" s="1207"/>
      <c r="M66" s="1207"/>
      <c r="N66" s="1013"/>
      <c r="O66" s="971"/>
      <c r="P66" s="1210" t="s">
        <v>498</v>
      </c>
      <c r="Q66" s="1211"/>
      <c r="R66" s="1211"/>
      <c r="S66" s="1212"/>
      <c r="T66" s="174" t="s">
        <v>503</v>
      </c>
      <c r="U66" s="1472">
        <f>'第4号様式別紙2-1（臨床研修（医師）実績報告）附表 A2'!AH46</f>
        <v>0</v>
      </c>
      <c r="V66" s="1473"/>
      <c r="W66" s="1473"/>
      <c r="X66" s="1474"/>
      <c r="Y66" s="71" t="s">
        <v>485</v>
      </c>
      <c r="AM66" s="180">
        <v>2</v>
      </c>
      <c r="AN66" s="180">
        <v>3</v>
      </c>
    </row>
    <row r="67" spans="1:40" ht="13.5" customHeight="1">
      <c r="A67" s="74"/>
      <c r="B67" s="74"/>
      <c r="C67" s="74"/>
      <c r="D67" s="74"/>
      <c r="E67" s="74"/>
      <c r="F67" s="74"/>
      <c r="G67" s="74"/>
      <c r="H67" s="74"/>
      <c r="I67" s="74"/>
      <c r="J67" s="74"/>
      <c r="K67" s="74"/>
      <c r="L67" s="74"/>
      <c r="M67" s="74"/>
      <c r="N67" s="179"/>
      <c r="O67" s="179"/>
      <c r="P67" s="179"/>
      <c r="Q67" s="179"/>
      <c r="R67" s="179"/>
      <c r="S67" s="179"/>
      <c r="T67" s="34"/>
      <c r="AM67" s="180">
        <v>3</v>
      </c>
    </row>
    <row r="68" spans="1:40" ht="24.95" customHeight="1">
      <c r="A68" s="1207" t="s">
        <v>599</v>
      </c>
      <c r="B68" s="1207"/>
      <c r="C68" s="1207"/>
      <c r="D68" s="1207"/>
      <c r="E68" s="1207"/>
      <c r="F68" s="1207"/>
      <c r="G68" s="1207"/>
      <c r="H68" s="1207"/>
      <c r="I68" s="1207"/>
      <c r="J68" s="1207"/>
      <c r="K68" s="1207"/>
      <c r="L68" s="1207"/>
      <c r="M68" s="1207"/>
      <c r="N68" s="1222" t="s">
        <v>494</v>
      </c>
      <c r="O68" s="1223"/>
      <c r="P68" s="1226" t="s">
        <v>495</v>
      </c>
      <c r="Q68" s="1227"/>
      <c r="R68" s="1227"/>
      <c r="S68" s="1228"/>
      <c r="T68" s="181" t="s">
        <v>505</v>
      </c>
      <c r="U68" s="1475">
        <f>'第4号様式別紙2-1（臨床研修（医師）実績報告）附表 A1'!AJ21+'第4号様式別紙2-1（臨床研修（医師）実績報告）附表 A2'!AI37</f>
        <v>0</v>
      </c>
      <c r="V68" s="1476"/>
      <c r="W68" s="1476"/>
      <c r="X68" s="1477"/>
      <c r="Y68" s="182" t="s">
        <v>497</v>
      </c>
      <c r="AM68" s="180">
        <v>4</v>
      </c>
    </row>
    <row r="69" spans="1:40" ht="24.95" customHeight="1">
      <c r="A69" s="1207"/>
      <c r="B69" s="1207"/>
      <c r="C69" s="1207"/>
      <c r="D69" s="1207"/>
      <c r="E69" s="1207"/>
      <c r="F69" s="1207"/>
      <c r="G69" s="1207"/>
      <c r="H69" s="1207"/>
      <c r="I69" s="1207"/>
      <c r="J69" s="1207"/>
      <c r="K69" s="1207"/>
      <c r="L69" s="1207"/>
      <c r="M69" s="1207"/>
      <c r="N69" s="1224"/>
      <c r="O69" s="1225"/>
      <c r="P69" s="1210" t="s">
        <v>498</v>
      </c>
      <c r="Q69" s="1211"/>
      <c r="R69" s="1211"/>
      <c r="S69" s="1212"/>
      <c r="T69" s="174" t="s">
        <v>506</v>
      </c>
      <c r="U69" s="1472">
        <f>'第4号様式別紙2-1（臨床研修（医師）実績報告）附表 A1'!AJ23+'第4号様式別紙2-1（臨床研修（医師）実績報告）附表 A2'!AI39</f>
        <v>0</v>
      </c>
      <c r="V69" s="1473"/>
      <c r="W69" s="1473"/>
      <c r="X69" s="1474"/>
      <c r="Y69" s="183" t="s">
        <v>485</v>
      </c>
      <c r="AM69" s="180">
        <v>5</v>
      </c>
    </row>
    <row r="70" spans="1:40" ht="24.95" customHeight="1">
      <c r="A70" s="1207" t="s">
        <v>507</v>
      </c>
      <c r="B70" s="1207"/>
      <c r="C70" s="1207"/>
      <c r="D70" s="1207"/>
      <c r="E70" s="1207"/>
      <c r="F70" s="1207"/>
      <c r="G70" s="1207"/>
      <c r="H70" s="1207"/>
      <c r="I70" s="1207"/>
      <c r="J70" s="1207"/>
      <c r="K70" s="1207"/>
      <c r="L70" s="1207"/>
      <c r="M70" s="1207"/>
      <c r="N70" s="1216" t="s">
        <v>501</v>
      </c>
      <c r="O70" s="1209"/>
      <c r="P70" s="1210" t="s">
        <v>495</v>
      </c>
      <c r="Q70" s="1211"/>
      <c r="R70" s="1211"/>
      <c r="S70" s="1212"/>
      <c r="T70" s="174" t="s">
        <v>508</v>
      </c>
      <c r="U70" s="1472">
        <f>'第4号様式別紙2-1（臨床研修（医師）実績報告）附表 A2'!AI44</f>
        <v>0</v>
      </c>
      <c r="V70" s="1473"/>
      <c r="W70" s="1473"/>
      <c r="X70" s="1474"/>
      <c r="Y70" s="183" t="s">
        <v>497</v>
      </c>
    </row>
    <row r="71" spans="1:40" ht="24.95" customHeight="1">
      <c r="A71" s="1207"/>
      <c r="B71" s="1207"/>
      <c r="C71" s="1207"/>
      <c r="D71" s="1207"/>
      <c r="E71" s="1207"/>
      <c r="F71" s="1207"/>
      <c r="G71" s="1207"/>
      <c r="H71" s="1207"/>
      <c r="I71" s="1207"/>
      <c r="J71" s="1207"/>
      <c r="K71" s="1207"/>
      <c r="L71" s="1207"/>
      <c r="M71" s="1207"/>
      <c r="N71" s="1217"/>
      <c r="O71" s="1218"/>
      <c r="P71" s="1219" t="s">
        <v>498</v>
      </c>
      <c r="Q71" s="1220"/>
      <c r="R71" s="1220"/>
      <c r="S71" s="1221"/>
      <c r="T71" s="184" t="s">
        <v>509</v>
      </c>
      <c r="U71" s="1478">
        <f>'第4号様式別紙2-1（臨床研修（医師）実績報告）附表 A2'!AI46</f>
        <v>0</v>
      </c>
      <c r="V71" s="1479"/>
      <c r="W71" s="1479"/>
      <c r="X71" s="1480"/>
      <c r="Y71" s="185" t="s">
        <v>485</v>
      </c>
    </row>
    <row r="72" spans="1:40" ht="15" customHeight="1">
      <c r="A72" s="1" t="s">
        <v>510</v>
      </c>
    </row>
    <row r="73" spans="1:40" ht="9" customHeight="1"/>
    <row r="74" spans="1:40" ht="8.25" customHeight="1">
      <c r="B74" s="75"/>
      <c r="C74" s="76"/>
      <c r="D74" s="76"/>
      <c r="E74" s="76"/>
      <c r="F74" s="76"/>
      <c r="G74" s="76"/>
      <c r="H74" s="76"/>
      <c r="I74" s="76"/>
      <c r="J74" s="76"/>
      <c r="K74" s="76"/>
      <c r="L74" s="76"/>
      <c r="M74" s="76"/>
      <c r="N74" s="76"/>
      <c r="O74" s="76"/>
      <c r="P74" s="76"/>
      <c r="Q74" s="76"/>
      <c r="R74" s="76"/>
      <c r="S74" s="77"/>
      <c r="T74" s="75"/>
      <c r="U74" s="76"/>
      <c r="V74" s="76"/>
      <c r="W74" s="76"/>
      <c r="X74" s="76"/>
      <c r="Y74" s="77"/>
    </row>
    <row r="75" spans="1:40" ht="15" customHeight="1">
      <c r="B75" s="2"/>
      <c r="C75" s="1" t="s">
        <v>511</v>
      </c>
      <c r="H75" s="1450" t="s">
        <v>512</v>
      </c>
      <c r="I75" s="1450"/>
      <c r="J75" s="1450"/>
      <c r="K75" s="1450"/>
      <c r="L75" s="1450"/>
      <c r="M75" s="1450"/>
      <c r="N75" s="1450"/>
      <c r="O75" s="1450"/>
      <c r="P75" s="1450"/>
      <c r="Q75" s="1450"/>
      <c r="R75" s="1450"/>
      <c r="S75" s="1450"/>
      <c r="T75" s="1450"/>
      <c r="U75" s="1450"/>
      <c r="V75" s="1450"/>
      <c r="W75" s="1450"/>
      <c r="X75" s="1450"/>
      <c r="Y75" s="1467"/>
    </row>
    <row r="76" spans="1:40" ht="15" customHeight="1">
      <c r="B76" s="2"/>
      <c r="C76" s="1" t="s">
        <v>513</v>
      </c>
      <c r="I76" s="1229" t="s">
        <v>514</v>
      </c>
      <c r="J76" s="1230"/>
      <c r="K76" s="186"/>
      <c r="L76" s="1" t="s">
        <v>515</v>
      </c>
      <c r="N76" s="186"/>
      <c r="O76" s="1" t="s">
        <v>516</v>
      </c>
      <c r="T76" s="8" t="s">
        <v>517</v>
      </c>
      <c r="U76" s="1298" t="e">
        <f>U77+U101</f>
        <v>#VALUE!</v>
      </c>
      <c r="V76" s="1298"/>
      <c r="W76" s="1298"/>
      <c r="X76" s="1298"/>
      <c r="Y76" s="9" t="s">
        <v>518</v>
      </c>
      <c r="Z76" s="187" t="str">
        <f>IF(AB78="未入力","※先に158行目の当該年度４月１日現在の１年次研修医受入数を入力してください","")</f>
        <v>※先に158行目の当該年度４月１日現在の１年次研修医受入数を入力してください</v>
      </c>
    </row>
    <row r="77" spans="1:40" ht="15" customHeight="1">
      <c r="B77" s="2" t="s">
        <v>519</v>
      </c>
      <c r="I77" s="35"/>
      <c r="J77" s="35"/>
      <c r="T77" s="8" t="s">
        <v>263</v>
      </c>
      <c r="U77" s="1298" t="e">
        <f>IF(OR(AB78="20人未満",$C$118=1),(E79*Q79)+(E81*Q81)+(E83*Q83)+(E85*Q85)+(E87*Q87),(E91*Q91)+(E93*Q93)+(E95*Q95)+(E97*Q97)+(E99*Q99))</f>
        <v>#VALUE!</v>
      </c>
      <c r="V77" s="1298"/>
      <c r="W77" s="1298"/>
      <c r="X77" s="1298"/>
      <c r="Y77" s="9" t="s">
        <v>264</v>
      </c>
    </row>
    <row r="78" spans="1:40" ht="30" customHeight="1">
      <c r="B78" s="1232" t="s">
        <v>520</v>
      </c>
      <c r="C78" s="951"/>
      <c r="D78" s="951"/>
      <c r="E78" s="951"/>
      <c r="F78" s="951"/>
      <c r="G78" s="951"/>
      <c r="H78" s="951"/>
      <c r="I78" s="951"/>
      <c r="J78" s="951"/>
      <c r="K78" s="951"/>
      <c r="L78" s="951"/>
      <c r="M78" s="951"/>
      <c r="N78" s="951"/>
      <c r="O78" s="951"/>
      <c r="P78" s="951"/>
      <c r="Q78" s="951"/>
      <c r="R78" s="951"/>
      <c r="S78" s="1233"/>
      <c r="T78" s="8"/>
      <c r="U78" s="443"/>
      <c r="V78" s="443"/>
      <c r="W78" s="443"/>
      <c r="X78" s="443"/>
      <c r="Y78" s="9"/>
      <c r="AB78" s="187" t="str">
        <f>IF(N158="","未入力",IF(N158&gt;=20,"20人以上","20人未満"))</f>
        <v>未入力</v>
      </c>
    </row>
    <row r="79" spans="1:40" ht="32.25" customHeight="1">
      <c r="B79" s="1234" t="s">
        <v>521</v>
      </c>
      <c r="C79" s="945"/>
      <c r="D79" s="34" t="s">
        <v>522</v>
      </c>
      <c r="E79" s="1314">
        <v>63000</v>
      </c>
      <c r="F79" s="1302"/>
      <c r="G79" s="1302"/>
      <c r="H79" s="1" t="s">
        <v>523</v>
      </c>
      <c r="K79" s="35" t="s">
        <v>268</v>
      </c>
      <c r="M79" s="1468" t="s">
        <v>524</v>
      </c>
      <c r="N79" s="1468"/>
      <c r="O79" s="1468"/>
      <c r="P79" s="1468"/>
      <c r="Q79" s="1303" t="str">
        <f>IF(OR($AB$78="20人未満",$C$118=1),IF($K$76=1,$V$15,0)+IF($K$76=2,$V$15,0),"")</f>
        <v/>
      </c>
      <c r="R79" s="1303"/>
      <c r="S79" s="1" t="s">
        <v>451</v>
      </c>
      <c r="T79" s="8"/>
      <c r="U79" s="443"/>
      <c r="V79" s="443"/>
      <c r="W79" s="443"/>
      <c r="X79" s="443"/>
      <c r="Y79" s="9"/>
    </row>
    <row r="80" spans="1:40" ht="9" customHeight="1">
      <c r="B80" s="40"/>
      <c r="C80" s="29"/>
      <c r="D80" s="34"/>
      <c r="E80" s="593"/>
      <c r="F80" s="593"/>
      <c r="G80" s="593"/>
      <c r="K80" s="35"/>
      <c r="M80" s="36"/>
      <c r="N80" s="36"/>
      <c r="O80" s="36"/>
      <c r="P80" s="36"/>
      <c r="Q80" s="594"/>
      <c r="R80" s="594"/>
      <c r="T80" s="8"/>
      <c r="U80" s="443"/>
      <c r="V80" s="443"/>
      <c r="W80" s="443"/>
      <c r="X80" s="443"/>
      <c r="Y80" s="9"/>
    </row>
    <row r="81" spans="2:25" ht="27.75" customHeight="1">
      <c r="B81" s="1238" t="s">
        <v>525</v>
      </c>
      <c r="C81" s="945"/>
      <c r="D81" s="34" t="s">
        <v>522</v>
      </c>
      <c r="E81" s="1314">
        <v>52000</v>
      </c>
      <c r="F81" s="1302"/>
      <c r="G81" s="1302"/>
      <c r="H81" s="1" t="s">
        <v>523</v>
      </c>
      <c r="K81" s="35" t="s">
        <v>268</v>
      </c>
      <c r="M81" s="1468" t="s">
        <v>524</v>
      </c>
      <c r="N81" s="1468"/>
      <c r="O81" s="1468"/>
      <c r="P81" s="1468"/>
      <c r="Q81" s="1303" t="str">
        <f>IF(OR($AB$78="20人未満",$C$118=1),IF($K$76=3,$V$15,0),"")</f>
        <v/>
      </c>
      <c r="R81" s="1303"/>
      <c r="S81" s="1" t="s">
        <v>451</v>
      </c>
      <c r="T81" s="8"/>
      <c r="U81" s="443"/>
      <c r="V81" s="443"/>
      <c r="W81" s="443"/>
      <c r="X81" s="443"/>
      <c r="Y81" s="9"/>
    </row>
    <row r="82" spans="2:25" ht="18" customHeight="1">
      <c r="B82" s="41"/>
      <c r="C82" s="42"/>
      <c r="D82" s="34"/>
      <c r="E82" s="596"/>
      <c r="F82" s="593"/>
      <c r="G82" s="593"/>
      <c r="K82" s="35"/>
      <c r="Q82" s="594"/>
      <c r="R82" s="594"/>
      <c r="T82" s="8"/>
      <c r="U82" s="443"/>
      <c r="V82" s="443"/>
      <c r="W82" s="443"/>
      <c r="X82" s="443"/>
      <c r="Y82" s="9"/>
    </row>
    <row r="83" spans="2:25" ht="18" customHeight="1">
      <c r="B83" s="1238" t="s">
        <v>526</v>
      </c>
      <c r="C83" s="945"/>
      <c r="D83" s="34" t="s">
        <v>522</v>
      </c>
      <c r="E83" s="1302">
        <v>47000</v>
      </c>
      <c r="F83" s="1302"/>
      <c r="G83" s="1302"/>
      <c r="H83" s="1" t="s">
        <v>523</v>
      </c>
      <c r="K83" s="35" t="s">
        <v>268</v>
      </c>
      <c r="M83" s="1468" t="s">
        <v>524</v>
      </c>
      <c r="N83" s="1468"/>
      <c r="O83" s="1468"/>
      <c r="P83" s="1468"/>
      <c r="Q83" s="1303" t="str">
        <f>IF(OR($AB$78="20人未満",$C$118=1),IF($K$76=4,$V$15,0),"")</f>
        <v/>
      </c>
      <c r="R83" s="1303"/>
      <c r="S83" s="1" t="s">
        <v>451</v>
      </c>
      <c r="T83" s="8"/>
      <c r="U83" s="443"/>
      <c r="V83" s="443"/>
      <c r="W83" s="443"/>
      <c r="X83" s="443"/>
      <c r="Y83" s="9"/>
    </row>
    <row r="84" spans="2:25" ht="18" customHeight="1">
      <c r="B84" s="41"/>
      <c r="C84" s="42"/>
      <c r="D84" s="34"/>
      <c r="E84" s="1299"/>
      <c r="F84" s="1299"/>
      <c r="G84" s="1299"/>
      <c r="K84" s="35"/>
      <c r="Q84" s="594"/>
      <c r="R84" s="594"/>
      <c r="T84" s="8"/>
      <c r="U84" s="443"/>
      <c r="V84" s="443"/>
      <c r="W84" s="443"/>
      <c r="X84" s="443"/>
      <c r="Y84" s="9"/>
    </row>
    <row r="85" spans="2:25" ht="18" customHeight="1">
      <c r="B85" s="1238" t="s">
        <v>527</v>
      </c>
      <c r="C85" s="945"/>
      <c r="D85" s="34" t="s">
        <v>522</v>
      </c>
      <c r="E85" s="1302">
        <v>42000</v>
      </c>
      <c r="F85" s="1302"/>
      <c r="G85" s="1302"/>
      <c r="H85" s="1" t="s">
        <v>523</v>
      </c>
      <c r="K85" s="35" t="s">
        <v>268</v>
      </c>
      <c r="M85" s="1468" t="s">
        <v>524</v>
      </c>
      <c r="N85" s="1468"/>
      <c r="O85" s="1468"/>
      <c r="P85" s="1468"/>
      <c r="Q85" s="1303" t="str">
        <f>IF(OR($AB$78="20人未満",$C118=1),IF($K$76=5,$V$15,0),"")</f>
        <v/>
      </c>
      <c r="R85" s="1303"/>
      <c r="S85" s="1" t="s">
        <v>451</v>
      </c>
      <c r="T85" s="8"/>
      <c r="U85" s="443"/>
      <c r="V85" s="443"/>
      <c r="W85" s="443"/>
      <c r="X85" s="443"/>
      <c r="Y85" s="9"/>
    </row>
    <row r="86" spans="2:25" ht="18" customHeight="1">
      <c r="B86" s="41"/>
      <c r="C86" s="42"/>
      <c r="D86" s="34"/>
      <c r="E86" s="1299"/>
      <c r="F86" s="1299"/>
      <c r="G86" s="1299"/>
      <c r="K86" s="35"/>
      <c r="Q86" s="594"/>
      <c r="R86" s="594"/>
      <c r="T86" s="8"/>
      <c r="U86" s="443"/>
      <c r="V86" s="443"/>
      <c r="W86" s="443"/>
      <c r="X86" s="443"/>
      <c r="Y86" s="9"/>
    </row>
    <row r="87" spans="2:25" ht="33.75" customHeight="1">
      <c r="B87" s="1239" t="s">
        <v>528</v>
      </c>
      <c r="C87" s="1240"/>
      <c r="D87" s="43" t="s">
        <v>522</v>
      </c>
      <c r="E87" s="1311">
        <v>500</v>
      </c>
      <c r="F87" s="1311"/>
      <c r="G87" s="1311"/>
      <c r="H87" s="11" t="s">
        <v>523</v>
      </c>
      <c r="I87" s="11"/>
      <c r="J87" s="11"/>
      <c r="K87" s="44" t="s">
        <v>268</v>
      </c>
      <c r="L87" s="11"/>
      <c r="M87" s="1242" t="s">
        <v>524</v>
      </c>
      <c r="N87" s="1242"/>
      <c r="O87" s="1242"/>
      <c r="P87" s="1242"/>
      <c r="Q87" s="1300" t="str">
        <f>IF(OR($AB$78="20人未満",$C118=1),IF($N$76=2,$V$15,0)+IF($N$76=3,$V$15,0),"")</f>
        <v/>
      </c>
      <c r="R87" s="1300"/>
      <c r="S87" s="11" t="s">
        <v>451</v>
      </c>
      <c r="T87" s="8"/>
      <c r="U87" s="443"/>
      <c r="V87" s="443"/>
      <c r="W87" s="443"/>
      <c r="X87" s="443"/>
      <c r="Y87" s="9"/>
    </row>
    <row r="88" spans="2:25" ht="9" customHeight="1">
      <c r="B88" s="160"/>
      <c r="C88" s="161"/>
      <c r="D88" s="43"/>
      <c r="E88" s="595"/>
      <c r="F88" s="595"/>
      <c r="G88" s="595"/>
      <c r="H88" s="11"/>
      <c r="I88" s="11"/>
      <c r="J88" s="11"/>
      <c r="K88" s="44"/>
      <c r="L88" s="11"/>
      <c r="M88" s="11"/>
      <c r="N88" s="11"/>
      <c r="O88" s="11"/>
      <c r="P88" s="11"/>
      <c r="Q88" s="593"/>
      <c r="R88" s="593"/>
      <c r="S88" s="11"/>
      <c r="T88" s="8"/>
      <c r="U88" s="443"/>
      <c r="V88" s="443"/>
      <c r="W88" s="443"/>
      <c r="X88" s="443"/>
      <c r="Y88" s="9"/>
    </row>
    <row r="89" spans="2:25" ht="9" customHeight="1">
      <c r="B89" s="160"/>
      <c r="C89" s="161"/>
      <c r="D89" s="43"/>
      <c r="E89" s="449"/>
      <c r="F89" s="449"/>
      <c r="G89" s="449"/>
      <c r="H89" s="124"/>
      <c r="I89" s="11"/>
      <c r="J89" s="11"/>
      <c r="K89" s="44"/>
      <c r="L89" s="11"/>
      <c r="M89" s="132"/>
      <c r="N89" s="132"/>
      <c r="O89" s="132"/>
      <c r="P89" s="132"/>
      <c r="Q89" s="449"/>
      <c r="R89" s="449"/>
      <c r="S89" s="11"/>
      <c r="T89" s="8"/>
      <c r="U89" s="62"/>
      <c r="V89" s="62"/>
      <c r="W89" s="62"/>
      <c r="X89" s="62"/>
      <c r="Y89" s="9"/>
    </row>
    <row r="90" spans="2:25" ht="30" customHeight="1">
      <c r="B90" s="1232" t="s">
        <v>534</v>
      </c>
      <c r="C90" s="951"/>
      <c r="D90" s="951"/>
      <c r="E90" s="951"/>
      <c r="F90" s="951"/>
      <c r="G90" s="951"/>
      <c r="H90" s="951"/>
      <c r="I90" s="951"/>
      <c r="J90" s="951"/>
      <c r="K90" s="951"/>
      <c r="L90" s="951"/>
      <c r="M90" s="951"/>
      <c r="N90" s="951"/>
      <c r="O90" s="951"/>
      <c r="P90" s="951"/>
      <c r="Q90" s="951"/>
      <c r="R90" s="951"/>
      <c r="S90" s="1233"/>
      <c r="T90" s="8"/>
      <c r="U90" s="443"/>
      <c r="V90" s="443"/>
      <c r="W90" s="443"/>
      <c r="X90" s="443"/>
      <c r="Y90" s="9"/>
    </row>
    <row r="91" spans="2:25" ht="32.25" customHeight="1">
      <c r="B91" s="1234" t="s">
        <v>521</v>
      </c>
      <c r="C91" s="945"/>
      <c r="D91" s="34" t="s">
        <v>522</v>
      </c>
      <c r="E91" s="1314">
        <v>46000</v>
      </c>
      <c r="F91" s="1302"/>
      <c r="G91" s="1302"/>
      <c r="H91" s="1" t="s">
        <v>523</v>
      </c>
      <c r="K91" s="35" t="s">
        <v>268</v>
      </c>
      <c r="M91" s="1468" t="s">
        <v>524</v>
      </c>
      <c r="N91" s="1468"/>
      <c r="O91" s="1468"/>
      <c r="P91" s="1468"/>
      <c r="Q91" s="1313" t="str">
        <f>IF(AND($AB$78="20人以上",$C$118=""),IF($K$76=1,$V$15,0)+IF($K$76=2,$V$15,0),"")</f>
        <v/>
      </c>
      <c r="R91" s="1313"/>
      <c r="S91" s="1" t="s">
        <v>451</v>
      </c>
      <c r="T91" s="8"/>
      <c r="U91" s="443"/>
      <c r="V91" s="443"/>
      <c r="W91" s="443"/>
      <c r="X91" s="443"/>
      <c r="Y91" s="9"/>
    </row>
    <row r="92" spans="2:25" ht="9" customHeight="1">
      <c r="B92" s="40"/>
      <c r="C92" s="29"/>
      <c r="D92" s="34"/>
      <c r="E92" s="593"/>
      <c r="F92" s="593"/>
      <c r="G92" s="593"/>
      <c r="K92" s="35"/>
      <c r="M92" s="36"/>
      <c r="N92" s="36"/>
      <c r="O92" s="36"/>
      <c r="P92" s="36"/>
      <c r="Q92" s="594"/>
      <c r="R92" s="594"/>
      <c r="T92" s="8"/>
      <c r="U92" s="443"/>
      <c r="V92" s="443"/>
      <c r="W92" s="443"/>
      <c r="X92" s="443"/>
      <c r="Y92" s="9"/>
    </row>
    <row r="93" spans="2:25" ht="27.75" customHeight="1">
      <c r="B93" s="1238" t="s">
        <v>525</v>
      </c>
      <c r="C93" s="945"/>
      <c r="D93" s="34" t="s">
        <v>522</v>
      </c>
      <c r="E93" s="1314">
        <v>39000</v>
      </c>
      <c r="F93" s="1302"/>
      <c r="G93" s="1302"/>
      <c r="H93" s="1" t="s">
        <v>523</v>
      </c>
      <c r="K93" s="35" t="s">
        <v>268</v>
      </c>
      <c r="M93" s="1468" t="s">
        <v>524</v>
      </c>
      <c r="N93" s="1468"/>
      <c r="O93" s="1468"/>
      <c r="P93" s="1468"/>
      <c r="Q93" s="1313" t="str">
        <f>IF(AND($AB$78="20人以上",$C$118=""),IF($K$76=3,$V$15,0),"")</f>
        <v/>
      </c>
      <c r="R93" s="1313"/>
      <c r="S93" s="1" t="s">
        <v>451</v>
      </c>
      <c r="T93" s="8"/>
      <c r="U93" s="443"/>
      <c r="V93" s="443"/>
      <c r="W93" s="443"/>
      <c r="X93" s="443"/>
      <c r="Y93" s="9"/>
    </row>
    <row r="94" spans="2:25" ht="18" customHeight="1">
      <c r="B94" s="41"/>
      <c r="C94" s="42"/>
      <c r="D94" s="34"/>
      <c r="E94" s="596"/>
      <c r="F94" s="593"/>
      <c r="G94" s="593"/>
      <c r="K94" s="35"/>
      <c r="Q94" s="594"/>
      <c r="R94" s="594"/>
      <c r="T94" s="8"/>
      <c r="U94" s="443"/>
      <c r="V94" s="443"/>
      <c r="W94" s="443"/>
      <c r="X94" s="443"/>
      <c r="Y94" s="9"/>
    </row>
    <row r="95" spans="2:25" ht="18" customHeight="1">
      <c r="B95" s="1238" t="s">
        <v>526</v>
      </c>
      <c r="C95" s="945"/>
      <c r="D95" s="34" t="s">
        <v>522</v>
      </c>
      <c r="E95" s="1302">
        <v>35000</v>
      </c>
      <c r="F95" s="1302"/>
      <c r="G95" s="1302"/>
      <c r="H95" s="1" t="s">
        <v>523</v>
      </c>
      <c r="K95" s="35" t="s">
        <v>268</v>
      </c>
      <c r="M95" s="1468" t="s">
        <v>524</v>
      </c>
      <c r="N95" s="1468"/>
      <c r="O95" s="1468"/>
      <c r="P95" s="1468"/>
      <c r="Q95" s="1313" t="str">
        <f>IF(AND($AB$78="20人以上",$C$118=""),IF($K$76=4,$V$15,0),"")</f>
        <v/>
      </c>
      <c r="R95" s="1313"/>
      <c r="S95" s="1" t="s">
        <v>451</v>
      </c>
      <c r="T95" s="8"/>
      <c r="U95" s="443"/>
      <c r="V95" s="443"/>
      <c r="W95" s="443"/>
      <c r="X95" s="443"/>
      <c r="Y95" s="9"/>
    </row>
    <row r="96" spans="2:25" ht="18" customHeight="1">
      <c r="B96" s="41"/>
      <c r="C96" s="42"/>
      <c r="D96" s="34"/>
      <c r="E96" s="1299"/>
      <c r="F96" s="1299"/>
      <c r="G96" s="1299"/>
      <c r="K96" s="35"/>
      <c r="Q96" s="594"/>
      <c r="R96" s="594"/>
      <c r="T96" s="8"/>
      <c r="U96" s="443"/>
      <c r="V96" s="443"/>
      <c r="W96" s="443"/>
      <c r="X96" s="443"/>
      <c r="Y96" s="9"/>
    </row>
    <row r="97" spans="2:33" ht="18" customHeight="1">
      <c r="B97" s="1238" t="s">
        <v>527</v>
      </c>
      <c r="C97" s="945"/>
      <c r="D97" s="34" t="s">
        <v>522</v>
      </c>
      <c r="E97" s="1302">
        <v>31000</v>
      </c>
      <c r="F97" s="1302"/>
      <c r="G97" s="1302"/>
      <c r="H97" s="1" t="s">
        <v>523</v>
      </c>
      <c r="K97" s="35" t="s">
        <v>268</v>
      </c>
      <c r="M97" s="1468" t="s">
        <v>524</v>
      </c>
      <c r="N97" s="1468"/>
      <c r="O97" s="1468"/>
      <c r="P97" s="1468"/>
      <c r="Q97" s="1313" t="str">
        <f>IF(AND($AB$78="20人以上",$C$118=""),IF($K$76=5,$V$15,0),"")</f>
        <v/>
      </c>
      <c r="R97" s="1313"/>
      <c r="S97" s="1" t="s">
        <v>451</v>
      </c>
      <c r="T97" s="8"/>
      <c r="U97" s="443"/>
      <c r="V97" s="443"/>
      <c r="W97" s="443"/>
      <c r="X97" s="443"/>
      <c r="Y97" s="9"/>
    </row>
    <row r="98" spans="2:33" ht="18" customHeight="1">
      <c r="B98" s="41"/>
      <c r="C98" s="42"/>
      <c r="D98" s="34"/>
      <c r="E98" s="1299"/>
      <c r="F98" s="1299"/>
      <c r="G98" s="1299"/>
      <c r="K98" s="35"/>
      <c r="Q98" s="594"/>
      <c r="R98" s="594"/>
      <c r="T98" s="8"/>
      <c r="U98" s="443"/>
      <c r="V98" s="443"/>
      <c r="W98" s="443"/>
      <c r="X98" s="443"/>
      <c r="Y98" s="9"/>
    </row>
    <row r="99" spans="2:33" ht="33.75" customHeight="1">
      <c r="B99" s="1239" t="s">
        <v>528</v>
      </c>
      <c r="C99" s="1240"/>
      <c r="D99" s="43" t="s">
        <v>522</v>
      </c>
      <c r="E99" s="1311">
        <v>300</v>
      </c>
      <c r="F99" s="1311"/>
      <c r="G99" s="1311"/>
      <c r="H99" s="11" t="s">
        <v>523</v>
      </c>
      <c r="I99" s="11"/>
      <c r="J99" s="11"/>
      <c r="K99" s="44" t="s">
        <v>268</v>
      </c>
      <c r="L99" s="11"/>
      <c r="M99" s="1242" t="s">
        <v>524</v>
      </c>
      <c r="N99" s="1242"/>
      <c r="O99" s="1242"/>
      <c r="P99" s="1242"/>
      <c r="Q99" s="1312" t="str">
        <f>IF(AND($AB$78="20人以上",$C$118=""),IF($N$76=2,$V$15,0)+IF($N$76=3,$V$15,0),"")</f>
        <v/>
      </c>
      <c r="R99" s="1312"/>
      <c r="S99" s="11" t="s">
        <v>451</v>
      </c>
      <c r="T99" s="8"/>
      <c r="U99" s="592"/>
      <c r="V99" s="592"/>
      <c r="W99" s="592"/>
      <c r="X99" s="592"/>
      <c r="Y99" s="9"/>
    </row>
    <row r="100" spans="2:33" ht="9" customHeight="1">
      <c r="B100" s="160"/>
      <c r="C100" s="161"/>
      <c r="D100" s="43"/>
      <c r="E100" s="449"/>
      <c r="F100" s="449"/>
      <c r="G100" s="449"/>
      <c r="H100" s="124"/>
      <c r="I100" s="11"/>
      <c r="J100" s="11"/>
      <c r="K100" s="44"/>
      <c r="L100" s="11"/>
      <c r="M100" s="132"/>
      <c r="N100" s="132"/>
      <c r="O100" s="132"/>
      <c r="P100" s="132"/>
      <c r="Q100" s="449"/>
      <c r="R100" s="449"/>
      <c r="S100" s="11"/>
      <c r="T100" s="8"/>
      <c r="U100" s="62"/>
      <c r="V100" s="62"/>
      <c r="W100" s="62"/>
      <c r="X100" s="62"/>
      <c r="Y100" s="9"/>
    </row>
    <row r="101" spans="2:33" s="11" customFormat="1" ht="19.5" customHeight="1">
      <c r="B101" s="46" t="s">
        <v>535</v>
      </c>
      <c r="C101" s="30"/>
      <c r="D101" s="43" t="s">
        <v>263</v>
      </c>
      <c r="E101" s="1311">
        <v>15000</v>
      </c>
      <c r="F101" s="1311"/>
      <c r="G101" s="1311"/>
      <c r="H101" s="11" t="s">
        <v>523</v>
      </c>
      <c r="K101" s="44" t="s">
        <v>268</v>
      </c>
      <c r="M101" s="1242" t="s">
        <v>524</v>
      </c>
      <c r="N101" s="1242"/>
      <c r="O101" s="1242"/>
      <c r="P101" s="1242"/>
      <c r="Q101" s="1303">
        <f>V15</f>
        <v>0</v>
      </c>
      <c r="R101" s="1303"/>
      <c r="S101" s="11" t="s">
        <v>449</v>
      </c>
      <c r="T101" s="192" t="s">
        <v>263</v>
      </c>
      <c r="U101" s="1297">
        <f>E101*Q101</f>
        <v>0</v>
      </c>
      <c r="V101" s="1297"/>
      <c r="W101" s="1297"/>
      <c r="X101" s="1297"/>
      <c r="Y101" s="193" t="s">
        <v>264</v>
      </c>
    </row>
    <row r="102" spans="2:33" ht="6" customHeight="1">
      <c r="B102" s="194"/>
      <c r="C102" s="195"/>
      <c r="D102" s="34"/>
      <c r="E102" s="593"/>
      <c r="F102" s="593"/>
      <c r="G102" s="593"/>
      <c r="K102" s="35"/>
      <c r="Q102" s="593"/>
      <c r="R102" s="593"/>
      <c r="T102" s="8"/>
      <c r="U102" s="592"/>
      <c r="V102" s="592"/>
      <c r="W102" s="592"/>
      <c r="X102" s="592"/>
      <c r="Y102" s="9"/>
    </row>
    <row r="103" spans="2:33" s="791" customFormat="1" ht="14.25" customHeight="1">
      <c r="B103" s="792"/>
      <c r="C103" s="609" t="s">
        <v>600</v>
      </c>
      <c r="D103" s="793"/>
      <c r="E103" s="794"/>
      <c r="F103" s="794"/>
      <c r="G103" s="794"/>
      <c r="H103" s="609"/>
      <c r="I103" s="609"/>
      <c r="J103" s="609"/>
      <c r="K103" s="683"/>
      <c r="L103" s="609"/>
      <c r="M103" s="609"/>
      <c r="N103" s="609"/>
      <c r="O103" s="609"/>
      <c r="P103" s="609"/>
      <c r="Q103" s="794"/>
      <c r="R103" s="794"/>
      <c r="S103" s="609"/>
      <c r="T103" s="795"/>
      <c r="U103" s="796"/>
      <c r="V103" s="796"/>
      <c r="W103" s="796"/>
      <c r="X103" s="796"/>
      <c r="Y103" s="797"/>
      <c r="Z103" s="609"/>
      <c r="AA103" s="609" t="s">
        <v>601</v>
      </c>
      <c r="AB103" s="609"/>
      <c r="AC103" s="609"/>
      <c r="AD103" s="609"/>
      <c r="AE103" s="609"/>
      <c r="AF103" s="609"/>
      <c r="AG103" s="609"/>
    </row>
    <row r="104" spans="2:33" s="791" customFormat="1" ht="14.25" customHeight="1">
      <c r="B104" s="792"/>
      <c r="C104" s="1308" t="s">
        <v>602</v>
      </c>
      <c r="D104" s="1308"/>
      <c r="E104" s="1308"/>
      <c r="F104" s="1308"/>
      <c r="G104" s="1308"/>
      <c r="H104" s="1308"/>
      <c r="I104" s="1308"/>
      <c r="J104" s="1308"/>
      <c r="K104" s="1308"/>
      <c r="L104" s="1308"/>
      <c r="M104" s="1308"/>
      <c r="N104" s="1308"/>
      <c r="O104" s="1308"/>
      <c r="P104" s="1308"/>
      <c r="Q104" s="1308"/>
      <c r="R104" s="1308"/>
      <c r="S104" s="1309"/>
      <c r="T104" s="795"/>
      <c r="U104" s="796"/>
      <c r="V104" s="796"/>
      <c r="W104" s="796"/>
      <c r="X104" s="796"/>
      <c r="Y104" s="797"/>
      <c r="Z104" s="609"/>
      <c r="AA104" s="609"/>
      <c r="AB104" s="609"/>
      <c r="AC104" s="609"/>
      <c r="AD104" s="609"/>
      <c r="AE104" s="609"/>
      <c r="AF104" s="609"/>
      <c r="AG104" s="609"/>
    </row>
    <row r="105" spans="2:33" s="791" customFormat="1" ht="14.25" customHeight="1">
      <c r="B105" s="792"/>
      <c r="C105" s="798"/>
      <c r="D105" s="799" t="s">
        <v>263</v>
      </c>
      <c r="E105" s="1304">
        <v>15000</v>
      </c>
      <c r="F105" s="1304"/>
      <c r="G105" s="1304"/>
      <c r="H105" s="633" t="s">
        <v>523</v>
      </c>
      <c r="I105" s="633"/>
      <c r="J105" s="633"/>
      <c r="K105" s="800" t="s">
        <v>268</v>
      </c>
      <c r="L105" s="633"/>
      <c r="M105" s="1310" t="s">
        <v>603</v>
      </c>
      <c r="N105" s="1310"/>
      <c r="O105" s="1310"/>
      <c r="P105" s="1310"/>
      <c r="Q105" s="1306" t="e">
        <f>IF($U$42&gt;0.4999,K48,"0")</f>
        <v>#DIV/0!</v>
      </c>
      <c r="R105" s="1306"/>
      <c r="S105" s="633" t="s">
        <v>449</v>
      </c>
      <c r="T105" s="801" t="s">
        <v>517</v>
      </c>
      <c r="U105" s="1307" t="e">
        <f>IF(Q105&gt;0,E105*Q105,"")</f>
        <v>#DIV/0!</v>
      </c>
      <c r="V105" s="1307"/>
      <c r="W105" s="1307"/>
      <c r="X105" s="1307"/>
      <c r="Y105" s="802" t="s">
        <v>518</v>
      </c>
      <c r="Z105" s="609"/>
      <c r="AA105" s="609"/>
      <c r="AB105" s="609" t="e">
        <f>IF($U$42&gt;=0.5,"50％以上","50％未満")</f>
        <v>#DIV/0!</v>
      </c>
      <c r="AC105" s="609"/>
      <c r="AD105" s="609"/>
      <c r="AE105" s="609"/>
      <c r="AF105" s="609"/>
      <c r="AG105" s="609"/>
    </row>
    <row r="106" spans="2:33" ht="14.25" customHeight="1">
      <c r="B106" s="194"/>
      <c r="C106" s="798"/>
      <c r="D106" s="799"/>
      <c r="E106" s="1304"/>
      <c r="F106" s="1304"/>
      <c r="G106" s="1304"/>
      <c r="H106" s="633"/>
      <c r="I106" s="633"/>
      <c r="J106" s="633"/>
      <c r="K106" s="800"/>
      <c r="L106" s="633"/>
      <c r="M106" s="1305"/>
      <c r="N106" s="1305"/>
      <c r="O106" s="1305"/>
      <c r="P106" s="1305"/>
      <c r="Q106" s="1306"/>
      <c r="R106" s="1306"/>
      <c r="S106" s="633"/>
      <c r="T106" s="803"/>
      <c r="U106" s="1307"/>
      <c r="V106" s="1307"/>
      <c r="W106" s="1307"/>
      <c r="X106" s="1307"/>
      <c r="Y106" s="804"/>
      <c r="Z106" s="609"/>
      <c r="AA106" s="609"/>
      <c r="AB106" s="609"/>
      <c r="AC106" s="609"/>
      <c r="AD106" s="609"/>
      <c r="AE106" s="609"/>
      <c r="AF106" s="609"/>
      <c r="AG106" s="609"/>
    </row>
    <row r="107" spans="2:33" s="791" customFormat="1" ht="14.25" customHeight="1">
      <c r="B107" s="792"/>
      <c r="C107" s="609" t="s">
        <v>604</v>
      </c>
      <c r="D107" s="793"/>
      <c r="E107" s="794"/>
      <c r="F107" s="794"/>
      <c r="G107" s="794"/>
      <c r="H107" s="609"/>
      <c r="I107" s="609"/>
      <c r="J107" s="609"/>
      <c r="K107" s="683"/>
      <c r="L107" s="609"/>
      <c r="M107" s="609"/>
      <c r="N107" s="609"/>
      <c r="O107" s="609"/>
      <c r="P107" s="609"/>
      <c r="Q107" s="794"/>
      <c r="R107" s="794"/>
      <c r="S107" s="609"/>
      <c r="T107" s="795"/>
      <c r="U107" s="796"/>
      <c r="V107" s="796"/>
      <c r="W107" s="796"/>
      <c r="X107" s="796"/>
      <c r="Y107" s="797"/>
      <c r="Z107" s="609"/>
      <c r="AA107" s="609" t="s">
        <v>601</v>
      </c>
      <c r="AB107" s="609"/>
      <c r="AC107" s="609"/>
      <c r="AD107" s="609"/>
      <c r="AE107" s="609"/>
      <c r="AF107" s="609"/>
      <c r="AG107" s="609"/>
    </row>
    <row r="108" spans="2:33" s="791" customFormat="1" ht="14.25" customHeight="1">
      <c r="B108" s="792"/>
      <c r="C108" s="1308" t="s">
        <v>605</v>
      </c>
      <c r="D108" s="1308"/>
      <c r="E108" s="1308"/>
      <c r="F108" s="1308"/>
      <c r="G108" s="1308"/>
      <c r="H108" s="1308"/>
      <c r="I108" s="1308"/>
      <c r="J108" s="1308"/>
      <c r="K108" s="1308"/>
      <c r="L108" s="1308"/>
      <c r="M108" s="1308"/>
      <c r="N108" s="1308"/>
      <c r="O108" s="1308"/>
      <c r="P108" s="1308"/>
      <c r="Q108" s="1308"/>
      <c r="R108" s="1308"/>
      <c r="S108" s="1309"/>
      <c r="T108" s="795"/>
      <c r="U108" s="796"/>
      <c r="V108" s="796"/>
      <c r="W108" s="796"/>
      <c r="X108" s="796"/>
      <c r="Y108" s="797"/>
      <c r="Z108" s="609"/>
      <c r="AA108" s="609"/>
      <c r="AB108" s="609"/>
      <c r="AC108" s="609"/>
      <c r="AD108" s="609"/>
      <c r="AE108" s="609"/>
      <c r="AF108" s="609"/>
      <c r="AG108" s="609"/>
    </row>
    <row r="109" spans="2:33" s="791" customFormat="1" ht="14.25" customHeight="1">
      <c r="B109" s="792"/>
      <c r="C109" s="798"/>
      <c r="D109" s="799" t="s">
        <v>263</v>
      </c>
      <c r="E109" s="1304">
        <v>15000</v>
      </c>
      <c r="F109" s="1304"/>
      <c r="G109" s="1304"/>
      <c r="H109" s="805" t="s">
        <v>533</v>
      </c>
      <c r="I109" s="633"/>
      <c r="J109" s="633"/>
      <c r="K109" s="800" t="s">
        <v>268</v>
      </c>
      <c r="L109" s="633"/>
      <c r="M109" s="1310" t="s">
        <v>606</v>
      </c>
      <c r="N109" s="1310"/>
      <c r="O109" s="1310"/>
      <c r="P109" s="1310"/>
      <c r="Q109" s="1306" t="e">
        <f>IF($U$42&lt;0.5,K48,"0")</f>
        <v>#DIV/0!</v>
      </c>
      <c r="R109" s="1306"/>
      <c r="S109" s="633" t="s">
        <v>449</v>
      </c>
      <c r="T109" s="801" t="s">
        <v>517</v>
      </c>
      <c r="U109" s="1307" t="e">
        <f>IF(Q109&gt;0,E109*Q109*0.5,"")</f>
        <v>#DIV/0!</v>
      </c>
      <c r="V109" s="1307"/>
      <c r="W109" s="1307"/>
      <c r="X109" s="1307"/>
      <c r="Y109" s="802" t="s">
        <v>518</v>
      </c>
      <c r="Z109" s="609"/>
      <c r="AA109" s="609"/>
      <c r="AB109" s="609" t="e">
        <f>IF($U$42&gt;=0.5,"50％以上","50％未満")</f>
        <v>#DIV/0!</v>
      </c>
      <c r="AC109" s="609"/>
      <c r="AD109" s="609"/>
      <c r="AE109" s="609"/>
      <c r="AF109" s="609"/>
      <c r="AG109" s="609"/>
    </row>
    <row r="110" spans="2:33" ht="14.25" customHeight="1">
      <c r="B110" s="194"/>
      <c r="C110" s="195"/>
      <c r="D110" s="43"/>
      <c r="E110" s="595"/>
      <c r="F110" s="595"/>
      <c r="G110" s="595"/>
      <c r="H110" s="11"/>
      <c r="I110" s="11"/>
      <c r="J110" s="11"/>
      <c r="K110" s="44"/>
      <c r="L110" s="11"/>
      <c r="M110" s="11"/>
      <c r="N110" s="11"/>
      <c r="O110" s="11"/>
      <c r="P110" s="11"/>
      <c r="Q110" s="594"/>
      <c r="R110" s="594"/>
      <c r="S110" s="11"/>
      <c r="T110" s="192"/>
      <c r="U110" s="591"/>
      <c r="V110" s="591"/>
      <c r="W110" s="591"/>
      <c r="X110" s="591"/>
      <c r="Y110" s="193"/>
    </row>
    <row r="111" spans="2:33" ht="15" customHeight="1" thickBot="1">
      <c r="B111" s="2"/>
      <c r="C111" s="609" t="s">
        <v>607</v>
      </c>
      <c r="H111" s="101" t="s">
        <v>537</v>
      </c>
      <c r="T111" s="192"/>
      <c r="U111" s="1255"/>
      <c r="V111" s="1255"/>
      <c r="W111" s="1255"/>
      <c r="X111" s="1255"/>
      <c r="Y111" s="193"/>
    </row>
    <row r="112" spans="2:33" ht="15" customHeight="1" thickBot="1">
      <c r="B112" s="2"/>
      <c r="C112" s="196"/>
      <c r="D112" s="11" t="s">
        <v>619</v>
      </c>
      <c r="K112" s="35" t="s">
        <v>539</v>
      </c>
      <c r="L112" s="101" t="s">
        <v>540</v>
      </c>
      <c r="Q112" s="1252">
        <f>U28</f>
        <v>0</v>
      </c>
      <c r="R112" s="1253"/>
      <c r="S112" s="1" t="s">
        <v>449</v>
      </c>
      <c r="T112" s="8"/>
      <c r="U112" s="1256"/>
      <c r="V112" s="1256"/>
      <c r="W112" s="1256"/>
      <c r="X112" s="1256"/>
      <c r="Y112" s="9"/>
      <c r="AB112" s="197"/>
      <c r="AC112" s="197"/>
      <c r="AF112" s="197"/>
    </row>
    <row r="113" spans="1:39" ht="15" customHeight="1" thickBot="1">
      <c r="B113" s="2"/>
      <c r="D113" s="34" t="s">
        <v>522</v>
      </c>
      <c r="E113" s="1302">
        <v>40000</v>
      </c>
      <c r="F113" s="1302"/>
      <c r="G113" s="1302"/>
      <c r="H113" s="1" t="s">
        <v>541</v>
      </c>
      <c r="K113" s="1260"/>
      <c r="L113" s="1260"/>
      <c r="M113" s="1260"/>
      <c r="N113" s="1260"/>
      <c r="O113" s="1260"/>
      <c r="P113" s="1260"/>
      <c r="Q113" s="1260"/>
      <c r="R113" s="1260"/>
      <c r="S113" s="1261"/>
      <c r="T113" s="2"/>
      <c r="U113" s="187"/>
      <c r="V113" s="187"/>
      <c r="W113" s="187"/>
      <c r="X113" s="187"/>
      <c r="Y113" s="9"/>
      <c r="AE113" s="197"/>
      <c r="AF113" s="197"/>
    </row>
    <row r="114" spans="1:39" ht="15" customHeight="1" thickBot="1">
      <c r="B114" s="2"/>
      <c r="C114" s="198"/>
      <c r="D114" s="1" t="s">
        <v>542</v>
      </c>
      <c r="K114" s="35" t="s">
        <v>268</v>
      </c>
      <c r="L114" s="101" t="s">
        <v>540</v>
      </c>
      <c r="M114" s="199"/>
      <c r="N114" s="199"/>
      <c r="O114" s="199"/>
      <c r="P114" s="199"/>
      <c r="Q114" s="1303">
        <f>U28</f>
        <v>0</v>
      </c>
      <c r="R114" s="1303"/>
      <c r="S114" s="1" t="s">
        <v>451</v>
      </c>
      <c r="T114" s="8" t="s">
        <v>543</v>
      </c>
      <c r="U114" s="1350">
        <f>IF(C114="○",AA115,IF(C112="○",AA114,0))</f>
        <v>0</v>
      </c>
      <c r="V114" s="1350"/>
      <c r="W114" s="1350"/>
      <c r="X114" s="1350"/>
      <c r="Y114" s="9" t="s">
        <v>544</v>
      </c>
      <c r="AA114" s="1251">
        <f>IF(Q114=0,0,ROUNDDOWN((40000*M115/Q115*Q114),0))</f>
        <v>0</v>
      </c>
      <c r="AB114" s="1251"/>
      <c r="AC114" s="1251"/>
      <c r="AD114" s="1251"/>
      <c r="AE114" s="1251"/>
    </row>
    <row r="115" spans="1:39" ht="15" customHeight="1">
      <c r="B115" s="2"/>
      <c r="D115" s="34" t="s">
        <v>522</v>
      </c>
      <c r="E115" s="1302">
        <v>97000</v>
      </c>
      <c r="F115" s="1302"/>
      <c r="G115" s="1302"/>
      <c r="H115" s="1" t="s">
        <v>541</v>
      </c>
      <c r="K115" s="34" t="s">
        <v>522</v>
      </c>
      <c r="L115" s="35" t="s">
        <v>545</v>
      </c>
      <c r="M115" s="1252">
        <f>+V15</f>
        <v>0</v>
      </c>
      <c r="N115" s="1253"/>
      <c r="O115" s="35" t="s">
        <v>546</v>
      </c>
      <c r="P115" s="35" t="s">
        <v>547</v>
      </c>
      <c r="Q115" s="1252">
        <f>+V17</f>
        <v>0</v>
      </c>
      <c r="R115" s="1253"/>
      <c r="S115" s="1" t="s">
        <v>548</v>
      </c>
      <c r="T115" s="8"/>
      <c r="U115" s="592"/>
      <c r="V115" s="592"/>
      <c r="W115" s="592"/>
      <c r="X115" s="592"/>
      <c r="Y115" s="9"/>
      <c r="AA115" s="1251" t="e">
        <f>IF(C112="○","0",ROUNDDOWN((97000*M115/Q115*Q114),0))</f>
        <v>#DIV/0!</v>
      </c>
      <c r="AB115" s="1251"/>
      <c r="AC115" s="1251"/>
      <c r="AD115" s="1251"/>
      <c r="AE115" s="1251"/>
    </row>
    <row r="116" spans="1:39" ht="8.25" customHeight="1">
      <c r="B116" s="2"/>
      <c r="M116" s="34"/>
      <c r="P116" s="35"/>
      <c r="T116" s="2"/>
      <c r="U116" s="187"/>
      <c r="V116" s="187"/>
      <c r="W116" s="187"/>
      <c r="X116" s="187"/>
      <c r="Y116" s="9"/>
    </row>
    <row r="117" spans="1:39" ht="13.5" hidden="1" customHeight="1" thickBot="1">
      <c r="A117" s="807"/>
      <c r="B117" s="808"/>
      <c r="C117" s="809"/>
      <c r="D117" s="810" t="s">
        <v>608</v>
      </c>
      <c r="E117" s="807"/>
      <c r="F117" s="807"/>
      <c r="G117" s="807"/>
      <c r="H117" s="807"/>
      <c r="I117" s="807"/>
      <c r="J117" s="807"/>
      <c r="K117" s="807"/>
      <c r="L117" s="807"/>
      <c r="M117" s="811"/>
      <c r="N117" s="807"/>
      <c r="O117" s="807"/>
      <c r="P117" s="812"/>
      <c r="Q117" s="807"/>
      <c r="R117" s="807"/>
      <c r="S117" s="807"/>
      <c r="T117" s="808"/>
      <c r="U117" s="813"/>
      <c r="V117" s="813"/>
      <c r="W117" s="813"/>
      <c r="X117" s="813"/>
      <c r="Y117" s="814"/>
    </row>
    <row r="118" spans="1:39" ht="15" hidden="1" customHeight="1" thickBot="1">
      <c r="A118" s="807"/>
      <c r="B118" s="808"/>
      <c r="C118" s="815"/>
      <c r="D118" s="809" t="s">
        <v>550</v>
      </c>
      <c r="E118" s="807"/>
      <c r="F118" s="807"/>
      <c r="G118" s="807"/>
      <c r="H118" s="807"/>
      <c r="I118" s="807"/>
      <c r="J118" s="807"/>
      <c r="K118" s="807"/>
      <c r="L118" s="807"/>
      <c r="M118" s="811"/>
      <c r="N118" s="807"/>
      <c r="O118" s="807"/>
      <c r="P118" s="812"/>
      <c r="Q118" s="807"/>
      <c r="R118" s="807"/>
      <c r="S118" s="807"/>
      <c r="T118" s="808"/>
      <c r="U118" s="813"/>
      <c r="V118" s="813"/>
      <c r="W118" s="813"/>
      <c r="X118" s="813"/>
      <c r="Y118" s="814"/>
    </row>
    <row r="119" spans="1:39" ht="15" hidden="1" customHeight="1">
      <c r="A119" s="807"/>
      <c r="B119" s="808"/>
      <c r="C119" s="816" t="s">
        <v>609</v>
      </c>
      <c r="D119" s="807"/>
      <c r="E119" s="807"/>
      <c r="F119" s="807"/>
      <c r="G119" s="807"/>
      <c r="H119" s="807"/>
      <c r="I119" s="807"/>
      <c r="J119" s="807"/>
      <c r="K119" s="807"/>
      <c r="L119" s="817"/>
      <c r="M119" s="817"/>
      <c r="N119" s="817"/>
      <c r="O119" s="817"/>
      <c r="P119" s="817"/>
      <c r="Q119" s="807"/>
      <c r="R119" s="807"/>
      <c r="S119" s="807"/>
      <c r="T119" s="808"/>
      <c r="U119" s="813"/>
      <c r="V119" s="813"/>
      <c r="W119" s="813"/>
      <c r="X119" s="813"/>
      <c r="Y119" s="814"/>
    </row>
    <row r="120" spans="1:39" ht="15" hidden="1" customHeight="1" thickBot="1">
      <c r="A120" s="807"/>
      <c r="B120" s="808"/>
      <c r="C120" s="807"/>
      <c r="D120" s="817"/>
      <c r="E120" s="1347"/>
      <c r="F120" s="1347"/>
      <c r="G120" s="1347"/>
      <c r="H120" s="1347"/>
      <c r="I120" s="807"/>
      <c r="J120" s="807"/>
      <c r="K120" s="1348" t="s">
        <v>552</v>
      </c>
      <c r="L120" s="1348"/>
      <c r="M120" s="1348"/>
      <c r="N120" s="1348"/>
      <c r="O120" s="1348"/>
      <c r="P120" s="1348"/>
      <c r="Q120" s="1349">
        <v>0</v>
      </c>
      <c r="R120" s="1349"/>
      <c r="S120" s="807" t="s">
        <v>451</v>
      </c>
      <c r="T120" s="818" t="s">
        <v>543</v>
      </c>
      <c r="U120" s="1343">
        <f>IF($C118=1,0,IF(C121="○",0,IF($U28&gt;19,538000,IF($U28&gt;1,269000,IF($U28=0,0,179000)))))</f>
        <v>0</v>
      </c>
      <c r="V120" s="1343"/>
      <c r="W120" s="1343"/>
      <c r="X120" s="1343"/>
      <c r="Y120" s="814" t="s">
        <v>544</v>
      </c>
    </row>
    <row r="121" spans="1:39" ht="15" hidden="1" customHeight="1" thickBot="1">
      <c r="A121" s="807"/>
      <c r="B121" s="808"/>
      <c r="C121" s="819"/>
      <c r="D121" s="1341" t="s">
        <v>553</v>
      </c>
      <c r="E121" s="1341"/>
      <c r="F121" s="1341"/>
      <c r="G121" s="1341"/>
      <c r="H121" s="1341"/>
      <c r="I121" s="1341"/>
      <c r="J121" s="1341"/>
      <c r="K121" s="1341"/>
      <c r="L121" s="1341"/>
      <c r="M121" s="1341"/>
      <c r="N121" s="1341"/>
      <c r="O121" s="1341"/>
      <c r="P121" s="1341"/>
      <c r="Q121" s="1341"/>
      <c r="R121" s="1341"/>
      <c r="S121" s="1342"/>
      <c r="T121" s="818" t="s">
        <v>543</v>
      </c>
      <c r="U121" s="1343">
        <f>IF(C118=1,0,IF(C121="○",1076000,0))</f>
        <v>0</v>
      </c>
      <c r="V121" s="1343"/>
      <c r="W121" s="1343"/>
      <c r="X121" s="1343"/>
      <c r="Y121" s="814" t="s">
        <v>544</v>
      </c>
    </row>
    <row r="122" spans="1:39" ht="7.5" hidden="1" customHeight="1">
      <c r="A122" s="807"/>
      <c r="B122" s="808"/>
      <c r="C122" s="807"/>
      <c r="D122" s="1341"/>
      <c r="E122" s="1341"/>
      <c r="F122" s="1341"/>
      <c r="G122" s="1341"/>
      <c r="H122" s="1341"/>
      <c r="I122" s="1341"/>
      <c r="J122" s="1341"/>
      <c r="K122" s="1341"/>
      <c r="L122" s="1341"/>
      <c r="M122" s="1341"/>
      <c r="N122" s="1341"/>
      <c r="O122" s="1341"/>
      <c r="P122" s="1341"/>
      <c r="Q122" s="1341"/>
      <c r="R122" s="1341"/>
      <c r="S122" s="1342"/>
      <c r="T122" s="818"/>
      <c r="U122" s="820"/>
      <c r="V122" s="820"/>
      <c r="W122" s="820"/>
      <c r="X122" s="820"/>
      <c r="Y122" s="814"/>
    </row>
    <row r="123" spans="1:39" ht="15" hidden="1" customHeight="1">
      <c r="A123" s="807"/>
      <c r="B123" s="808"/>
      <c r="C123" s="807"/>
      <c r="D123" s="817"/>
      <c r="E123" s="817"/>
      <c r="F123" s="807"/>
      <c r="G123" s="807"/>
      <c r="H123" s="807"/>
      <c r="I123" s="807"/>
      <c r="J123" s="807"/>
      <c r="K123" s="807"/>
      <c r="L123" s="807"/>
      <c r="M123" s="807"/>
      <c r="N123" s="807"/>
      <c r="O123" s="807"/>
      <c r="P123" s="807"/>
      <c r="Q123" s="807"/>
      <c r="R123" s="807"/>
      <c r="S123" s="807"/>
      <c r="T123" s="808"/>
      <c r="U123" s="813"/>
      <c r="V123" s="813"/>
      <c r="W123" s="813"/>
      <c r="X123" s="813"/>
      <c r="Y123" s="814"/>
    </row>
    <row r="124" spans="1:39" ht="15" hidden="1" customHeight="1">
      <c r="A124" s="807"/>
      <c r="B124" s="808"/>
      <c r="C124" s="816" t="s">
        <v>610</v>
      </c>
      <c r="D124" s="807"/>
      <c r="E124" s="807"/>
      <c r="F124" s="807"/>
      <c r="G124" s="807"/>
      <c r="H124" s="807"/>
      <c r="I124" s="807"/>
      <c r="J124" s="807"/>
      <c r="K124" s="807"/>
      <c r="L124" s="807"/>
      <c r="M124" s="807"/>
      <c r="N124" s="807"/>
      <c r="O124" s="807"/>
      <c r="P124" s="807"/>
      <c r="Q124" s="807"/>
      <c r="R124" s="807"/>
      <c r="S124" s="807"/>
      <c r="T124" s="818" t="s">
        <v>543</v>
      </c>
      <c r="U124" s="1343">
        <f>U125+U127</f>
        <v>0</v>
      </c>
      <c r="V124" s="1343"/>
      <c r="W124" s="1343"/>
      <c r="X124" s="1343"/>
      <c r="Y124" s="814" t="s">
        <v>544</v>
      </c>
    </row>
    <row r="125" spans="1:39" ht="15" hidden="1" customHeight="1">
      <c r="A125" s="807"/>
      <c r="B125" s="808"/>
      <c r="C125" s="807"/>
      <c r="D125" s="807" t="s">
        <v>555</v>
      </c>
      <c r="E125" s="807"/>
      <c r="F125" s="807"/>
      <c r="G125" s="807"/>
      <c r="H125" s="807"/>
      <c r="I125" s="807"/>
      <c r="J125" s="807"/>
      <c r="K125" s="807"/>
      <c r="L125" s="807"/>
      <c r="M125" s="807"/>
      <c r="N125" s="807"/>
      <c r="O125" s="807"/>
      <c r="P125" s="807"/>
      <c r="Q125" s="807"/>
      <c r="R125" s="807"/>
      <c r="S125" s="807"/>
      <c r="T125" s="818" t="s">
        <v>263</v>
      </c>
      <c r="U125" s="1343">
        <f>IF($I$7="",0,IF(C118=1,0,240000))</f>
        <v>0</v>
      </c>
      <c r="V125" s="1343"/>
      <c r="W125" s="1343"/>
      <c r="X125" s="1343"/>
      <c r="Y125" s="814" t="s">
        <v>264</v>
      </c>
      <c r="AJ125" s="1">
        <v>0</v>
      </c>
    </row>
    <row r="126" spans="1:39" ht="15" hidden="1" customHeight="1">
      <c r="A126" s="807"/>
      <c r="B126" s="808"/>
      <c r="C126" s="807"/>
      <c r="D126" s="807" t="s">
        <v>556</v>
      </c>
      <c r="E126" s="807"/>
      <c r="F126" s="807"/>
      <c r="G126" s="807"/>
      <c r="H126" s="807"/>
      <c r="I126" s="807"/>
      <c r="J126" s="807"/>
      <c r="K126" s="807"/>
      <c r="L126" s="807"/>
      <c r="M126" s="807"/>
      <c r="N126" s="807"/>
      <c r="O126" s="807"/>
      <c r="P126" s="807"/>
      <c r="Q126" s="807"/>
      <c r="R126" s="807"/>
      <c r="S126" s="807"/>
      <c r="T126" s="818"/>
      <c r="U126" s="820"/>
      <c r="V126" s="820"/>
      <c r="W126" s="820"/>
      <c r="X126" s="820"/>
      <c r="Y126" s="814"/>
    </row>
    <row r="127" spans="1:39" ht="15" hidden="1" customHeight="1">
      <c r="A127" s="807"/>
      <c r="B127" s="808"/>
      <c r="C127" s="807"/>
      <c r="D127" s="807"/>
      <c r="E127" s="821"/>
      <c r="F127" s="821"/>
      <c r="G127" s="1344">
        <v>81000</v>
      </c>
      <c r="H127" s="1344"/>
      <c r="I127" s="1344"/>
      <c r="J127" s="807" t="s">
        <v>209</v>
      </c>
      <c r="K127" s="807" t="s">
        <v>539</v>
      </c>
      <c r="L127" s="1345" t="s">
        <v>557</v>
      </c>
      <c r="M127" s="1345"/>
      <c r="N127" s="1345"/>
      <c r="O127" s="1346">
        <v>0</v>
      </c>
      <c r="P127" s="1346"/>
      <c r="Q127" s="807" t="s">
        <v>558</v>
      </c>
      <c r="R127" s="807"/>
      <c r="S127" s="807"/>
      <c r="T127" s="818" t="s">
        <v>263</v>
      </c>
      <c r="U127" s="1343">
        <f>IF(C118=1,0,G127*O127)</f>
        <v>0</v>
      </c>
      <c r="V127" s="1343"/>
      <c r="W127" s="1343"/>
      <c r="X127" s="1343"/>
      <c r="Y127" s="814" t="s">
        <v>264</v>
      </c>
      <c r="AM127" s="180">
        <v>0</v>
      </c>
    </row>
    <row r="128" spans="1:39" ht="15" hidden="1" customHeight="1">
      <c r="A128" s="807"/>
      <c r="B128" s="808"/>
      <c r="C128" s="807"/>
      <c r="D128" s="807"/>
      <c r="E128" s="807"/>
      <c r="F128" s="807"/>
      <c r="G128" s="807"/>
      <c r="H128" s="807"/>
      <c r="I128" s="807"/>
      <c r="J128" s="807"/>
      <c r="K128" s="807"/>
      <c r="L128" s="807"/>
      <c r="M128" s="807"/>
      <c r="N128" s="822" t="s">
        <v>559</v>
      </c>
      <c r="O128" s="807"/>
      <c r="P128" s="807"/>
      <c r="Q128" s="807"/>
      <c r="R128" s="807"/>
      <c r="S128" s="807"/>
      <c r="T128" s="818"/>
      <c r="U128" s="820"/>
      <c r="V128" s="820"/>
      <c r="W128" s="820"/>
      <c r="X128" s="820"/>
      <c r="Y128" s="814"/>
      <c r="AM128" s="180">
        <v>1</v>
      </c>
    </row>
    <row r="129" spans="2:39" ht="15" customHeight="1">
      <c r="B129" s="2"/>
      <c r="C129" s="609" t="s">
        <v>620</v>
      </c>
      <c r="D129" s="609"/>
      <c r="E129" s="609"/>
      <c r="F129" s="609"/>
      <c r="G129" s="609"/>
      <c r="H129" s="609"/>
      <c r="I129" s="609"/>
      <c r="J129" s="609"/>
      <c r="K129" s="609"/>
      <c r="L129" s="609"/>
      <c r="M129" s="609"/>
      <c r="N129" s="609"/>
      <c r="O129" s="609"/>
      <c r="P129" s="609"/>
      <c r="T129" s="2"/>
      <c r="U129" s="187"/>
      <c r="V129" s="187"/>
      <c r="W129" s="187"/>
      <c r="X129" s="187"/>
      <c r="Y129" s="9"/>
      <c r="AM129" s="180">
        <v>2</v>
      </c>
    </row>
    <row r="130" spans="2:39" ht="15.75" customHeight="1">
      <c r="B130" s="2"/>
      <c r="C130" s="609"/>
      <c r="D130" s="793" t="s">
        <v>522</v>
      </c>
      <c r="E130" s="1340">
        <v>10000</v>
      </c>
      <c r="F130" s="1340"/>
      <c r="G130" s="1340"/>
      <c r="H130" s="609" t="s">
        <v>561</v>
      </c>
      <c r="I130" s="609"/>
      <c r="J130" s="609"/>
      <c r="K130" s="683" t="s">
        <v>268</v>
      </c>
      <c r="L130" s="609"/>
      <c r="M130" s="1336" t="s">
        <v>562</v>
      </c>
      <c r="N130" s="1336"/>
      <c r="O130" s="1336"/>
      <c r="P130" s="609" t="s">
        <v>563</v>
      </c>
      <c r="Q130" s="1303">
        <f>U55</f>
        <v>0</v>
      </c>
      <c r="R130" s="1303"/>
      <c r="S130" s="1" t="s">
        <v>485</v>
      </c>
      <c r="T130" s="8" t="s">
        <v>543</v>
      </c>
      <c r="U130" s="1298">
        <f>+IF(C118=1,0,E130*Q130)</f>
        <v>0</v>
      </c>
      <c r="V130" s="1298"/>
      <c r="W130" s="1298"/>
      <c r="X130" s="1298"/>
      <c r="Y130" s="9" t="s">
        <v>544</v>
      </c>
    </row>
    <row r="131" spans="2:39" ht="15.75" customHeight="1">
      <c r="B131" s="2"/>
      <c r="C131" s="609"/>
      <c r="D131" s="793"/>
      <c r="E131" s="794"/>
      <c r="F131" s="794"/>
      <c r="G131" s="794"/>
      <c r="H131" s="609"/>
      <c r="I131" s="609"/>
      <c r="J131" s="609"/>
      <c r="K131" s="683"/>
      <c r="L131" s="609"/>
      <c r="M131" s="823"/>
      <c r="N131" s="823"/>
      <c r="O131" s="823"/>
      <c r="P131" s="609"/>
      <c r="Q131" s="593"/>
      <c r="R131" s="593"/>
      <c r="T131" s="8"/>
      <c r="U131" s="592"/>
      <c r="V131" s="592"/>
      <c r="W131" s="592"/>
      <c r="X131" s="592"/>
      <c r="Y131" s="9"/>
    </row>
    <row r="132" spans="2:39">
      <c r="B132" s="2"/>
      <c r="C132" s="1100" t="s">
        <v>621</v>
      </c>
      <c r="D132" s="1100"/>
      <c r="E132" s="1100"/>
      <c r="F132" s="1100"/>
      <c r="G132" s="1100"/>
      <c r="H132" s="1100"/>
      <c r="I132" s="1100"/>
      <c r="J132" s="1100"/>
      <c r="K132" s="1100"/>
      <c r="L132" s="1100"/>
      <c r="M132" s="1100"/>
      <c r="N132" s="1100"/>
      <c r="O132" s="1100"/>
      <c r="P132" s="824"/>
      <c r="Q132" s="44"/>
      <c r="R132" s="44"/>
      <c r="S132" s="193"/>
      <c r="T132" s="8"/>
      <c r="U132" s="1298"/>
      <c r="V132" s="1298"/>
      <c r="W132" s="1298"/>
      <c r="X132" s="1298"/>
      <c r="Y132" s="9"/>
    </row>
    <row r="133" spans="2:39" ht="16.5" customHeight="1">
      <c r="B133" s="2"/>
      <c r="C133" s="825"/>
      <c r="D133" s="609" t="s">
        <v>565</v>
      </c>
      <c r="E133" s="609"/>
      <c r="F133" s="825"/>
      <c r="G133" s="825"/>
      <c r="H133" s="825"/>
      <c r="I133" s="825"/>
      <c r="J133" s="825"/>
      <c r="K133" s="825"/>
      <c r="L133" s="825"/>
      <c r="M133" s="825"/>
      <c r="N133" s="825"/>
      <c r="O133" s="825"/>
      <c r="P133" s="824"/>
      <c r="Q133" s="44"/>
      <c r="R133" s="44"/>
      <c r="S133" s="193"/>
      <c r="T133" s="8" t="s">
        <v>543</v>
      </c>
      <c r="U133" s="1298">
        <f>U134+U135</f>
        <v>0</v>
      </c>
      <c r="V133" s="1298"/>
      <c r="W133" s="1298"/>
      <c r="X133" s="1298"/>
      <c r="Y133" s="9" t="s">
        <v>544</v>
      </c>
    </row>
    <row r="134" spans="2:39" ht="25.5" customHeight="1">
      <c r="B134" s="2"/>
      <c r="C134" s="609"/>
      <c r="D134" s="609"/>
      <c r="E134" s="1336"/>
      <c r="F134" s="1336"/>
      <c r="G134" s="793" t="s">
        <v>522</v>
      </c>
      <c r="H134" s="1337">
        <v>120000</v>
      </c>
      <c r="I134" s="1337"/>
      <c r="J134" s="609" t="s">
        <v>566</v>
      </c>
      <c r="K134" s="609"/>
      <c r="L134" s="609"/>
      <c r="M134" s="800" t="s">
        <v>567</v>
      </c>
      <c r="N134" s="1338" t="s">
        <v>622</v>
      </c>
      <c r="O134" s="1339"/>
      <c r="P134" s="1339"/>
      <c r="Q134" s="1255">
        <f>U63</f>
        <v>0</v>
      </c>
      <c r="R134" s="1255"/>
      <c r="S134" s="193" t="s">
        <v>497</v>
      </c>
      <c r="T134" s="192" t="s">
        <v>263</v>
      </c>
      <c r="U134" s="1297">
        <f>H134*Q134</f>
        <v>0</v>
      </c>
      <c r="V134" s="1297"/>
      <c r="W134" s="1297"/>
      <c r="X134" s="1297"/>
      <c r="Y134" s="193" t="s">
        <v>264</v>
      </c>
    </row>
    <row r="135" spans="2:39" ht="25.5" customHeight="1">
      <c r="B135" s="2"/>
      <c r="C135" s="609"/>
      <c r="D135" s="609"/>
      <c r="E135" s="1336"/>
      <c r="F135" s="1336"/>
      <c r="G135" s="793" t="s">
        <v>522</v>
      </c>
      <c r="H135" s="1337">
        <v>30000</v>
      </c>
      <c r="I135" s="1337"/>
      <c r="J135" s="609" t="s">
        <v>561</v>
      </c>
      <c r="K135" s="609"/>
      <c r="L135" s="609"/>
      <c r="M135" s="800" t="s">
        <v>567</v>
      </c>
      <c r="N135" s="1338" t="s">
        <v>623</v>
      </c>
      <c r="O135" s="1339"/>
      <c r="P135" s="1339"/>
      <c r="Q135" s="1255">
        <f>U64</f>
        <v>0</v>
      </c>
      <c r="R135" s="1255"/>
      <c r="S135" s="193" t="s">
        <v>485</v>
      </c>
      <c r="T135" s="192" t="s">
        <v>263</v>
      </c>
      <c r="U135" s="1297">
        <f>H135*Q135</f>
        <v>0</v>
      </c>
      <c r="V135" s="1297"/>
      <c r="W135" s="1297"/>
      <c r="X135" s="1297"/>
      <c r="Y135" s="193" t="s">
        <v>264</v>
      </c>
    </row>
    <row r="136" spans="2:39" ht="12.75" customHeight="1">
      <c r="B136" s="2"/>
      <c r="C136" s="609"/>
      <c r="D136" s="609"/>
      <c r="E136" s="823"/>
      <c r="F136" s="823"/>
      <c r="G136" s="793"/>
      <c r="H136" s="826"/>
      <c r="I136" s="826"/>
      <c r="J136" s="609"/>
      <c r="K136" s="609"/>
      <c r="L136" s="609"/>
      <c r="M136" s="800"/>
      <c r="N136" s="827"/>
      <c r="O136" s="824"/>
      <c r="P136" s="824"/>
      <c r="Q136" s="206"/>
      <c r="R136" s="206"/>
      <c r="S136" s="193"/>
      <c r="T136" s="192"/>
      <c r="U136" s="591"/>
      <c r="V136" s="591"/>
      <c r="W136" s="591"/>
      <c r="X136" s="591"/>
      <c r="Y136" s="193"/>
    </row>
    <row r="137" spans="2:39" ht="15" customHeight="1">
      <c r="B137" s="2"/>
      <c r="C137" s="609"/>
      <c r="D137" s="609" t="s">
        <v>570</v>
      </c>
      <c r="E137" s="609"/>
      <c r="F137" s="825"/>
      <c r="G137" s="825"/>
      <c r="H137" s="825"/>
      <c r="I137" s="825"/>
      <c r="J137" s="825"/>
      <c r="K137" s="825"/>
      <c r="L137" s="825"/>
      <c r="M137" s="825"/>
      <c r="N137" s="825"/>
      <c r="O137" s="825"/>
      <c r="P137" s="824"/>
      <c r="Q137" s="206"/>
      <c r="R137" s="206"/>
      <c r="S137" s="193"/>
      <c r="T137" s="8" t="s">
        <v>543</v>
      </c>
      <c r="U137" s="1298">
        <f>U138+U139</f>
        <v>0</v>
      </c>
      <c r="V137" s="1298"/>
      <c r="W137" s="1298"/>
      <c r="X137" s="1298"/>
      <c r="Y137" s="9" t="s">
        <v>544</v>
      </c>
    </row>
    <row r="138" spans="2:39" ht="27.75" customHeight="1">
      <c r="B138" s="2"/>
      <c r="C138" s="609"/>
      <c r="D138" s="609"/>
      <c r="E138" s="1336"/>
      <c r="F138" s="1336"/>
      <c r="G138" s="793" t="s">
        <v>522</v>
      </c>
      <c r="H138" s="1337">
        <v>20000</v>
      </c>
      <c r="I138" s="1337"/>
      <c r="J138" s="609" t="s">
        <v>566</v>
      </c>
      <c r="K138" s="609"/>
      <c r="L138" s="609"/>
      <c r="M138" s="800" t="s">
        <v>567</v>
      </c>
      <c r="N138" s="1338" t="s">
        <v>624</v>
      </c>
      <c r="O138" s="1339"/>
      <c r="P138" s="1339"/>
      <c r="Q138" s="1255">
        <f>U65</f>
        <v>0</v>
      </c>
      <c r="R138" s="1255"/>
      <c r="S138" s="193" t="s">
        <v>497</v>
      </c>
      <c r="T138" s="192" t="s">
        <v>263</v>
      </c>
      <c r="U138" s="1297">
        <f>H138*Q138</f>
        <v>0</v>
      </c>
      <c r="V138" s="1297"/>
      <c r="W138" s="1297"/>
      <c r="X138" s="1297"/>
      <c r="Y138" s="193" t="s">
        <v>264</v>
      </c>
    </row>
    <row r="139" spans="2:39" ht="27.75" customHeight="1">
      <c r="B139" s="2"/>
      <c r="C139" s="609"/>
      <c r="D139" s="609"/>
      <c r="E139" s="1336"/>
      <c r="F139" s="1336"/>
      <c r="G139" s="793" t="s">
        <v>522</v>
      </c>
      <c r="H139" s="1337">
        <v>5000</v>
      </c>
      <c r="I139" s="1337"/>
      <c r="J139" s="609" t="s">
        <v>561</v>
      </c>
      <c r="K139" s="609"/>
      <c r="L139" s="609"/>
      <c r="M139" s="800" t="s">
        <v>567</v>
      </c>
      <c r="N139" s="1338" t="s">
        <v>625</v>
      </c>
      <c r="O139" s="1339"/>
      <c r="P139" s="1339"/>
      <c r="Q139" s="1255">
        <f>U66</f>
        <v>0</v>
      </c>
      <c r="R139" s="1255"/>
      <c r="S139" s="193" t="s">
        <v>485</v>
      </c>
      <c r="T139" s="192" t="s">
        <v>263</v>
      </c>
      <c r="U139" s="1297">
        <f>H139*Q139</f>
        <v>0</v>
      </c>
      <c r="V139" s="1297"/>
      <c r="W139" s="1297"/>
      <c r="X139" s="1297"/>
      <c r="Y139" s="193" t="s">
        <v>264</v>
      </c>
    </row>
    <row r="140" spans="2:39" ht="13.5" customHeight="1">
      <c r="B140" s="2"/>
      <c r="C140" s="609"/>
      <c r="D140" s="609"/>
      <c r="E140" s="823"/>
      <c r="F140" s="823"/>
      <c r="G140" s="793"/>
      <c r="H140" s="826"/>
      <c r="I140" s="826"/>
      <c r="J140" s="609"/>
      <c r="K140" s="609"/>
      <c r="L140" s="609"/>
      <c r="M140" s="800"/>
      <c r="N140" s="827"/>
      <c r="O140" s="824"/>
      <c r="P140" s="824"/>
      <c r="Q140" s="206"/>
      <c r="R140" s="206"/>
      <c r="S140" s="193"/>
      <c r="T140" s="192"/>
      <c r="U140" s="591"/>
      <c r="V140" s="591"/>
      <c r="W140" s="591"/>
      <c r="X140" s="591"/>
      <c r="Y140" s="193"/>
    </row>
    <row r="141" spans="2:39">
      <c r="B141" s="2"/>
      <c r="C141" s="1100" t="s">
        <v>626</v>
      </c>
      <c r="D141" s="1100"/>
      <c r="E141" s="1100"/>
      <c r="F141" s="1100"/>
      <c r="G141" s="1100"/>
      <c r="H141" s="1100"/>
      <c r="I141" s="1100"/>
      <c r="J141" s="1100"/>
      <c r="K141" s="1100"/>
      <c r="L141" s="1100"/>
      <c r="M141" s="1100"/>
      <c r="N141" s="1100"/>
      <c r="O141" s="1100"/>
      <c r="P141" s="824"/>
      <c r="Q141" s="206"/>
      <c r="R141" s="206"/>
      <c r="S141" s="193"/>
      <c r="T141" s="8"/>
      <c r="U141" s="1298"/>
      <c r="V141" s="1298"/>
      <c r="W141" s="1298"/>
      <c r="X141" s="1298"/>
      <c r="Y141" s="9"/>
    </row>
    <row r="142" spans="2:39" ht="14.25" customHeight="1">
      <c r="B142" s="2"/>
      <c r="C142" s="74"/>
      <c r="D142" s="1" t="s">
        <v>565</v>
      </c>
      <c r="F142" s="74"/>
      <c r="G142" s="74"/>
      <c r="H142" s="74"/>
      <c r="I142" s="74"/>
      <c r="J142" s="74"/>
      <c r="K142" s="74"/>
      <c r="L142" s="74"/>
      <c r="M142" s="74"/>
      <c r="N142" s="74"/>
      <c r="O142" s="74"/>
      <c r="P142" s="203"/>
      <c r="Q142" s="206"/>
      <c r="R142" s="206"/>
      <c r="S142" s="193"/>
      <c r="T142" s="8" t="s">
        <v>543</v>
      </c>
      <c r="U142" s="1298">
        <f>U143+U144</f>
        <v>0</v>
      </c>
      <c r="V142" s="1298"/>
      <c r="W142" s="1298"/>
      <c r="X142" s="1298"/>
      <c r="Y142" s="9" t="s">
        <v>544</v>
      </c>
    </row>
    <row r="143" spans="2:39" ht="25.5" customHeight="1">
      <c r="B143" s="2"/>
      <c r="E143" s="1263"/>
      <c r="F143" s="1263"/>
      <c r="G143" s="34" t="s">
        <v>522</v>
      </c>
      <c r="H143" s="1296">
        <v>120000</v>
      </c>
      <c r="I143" s="1296"/>
      <c r="J143" s="1" t="s">
        <v>566</v>
      </c>
      <c r="M143" s="44" t="s">
        <v>567</v>
      </c>
      <c r="N143" s="1177" t="s">
        <v>574</v>
      </c>
      <c r="O143" s="1267"/>
      <c r="P143" s="1267"/>
      <c r="Q143" s="1255">
        <f>U68</f>
        <v>0</v>
      </c>
      <c r="R143" s="1255"/>
      <c r="S143" s="193" t="s">
        <v>497</v>
      </c>
      <c r="T143" s="192" t="s">
        <v>263</v>
      </c>
      <c r="U143" s="1297">
        <f>H143*Q143</f>
        <v>0</v>
      </c>
      <c r="V143" s="1297"/>
      <c r="W143" s="1297"/>
      <c r="X143" s="1297"/>
      <c r="Y143" s="193" t="s">
        <v>264</v>
      </c>
    </row>
    <row r="144" spans="2:39" ht="25.5" customHeight="1">
      <c r="B144" s="2"/>
      <c r="E144" s="1263"/>
      <c r="F144" s="1263"/>
      <c r="G144" s="34" t="s">
        <v>522</v>
      </c>
      <c r="H144" s="1296">
        <v>30000</v>
      </c>
      <c r="I144" s="1296"/>
      <c r="J144" s="1" t="s">
        <v>561</v>
      </c>
      <c r="M144" s="44" t="s">
        <v>567</v>
      </c>
      <c r="N144" s="1177" t="s">
        <v>575</v>
      </c>
      <c r="O144" s="1267"/>
      <c r="P144" s="1267"/>
      <c r="Q144" s="1255">
        <f>U69</f>
        <v>0</v>
      </c>
      <c r="R144" s="1255"/>
      <c r="S144" s="193" t="s">
        <v>485</v>
      </c>
      <c r="T144" s="192" t="s">
        <v>263</v>
      </c>
      <c r="U144" s="1297">
        <f>H144*Q144</f>
        <v>0</v>
      </c>
      <c r="V144" s="1297"/>
      <c r="W144" s="1297"/>
      <c r="X144" s="1297"/>
      <c r="Y144" s="193" t="s">
        <v>264</v>
      </c>
    </row>
    <row r="145" spans="2:28" ht="14.25" customHeight="1">
      <c r="B145" s="2"/>
      <c r="E145" s="36"/>
      <c r="F145" s="36"/>
      <c r="G145" s="34"/>
      <c r="H145" s="590"/>
      <c r="I145" s="590"/>
      <c r="M145" s="44"/>
      <c r="N145" s="205"/>
      <c r="O145" s="203"/>
      <c r="P145" s="203"/>
      <c r="Q145" s="206"/>
      <c r="R145" s="206"/>
      <c r="S145" s="193"/>
      <c r="T145" s="192"/>
      <c r="U145" s="591"/>
      <c r="V145" s="591"/>
      <c r="W145" s="591"/>
      <c r="X145" s="591"/>
      <c r="Y145" s="193"/>
    </row>
    <row r="146" spans="2:28" ht="15" customHeight="1">
      <c r="B146" s="2"/>
      <c r="D146" s="1" t="s">
        <v>570</v>
      </c>
      <c r="F146" s="74"/>
      <c r="G146" s="74"/>
      <c r="H146" s="74"/>
      <c r="I146" s="74"/>
      <c r="J146" s="74"/>
      <c r="K146" s="74"/>
      <c r="L146" s="74"/>
      <c r="M146" s="74"/>
      <c r="N146" s="74"/>
      <c r="O146" s="74"/>
      <c r="P146" s="203"/>
      <c r="Q146" s="206"/>
      <c r="R146" s="206"/>
      <c r="S146" s="193"/>
      <c r="T146" s="8" t="s">
        <v>543</v>
      </c>
      <c r="U146" s="1298">
        <f>U147+U148</f>
        <v>0</v>
      </c>
      <c r="V146" s="1298"/>
      <c r="W146" s="1298"/>
      <c r="X146" s="1298"/>
      <c r="Y146" s="9" t="s">
        <v>544</v>
      </c>
    </row>
    <row r="147" spans="2:28" ht="27.75" customHeight="1">
      <c r="B147" s="2"/>
      <c r="E147" s="1263"/>
      <c r="F147" s="1263"/>
      <c r="G147" s="34" t="s">
        <v>522</v>
      </c>
      <c r="H147" s="1296">
        <v>20000</v>
      </c>
      <c r="I147" s="1296"/>
      <c r="J147" s="1" t="s">
        <v>566</v>
      </c>
      <c r="M147" s="44" t="s">
        <v>567</v>
      </c>
      <c r="N147" s="1177" t="s">
        <v>576</v>
      </c>
      <c r="O147" s="1267"/>
      <c r="P147" s="1267"/>
      <c r="Q147" s="1255">
        <f>U70</f>
        <v>0</v>
      </c>
      <c r="R147" s="1255"/>
      <c r="S147" s="193" t="s">
        <v>497</v>
      </c>
      <c r="T147" s="192" t="s">
        <v>263</v>
      </c>
      <c r="U147" s="1297">
        <f>H147*Q147</f>
        <v>0</v>
      </c>
      <c r="V147" s="1297"/>
      <c r="W147" s="1297"/>
      <c r="X147" s="1297"/>
      <c r="Y147" s="193" t="s">
        <v>264</v>
      </c>
    </row>
    <row r="148" spans="2:28" ht="27.75" customHeight="1">
      <c r="B148" s="2"/>
      <c r="E148" s="1263"/>
      <c r="F148" s="1263"/>
      <c r="G148" s="34" t="s">
        <v>522</v>
      </c>
      <c r="H148" s="1296">
        <v>5000</v>
      </c>
      <c r="I148" s="1296"/>
      <c r="J148" s="1" t="s">
        <v>561</v>
      </c>
      <c r="M148" s="44" t="s">
        <v>567</v>
      </c>
      <c r="N148" s="1177" t="s">
        <v>577</v>
      </c>
      <c r="O148" s="1267"/>
      <c r="P148" s="1267"/>
      <c r="Q148" s="1255">
        <f>U71</f>
        <v>0</v>
      </c>
      <c r="R148" s="1255"/>
      <c r="S148" s="193" t="s">
        <v>485</v>
      </c>
      <c r="T148" s="192" t="s">
        <v>263</v>
      </c>
      <c r="U148" s="1297">
        <f>H148*Q148</f>
        <v>0</v>
      </c>
      <c r="V148" s="1297"/>
      <c r="W148" s="1297"/>
      <c r="X148" s="1297"/>
      <c r="Y148" s="193" t="s">
        <v>264</v>
      </c>
    </row>
    <row r="149" spans="2:28" ht="8.25" customHeight="1">
      <c r="B149" s="2"/>
      <c r="C149" s="1207"/>
      <c r="D149" s="1207"/>
      <c r="E149" s="1207"/>
      <c r="F149" s="1207"/>
      <c r="G149" s="1207"/>
      <c r="H149" s="1207"/>
      <c r="I149" s="1207"/>
      <c r="J149" s="1207"/>
      <c r="K149" s="1207"/>
      <c r="L149" s="1207"/>
      <c r="M149" s="1207"/>
      <c r="N149" s="1207"/>
      <c r="O149" s="1207"/>
      <c r="P149" s="593"/>
      <c r="Q149" s="593"/>
      <c r="R149" s="593"/>
      <c r="S149" s="9"/>
      <c r="T149" s="8"/>
      <c r="U149" s="592"/>
      <c r="V149" s="592"/>
      <c r="W149" s="592"/>
      <c r="X149" s="592"/>
      <c r="Y149" s="9"/>
    </row>
    <row r="150" spans="2:28" ht="9" customHeight="1">
      <c r="B150" s="2"/>
      <c r="D150" s="35"/>
      <c r="E150" s="36"/>
      <c r="F150" s="36"/>
      <c r="G150" s="34"/>
      <c r="H150" s="590"/>
      <c r="I150" s="590"/>
      <c r="M150" s="132"/>
      <c r="N150" s="208"/>
      <c r="O150" s="84"/>
      <c r="P150" s="84"/>
      <c r="Q150" s="44"/>
      <c r="R150" s="44"/>
      <c r="T150" s="192"/>
      <c r="U150" s="591"/>
      <c r="V150" s="591"/>
      <c r="W150" s="591"/>
      <c r="X150" s="591"/>
      <c r="Y150" s="193"/>
    </row>
    <row r="151" spans="2:28" ht="15" customHeight="1">
      <c r="B151" s="2"/>
      <c r="K151" s="1" t="s">
        <v>578</v>
      </c>
      <c r="P151" s="155"/>
      <c r="Q151" s="35"/>
      <c r="R151" s="35"/>
      <c r="S151" s="121"/>
      <c r="T151" s="8" t="s">
        <v>543</v>
      </c>
      <c r="U151" s="1295" t="e">
        <f>U76+U105+U109+U114+U120+U121+U124+U130+U133+U137+U142+U146</f>
        <v>#VALUE!</v>
      </c>
      <c r="V151" s="1295"/>
      <c r="W151" s="1295"/>
      <c r="X151" s="1295"/>
      <c r="Y151" s="9" t="s">
        <v>544</v>
      </c>
      <c r="AB151" s="110" t="e">
        <f>U151</f>
        <v>#VALUE!</v>
      </c>
    </row>
    <row r="152" spans="2:28" ht="6" customHeight="1" thickBot="1">
      <c r="B152" s="209"/>
      <c r="C152" s="210"/>
      <c r="D152" s="210"/>
      <c r="E152" s="210"/>
      <c r="F152" s="210"/>
      <c r="G152" s="210"/>
      <c r="H152" s="210"/>
      <c r="I152" s="210"/>
      <c r="J152" s="210"/>
      <c r="K152" s="210"/>
      <c r="L152" s="210"/>
      <c r="M152" s="210"/>
      <c r="N152" s="210"/>
      <c r="O152" s="210"/>
      <c r="P152" s="210"/>
      <c r="Q152" s="210"/>
      <c r="R152" s="210"/>
      <c r="S152" s="211"/>
      <c r="T152" s="209"/>
      <c r="U152" s="210"/>
      <c r="V152" s="210"/>
      <c r="W152" s="210"/>
      <c r="X152" s="210"/>
      <c r="Y152" s="211"/>
    </row>
    <row r="153" spans="2:28" ht="30" customHeight="1" thickTop="1">
      <c r="B153" s="1269" t="s">
        <v>579</v>
      </c>
      <c r="C153" s="1270"/>
      <c r="D153" s="1270"/>
      <c r="E153" s="1270"/>
      <c r="F153" s="1270"/>
      <c r="G153" s="1270"/>
      <c r="H153" s="1270"/>
      <c r="I153" s="1273"/>
      <c r="J153" s="1273"/>
      <c r="K153" s="1273"/>
      <c r="L153" s="1273"/>
      <c r="M153" s="1273"/>
      <c r="N153" s="1469"/>
      <c r="O153" s="1469"/>
      <c r="P153" s="1469"/>
      <c r="Q153" s="1469"/>
      <c r="R153" s="1469"/>
      <c r="S153" s="48"/>
      <c r="T153" s="1274" t="s">
        <v>580</v>
      </c>
      <c r="U153" s="1275"/>
      <c r="V153" s="1275"/>
      <c r="W153" s="1275"/>
      <c r="X153" s="1275"/>
      <c r="Y153" s="1276"/>
    </row>
    <row r="154" spans="2:28" ht="30" customHeight="1" thickBot="1">
      <c r="B154" s="1271"/>
      <c r="C154" s="1272"/>
      <c r="D154" s="1272"/>
      <c r="E154" s="1272"/>
      <c r="F154" s="1272"/>
      <c r="G154" s="1272"/>
      <c r="H154" s="1280" t="s">
        <v>581</v>
      </c>
      <c r="I154" s="1281"/>
      <c r="J154" s="1281"/>
      <c r="K154" s="1281"/>
      <c r="L154" s="1281"/>
      <c r="M154" s="1281"/>
      <c r="N154" s="1470">
        <f>'第2号様式別紙2-3（臨床研修（医師）事業計画書）'!F10</f>
        <v>0</v>
      </c>
      <c r="O154" s="1470"/>
      <c r="P154" s="1470"/>
      <c r="Q154" s="1470"/>
      <c r="R154" s="1470"/>
      <c r="S154" s="9" t="s">
        <v>209</v>
      </c>
      <c r="T154" s="1277"/>
      <c r="U154" s="1278"/>
      <c r="V154" s="1278"/>
      <c r="W154" s="1278"/>
      <c r="X154" s="1278"/>
      <c r="Y154" s="1279"/>
      <c r="AB154" s="212" t="e">
        <f>U151</f>
        <v>#VALUE!</v>
      </c>
    </row>
    <row r="155" spans="2:28" ht="17.25" customHeight="1">
      <c r="B155" s="49"/>
      <c r="C155" s="50"/>
      <c r="D155" s="50"/>
      <c r="E155" s="50"/>
      <c r="F155" s="50"/>
      <c r="G155" s="50"/>
      <c r="H155" s="50"/>
      <c r="I155" s="50"/>
      <c r="J155" s="125" t="s">
        <v>614</v>
      </c>
      <c r="S155" s="9"/>
      <c r="T155" s="8" t="s">
        <v>543</v>
      </c>
      <c r="U155" s="1294">
        <f>ROUNDDOWN(IF(N154&gt;7200000,U151*0.8,0),0)</f>
        <v>0</v>
      </c>
      <c r="V155" s="1294"/>
      <c r="W155" s="1294"/>
      <c r="X155" s="1294"/>
      <c r="Y155" s="9" t="s">
        <v>544</v>
      </c>
      <c r="AB155" s="212">
        <f>U155</f>
        <v>0</v>
      </c>
    </row>
    <row r="156" spans="2:28" ht="28.5" customHeight="1">
      <c r="B156" s="16"/>
      <c r="C156" s="51"/>
      <c r="D156" s="51"/>
      <c r="E156" s="51"/>
      <c r="F156" s="51"/>
      <c r="G156" s="51"/>
      <c r="H156" s="1284" t="s">
        <v>615</v>
      </c>
      <c r="I156" s="1284"/>
      <c r="J156" s="1284"/>
      <c r="K156" s="1284"/>
      <c r="L156" s="1284"/>
      <c r="M156" s="1284"/>
      <c r="N156" s="1284"/>
      <c r="O156" s="1284"/>
      <c r="P156" s="1284"/>
      <c r="Q156" s="1284"/>
      <c r="R156" s="1284"/>
      <c r="S156" s="1285"/>
      <c r="T156" s="1277" t="s">
        <v>584</v>
      </c>
      <c r="U156" s="1278"/>
      <c r="V156" s="1278"/>
      <c r="W156" s="1278"/>
      <c r="X156" s="1278"/>
      <c r="Y156" s="1279"/>
      <c r="AB156" s="110">
        <f>U158</f>
        <v>0</v>
      </c>
    </row>
    <row r="157" spans="2:28" ht="30" customHeight="1">
      <c r="B157" s="1286" t="s">
        <v>585</v>
      </c>
      <c r="C157" s="1287"/>
      <c r="D157" s="1287"/>
      <c r="E157" s="1287"/>
      <c r="F157" s="1287"/>
      <c r="G157" s="1287"/>
      <c r="H157" s="1290"/>
      <c r="I157" s="1290"/>
      <c r="J157" s="1290"/>
      <c r="K157" s="52"/>
      <c r="L157" s="52"/>
      <c r="M157" s="52"/>
      <c r="N157" s="53"/>
      <c r="O157" s="53"/>
      <c r="P157" s="53"/>
      <c r="Q157" s="53"/>
      <c r="R157" s="53"/>
      <c r="S157" s="54"/>
      <c r="T157" s="1277"/>
      <c r="U157" s="1278"/>
      <c r="V157" s="1278"/>
      <c r="W157" s="1278"/>
      <c r="X157" s="1278"/>
      <c r="Y157" s="1279"/>
    </row>
    <row r="158" spans="2:28" ht="30" customHeight="1" thickBot="1">
      <c r="B158" s="1288"/>
      <c r="C158" s="1289"/>
      <c r="D158" s="1289"/>
      <c r="E158" s="1289"/>
      <c r="F158" s="1289"/>
      <c r="G158" s="1289"/>
      <c r="H158" s="1291"/>
      <c r="I158" s="1292"/>
      <c r="J158" s="1292"/>
      <c r="K158" s="1292"/>
      <c r="L158" s="1292"/>
      <c r="M158" s="1292"/>
      <c r="N158" s="1471"/>
      <c r="O158" s="1471"/>
      <c r="P158" s="1471"/>
      <c r="Q158" s="1471"/>
      <c r="R158" s="1471"/>
      <c r="S158" s="9" t="s">
        <v>449</v>
      </c>
      <c r="T158" s="8" t="s">
        <v>543</v>
      </c>
      <c r="U158" s="1294">
        <f>ROUNDDOWN(IF(AND(N154&gt;6300000,N154&lt;=7200000),U151*0.9,0),0)</f>
        <v>0</v>
      </c>
      <c r="V158" s="1294"/>
      <c r="W158" s="1294"/>
      <c r="X158" s="1294"/>
      <c r="Y158" s="9" t="s">
        <v>544</v>
      </c>
    </row>
    <row r="159" spans="2:28" ht="43.5" customHeight="1">
      <c r="B159" s="1282" t="s">
        <v>586</v>
      </c>
      <c r="C159" s="1177"/>
      <c r="D159" s="1177"/>
      <c r="E159" s="1177"/>
      <c r="F159" s="1177"/>
      <c r="G159" s="1177"/>
      <c r="H159" s="1177"/>
      <c r="I159" s="1177"/>
      <c r="J159" s="1177"/>
      <c r="K159" s="1177"/>
      <c r="L159" s="1177"/>
      <c r="M159" s="1177"/>
      <c r="N159" s="1177"/>
      <c r="O159" s="1177"/>
      <c r="P159" s="1177"/>
      <c r="Q159" s="1177"/>
      <c r="R159" s="1177"/>
      <c r="S159" s="1283"/>
      <c r="T159" s="8"/>
      <c r="U159" s="445"/>
      <c r="V159" s="445"/>
      <c r="W159" s="445"/>
      <c r="X159" s="445"/>
      <c r="Y159" s="9"/>
    </row>
    <row r="160" spans="2:28" ht="31.5" customHeight="1">
      <c r="B160" s="1208" t="s">
        <v>616</v>
      </c>
      <c r="C160" s="1209"/>
      <c r="D160" s="1209"/>
      <c r="E160" s="1209"/>
      <c r="F160" s="1209"/>
      <c r="G160" s="1209"/>
      <c r="H160" s="1209"/>
      <c r="I160" s="1209"/>
      <c r="J160" s="1209"/>
      <c r="K160" s="1209"/>
      <c r="L160" s="1209"/>
      <c r="M160" s="1209"/>
      <c r="N160" s="1209"/>
      <c r="O160" s="205"/>
      <c r="P160" s="1293"/>
      <c r="Q160" s="1293"/>
      <c r="R160" s="205"/>
      <c r="S160" s="806"/>
      <c r="T160" s="8"/>
      <c r="U160" s="445"/>
      <c r="V160" s="445"/>
      <c r="W160" s="445"/>
      <c r="X160" s="445"/>
      <c r="Y160" s="9"/>
    </row>
    <row r="161" spans="2:25" ht="6" customHeight="1">
      <c r="B161" s="56"/>
      <c r="C161" s="57"/>
      <c r="D161" s="57"/>
      <c r="E161" s="57"/>
      <c r="F161" s="57"/>
      <c r="G161" s="57"/>
      <c r="H161" s="57"/>
      <c r="I161" s="57"/>
      <c r="J161" s="57"/>
      <c r="K161" s="57"/>
      <c r="L161" s="57"/>
      <c r="M161" s="57"/>
      <c r="N161" s="57"/>
      <c r="O161" s="57"/>
      <c r="P161" s="57"/>
      <c r="Q161" s="57"/>
      <c r="R161" s="57"/>
      <c r="S161" s="58"/>
      <c r="T161" s="16"/>
      <c r="U161" s="51"/>
      <c r="V161" s="51"/>
      <c r="W161" s="51"/>
      <c r="X161" s="51"/>
      <c r="Y161" s="59"/>
    </row>
    <row r="162" spans="2:25" ht="15.75" customHeight="1">
      <c r="B162" s="213" t="s">
        <v>288</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row>
    <row r="163" spans="2:25" ht="11.1" customHeight="1">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row>
    <row r="164" spans="2:25" ht="11.25" customHeigh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sheetData>
  <mergeCells count="245">
    <mergeCell ref="B159:S159"/>
    <mergeCell ref="B160:N160"/>
    <mergeCell ref="P160:Q160"/>
    <mergeCell ref="U155:X155"/>
    <mergeCell ref="H156:S156"/>
    <mergeCell ref="T156:Y157"/>
    <mergeCell ref="B157:G158"/>
    <mergeCell ref="H157:J157"/>
    <mergeCell ref="H158:M158"/>
    <mergeCell ref="N158:R158"/>
    <mergeCell ref="U158:X158"/>
    <mergeCell ref="C149:O149"/>
    <mergeCell ref="U151:X151"/>
    <mergeCell ref="B153:G154"/>
    <mergeCell ref="H153:M153"/>
    <mergeCell ref="N153:R153"/>
    <mergeCell ref="T153:Y154"/>
    <mergeCell ref="H154:M154"/>
    <mergeCell ref="N154:R154"/>
    <mergeCell ref="E147:F147"/>
    <mergeCell ref="H147:I147"/>
    <mergeCell ref="N147:P147"/>
    <mergeCell ref="Q147:R147"/>
    <mergeCell ref="U147:X147"/>
    <mergeCell ref="E148:F148"/>
    <mergeCell ref="H148:I148"/>
    <mergeCell ref="N148:P148"/>
    <mergeCell ref="Q148:R148"/>
    <mergeCell ref="U148:X148"/>
    <mergeCell ref="E144:F144"/>
    <mergeCell ref="H144:I144"/>
    <mergeCell ref="N144:P144"/>
    <mergeCell ref="Q144:R144"/>
    <mergeCell ref="U144:X144"/>
    <mergeCell ref="U146:X146"/>
    <mergeCell ref="C141:O141"/>
    <mergeCell ref="U141:X141"/>
    <mergeCell ref="U142:X142"/>
    <mergeCell ref="E143:F143"/>
    <mergeCell ref="H143:I143"/>
    <mergeCell ref="N143:P143"/>
    <mergeCell ref="Q143:R143"/>
    <mergeCell ref="U143:X143"/>
    <mergeCell ref="E138:F138"/>
    <mergeCell ref="H138:I138"/>
    <mergeCell ref="N138:P138"/>
    <mergeCell ref="Q138:R138"/>
    <mergeCell ref="U138:X138"/>
    <mergeCell ref="E139:F139"/>
    <mergeCell ref="H139:I139"/>
    <mergeCell ref="N139:P139"/>
    <mergeCell ref="Q139:R139"/>
    <mergeCell ref="U139:X139"/>
    <mergeCell ref="E135:F135"/>
    <mergeCell ref="H135:I135"/>
    <mergeCell ref="N135:P135"/>
    <mergeCell ref="Q135:R135"/>
    <mergeCell ref="U135:X135"/>
    <mergeCell ref="U137:X137"/>
    <mergeCell ref="U133:X133"/>
    <mergeCell ref="E134:F134"/>
    <mergeCell ref="H134:I134"/>
    <mergeCell ref="N134:P134"/>
    <mergeCell ref="Q134:R134"/>
    <mergeCell ref="U134:X134"/>
    <mergeCell ref="E130:G130"/>
    <mergeCell ref="M130:O130"/>
    <mergeCell ref="Q130:R130"/>
    <mergeCell ref="U130:X130"/>
    <mergeCell ref="C132:O132"/>
    <mergeCell ref="U132:X132"/>
    <mergeCell ref="D121:S122"/>
    <mergeCell ref="U121:X121"/>
    <mergeCell ref="U124:X124"/>
    <mergeCell ref="U125:X125"/>
    <mergeCell ref="G127:I127"/>
    <mergeCell ref="L127:N127"/>
    <mergeCell ref="O127:P127"/>
    <mergeCell ref="U127:X127"/>
    <mergeCell ref="AA114:AE114"/>
    <mergeCell ref="E115:G115"/>
    <mergeCell ref="M115:N115"/>
    <mergeCell ref="Q115:R115"/>
    <mergeCell ref="AA115:AE115"/>
    <mergeCell ref="E120:H120"/>
    <mergeCell ref="K120:P120"/>
    <mergeCell ref="Q120:R120"/>
    <mergeCell ref="U120:X120"/>
    <mergeCell ref="U111:X111"/>
    <mergeCell ref="Q112:R112"/>
    <mergeCell ref="U112:X112"/>
    <mergeCell ref="E113:G113"/>
    <mergeCell ref="K113:S113"/>
    <mergeCell ref="Q114:R114"/>
    <mergeCell ref="U114:X114"/>
    <mergeCell ref="E106:G106"/>
    <mergeCell ref="M106:P106"/>
    <mergeCell ref="Q106:R106"/>
    <mergeCell ref="U106:X106"/>
    <mergeCell ref="C108:S108"/>
    <mergeCell ref="E109:G109"/>
    <mergeCell ref="M109:P109"/>
    <mergeCell ref="Q109:R109"/>
    <mergeCell ref="U109:X109"/>
    <mergeCell ref="U101:X101"/>
    <mergeCell ref="C104:S104"/>
    <mergeCell ref="E105:G105"/>
    <mergeCell ref="M105:P105"/>
    <mergeCell ref="Q105:R105"/>
    <mergeCell ref="U105:X105"/>
    <mergeCell ref="B99:C99"/>
    <mergeCell ref="E99:G99"/>
    <mergeCell ref="M99:P99"/>
    <mergeCell ref="Q99:R99"/>
    <mergeCell ref="E101:G101"/>
    <mergeCell ref="M101:P101"/>
    <mergeCell ref="Q101:R101"/>
    <mergeCell ref="E96:G96"/>
    <mergeCell ref="B97:C97"/>
    <mergeCell ref="E97:G97"/>
    <mergeCell ref="M97:P97"/>
    <mergeCell ref="Q97:R97"/>
    <mergeCell ref="E98:G98"/>
    <mergeCell ref="B93:C93"/>
    <mergeCell ref="E93:G93"/>
    <mergeCell ref="M93:P93"/>
    <mergeCell ref="Q93:R93"/>
    <mergeCell ref="B95:C95"/>
    <mergeCell ref="E95:G95"/>
    <mergeCell ref="M95:P95"/>
    <mergeCell ref="Q95:R95"/>
    <mergeCell ref="B87:C87"/>
    <mergeCell ref="E87:G87"/>
    <mergeCell ref="M87:P87"/>
    <mergeCell ref="Q87:R87"/>
    <mergeCell ref="B90:S90"/>
    <mergeCell ref="B91:C91"/>
    <mergeCell ref="E91:G91"/>
    <mergeCell ref="M91:P91"/>
    <mergeCell ref="Q91:R91"/>
    <mergeCell ref="E84:G84"/>
    <mergeCell ref="B85:C85"/>
    <mergeCell ref="E85:G85"/>
    <mergeCell ref="M85:P85"/>
    <mergeCell ref="Q85:R85"/>
    <mergeCell ref="E86:G86"/>
    <mergeCell ref="B81:C81"/>
    <mergeCell ref="E81:G81"/>
    <mergeCell ref="M81:P81"/>
    <mergeCell ref="Q81:R81"/>
    <mergeCell ref="B83:C83"/>
    <mergeCell ref="E83:G83"/>
    <mergeCell ref="M83:P83"/>
    <mergeCell ref="Q83:R83"/>
    <mergeCell ref="H75:Y75"/>
    <mergeCell ref="I76:J76"/>
    <mergeCell ref="U76:X76"/>
    <mergeCell ref="U77:X77"/>
    <mergeCell ref="B78:S78"/>
    <mergeCell ref="B79:C79"/>
    <mergeCell ref="E79:G79"/>
    <mergeCell ref="M79:P79"/>
    <mergeCell ref="Q79:R79"/>
    <mergeCell ref="A70:M71"/>
    <mergeCell ref="N70:O71"/>
    <mergeCell ref="P70:S70"/>
    <mergeCell ref="U70:X70"/>
    <mergeCell ref="P71:S71"/>
    <mergeCell ref="U71:X71"/>
    <mergeCell ref="A68:M69"/>
    <mergeCell ref="N68:O69"/>
    <mergeCell ref="P68:S68"/>
    <mergeCell ref="U68:X68"/>
    <mergeCell ref="P69:S69"/>
    <mergeCell ref="U69:X69"/>
    <mergeCell ref="A65:M66"/>
    <mergeCell ref="N65:O66"/>
    <mergeCell ref="P65:S65"/>
    <mergeCell ref="U65:X65"/>
    <mergeCell ref="P66:S66"/>
    <mergeCell ref="U66:X66"/>
    <mergeCell ref="B61:B62"/>
    <mergeCell ref="C61:U62"/>
    <mergeCell ref="V61:W62"/>
    <mergeCell ref="X61:Y62"/>
    <mergeCell ref="A63:M64"/>
    <mergeCell ref="N63:O64"/>
    <mergeCell ref="P63:S63"/>
    <mergeCell ref="U63:X63"/>
    <mergeCell ref="P64:S64"/>
    <mergeCell ref="U64:X64"/>
    <mergeCell ref="V57:W58"/>
    <mergeCell ref="X57:Y58"/>
    <mergeCell ref="B59:B60"/>
    <mergeCell ref="C59:U60"/>
    <mergeCell ref="V59:W60"/>
    <mergeCell ref="X59:Y60"/>
    <mergeCell ref="B48:D48"/>
    <mergeCell ref="F48:H48"/>
    <mergeCell ref="K48:M48"/>
    <mergeCell ref="Q55:S55"/>
    <mergeCell ref="U55:X55"/>
    <mergeCell ref="D50:Y50"/>
    <mergeCell ref="D51:Y51"/>
    <mergeCell ref="J40:M40"/>
    <mergeCell ref="U40:X40"/>
    <mergeCell ref="U41:X41"/>
    <mergeCell ref="U42:X42"/>
    <mergeCell ref="B44:Y44"/>
    <mergeCell ref="B47:E47"/>
    <mergeCell ref="F47:I47"/>
    <mergeCell ref="J47:N47"/>
    <mergeCell ref="J32:M32"/>
    <mergeCell ref="T32:X32"/>
    <mergeCell ref="B33:Y34"/>
    <mergeCell ref="B35:Y36"/>
    <mergeCell ref="J39:M39"/>
    <mergeCell ref="U39:X39"/>
    <mergeCell ref="J26:M26"/>
    <mergeCell ref="T26:X26"/>
    <mergeCell ref="U27:X27"/>
    <mergeCell ref="U28:X28"/>
    <mergeCell ref="J31:M31"/>
    <mergeCell ref="T31:X31"/>
    <mergeCell ref="M17:O17"/>
    <mergeCell ref="Q17:S17"/>
    <mergeCell ref="V17:X17"/>
    <mergeCell ref="J25:M25"/>
    <mergeCell ref="T25:X25"/>
    <mergeCell ref="D19:Y19"/>
    <mergeCell ref="D20:Y20"/>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s>
  <phoneticPr fontId="4"/>
  <conditionalFormatting sqref="B48">
    <cfRule type="containsBlanks" dxfId="14" priority="3">
      <formula>LEN(TRIM(B48))=0</formula>
    </cfRule>
  </conditionalFormatting>
  <conditionalFormatting sqref="C112">
    <cfRule type="containsBlanks" dxfId="13" priority="13">
      <formula>LEN(TRIM(C112))=0</formula>
    </cfRule>
  </conditionalFormatting>
  <conditionalFormatting sqref="C114">
    <cfRule type="containsBlanks" dxfId="12" priority="12">
      <formula>LEN(TRIM(C114))=0</formula>
    </cfRule>
  </conditionalFormatting>
  <conditionalFormatting sqref="C118">
    <cfRule type="containsBlanks" dxfId="11" priority="11">
      <formula>LEN(TRIM(C118))=0</formula>
    </cfRule>
  </conditionalFormatting>
  <conditionalFormatting sqref="C121">
    <cfRule type="containsBlanks" dxfId="10" priority="10">
      <formula>LEN(TRIM(C121))=0</formula>
    </cfRule>
  </conditionalFormatting>
  <conditionalFormatting sqref="F48">
    <cfRule type="containsBlanks" dxfId="9" priority="2">
      <formula>LEN(TRIM(F48))=0</formula>
    </cfRule>
  </conditionalFormatting>
  <conditionalFormatting sqref="I7">
    <cfRule type="containsBlanks" dxfId="8" priority="16" stopIfTrue="1">
      <formula>LEN(TRIM(I7))=0</formula>
    </cfRule>
  </conditionalFormatting>
  <conditionalFormatting sqref="J39:M40">
    <cfRule type="containsBlanks" dxfId="7" priority="6">
      <formula>LEN(TRIM(J39))=0</formula>
    </cfRule>
  </conditionalFormatting>
  <conditionalFormatting sqref="K76 N76">
    <cfRule type="containsBlanks" dxfId="6" priority="14" stopIfTrue="1">
      <formula>LEN(TRIM(K76))=0</formula>
    </cfRule>
  </conditionalFormatting>
  <conditionalFormatting sqref="N158:R158">
    <cfRule type="containsBlanks" dxfId="5" priority="8">
      <formula>LEN(TRIM(N158))=0</formula>
    </cfRule>
  </conditionalFormatting>
  <conditionalFormatting sqref="N6:Y6">
    <cfRule type="containsBlanks" dxfId="4" priority="17" stopIfTrue="1">
      <formula>LEN(TRIM(N6))=0</formula>
    </cfRule>
  </conditionalFormatting>
  <conditionalFormatting sqref="O127:P127">
    <cfRule type="containsBlanks" dxfId="3" priority="9">
      <formula>LEN(TRIM(O127))=0</formula>
    </cfRule>
  </conditionalFormatting>
  <conditionalFormatting sqref="P160:Q160">
    <cfRule type="containsBlanks" dxfId="2" priority="1">
      <formula>LEN(TRIM(P160))=0</formula>
    </cfRule>
  </conditionalFormatting>
  <conditionalFormatting sqref="U39:X40">
    <cfRule type="containsBlanks" dxfId="1" priority="4">
      <formula>LEN(TRIM(U39))=0</formula>
    </cfRule>
  </conditionalFormatting>
  <conditionalFormatting sqref="V59:Y62">
    <cfRule type="containsBlanks" dxfId="0" priority="15" stopIfTrue="1">
      <formula>LEN(TRIM(V59))=0</formula>
    </cfRule>
  </conditionalFormatting>
  <dataValidations count="6">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1:Y65594 JR65591:JU65594 TN65591:TQ65594 ADJ65591:ADM65594 ANF65591:ANI65594 AXB65591:AXE65594 BGX65591:BHA65594 BQT65591:BQW65594 CAP65591:CAS65594 CKL65591:CKO65594 CUH65591:CUK65594 DED65591:DEG65594 DNZ65591:DOC65594 DXV65591:DXY65594 EHR65591:EHU65594 ERN65591:ERQ65594 FBJ65591:FBM65594 FLF65591:FLI65594 FVB65591:FVE65594 GEX65591:GFA65594 GOT65591:GOW65594 GYP65591:GYS65594 HIL65591:HIO65594 HSH65591:HSK65594 ICD65591:ICG65594 ILZ65591:IMC65594 IVV65591:IVY65594 JFR65591:JFU65594 JPN65591:JPQ65594 JZJ65591:JZM65594 KJF65591:KJI65594 KTB65591:KTE65594 LCX65591:LDA65594 LMT65591:LMW65594 LWP65591:LWS65594 MGL65591:MGO65594 MQH65591:MQK65594 NAD65591:NAG65594 NJZ65591:NKC65594 NTV65591:NTY65594 ODR65591:ODU65594 ONN65591:ONQ65594 OXJ65591:OXM65594 PHF65591:PHI65594 PRB65591:PRE65594 QAX65591:QBA65594 QKT65591:QKW65594 QUP65591:QUS65594 REL65591:REO65594 ROH65591:ROK65594 RYD65591:RYG65594 SHZ65591:SIC65594 SRV65591:SRY65594 TBR65591:TBU65594 TLN65591:TLQ65594 TVJ65591:TVM65594 UFF65591:UFI65594 UPB65591:UPE65594 UYX65591:UZA65594 VIT65591:VIW65594 VSP65591:VSS65594 WCL65591:WCO65594 WMH65591:WMK65594 WWD65591:WWG65594 V131127:Y131130 JR131127:JU131130 TN131127:TQ131130 ADJ131127:ADM131130 ANF131127:ANI131130 AXB131127:AXE131130 BGX131127:BHA131130 BQT131127:BQW131130 CAP131127:CAS131130 CKL131127:CKO131130 CUH131127:CUK131130 DED131127:DEG131130 DNZ131127:DOC131130 DXV131127:DXY131130 EHR131127:EHU131130 ERN131127:ERQ131130 FBJ131127:FBM131130 FLF131127:FLI131130 FVB131127:FVE131130 GEX131127:GFA131130 GOT131127:GOW131130 GYP131127:GYS131130 HIL131127:HIO131130 HSH131127:HSK131130 ICD131127:ICG131130 ILZ131127:IMC131130 IVV131127:IVY131130 JFR131127:JFU131130 JPN131127:JPQ131130 JZJ131127:JZM131130 KJF131127:KJI131130 KTB131127:KTE131130 LCX131127:LDA131130 LMT131127:LMW131130 LWP131127:LWS131130 MGL131127:MGO131130 MQH131127:MQK131130 NAD131127:NAG131130 NJZ131127:NKC131130 NTV131127:NTY131130 ODR131127:ODU131130 ONN131127:ONQ131130 OXJ131127:OXM131130 PHF131127:PHI131130 PRB131127:PRE131130 QAX131127:QBA131130 QKT131127:QKW131130 QUP131127:QUS131130 REL131127:REO131130 ROH131127:ROK131130 RYD131127:RYG131130 SHZ131127:SIC131130 SRV131127:SRY131130 TBR131127:TBU131130 TLN131127:TLQ131130 TVJ131127:TVM131130 UFF131127:UFI131130 UPB131127:UPE131130 UYX131127:UZA131130 VIT131127:VIW131130 VSP131127:VSS131130 WCL131127:WCO131130 WMH131127:WMK131130 WWD131127:WWG131130 V196663:Y196666 JR196663:JU196666 TN196663:TQ196666 ADJ196663:ADM196666 ANF196663:ANI196666 AXB196663:AXE196666 BGX196663:BHA196666 BQT196663:BQW196666 CAP196663:CAS196666 CKL196663:CKO196666 CUH196663:CUK196666 DED196663:DEG196666 DNZ196663:DOC196666 DXV196663:DXY196666 EHR196663:EHU196666 ERN196663:ERQ196666 FBJ196663:FBM196666 FLF196663:FLI196666 FVB196663:FVE196666 GEX196663:GFA196666 GOT196663:GOW196666 GYP196663:GYS196666 HIL196663:HIO196666 HSH196663:HSK196666 ICD196663:ICG196666 ILZ196663:IMC196666 IVV196663:IVY196666 JFR196663:JFU196666 JPN196663:JPQ196666 JZJ196663:JZM196666 KJF196663:KJI196666 KTB196663:KTE196666 LCX196663:LDA196666 LMT196663:LMW196666 LWP196663:LWS196666 MGL196663:MGO196666 MQH196663:MQK196666 NAD196663:NAG196666 NJZ196663:NKC196666 NTV196663:NTY196666 ODR196663:ODU196666 ONN196663:ONQ196666 OXJ196663:OXM196666 PHF196663:PHI196666 PRB196663:PRE196666 QAX196663:QBA196666 QKT196663:QKW196666 QUP196663:QUS196666 REL196663:REO196666 ROH196663:ROK196666 RYD196663:RYG196666 SHZ196663:SIC196666 SRV196663:SRY196666 TBR196663:TBU196666 TLN196663:TLQ196666 TVJ196663:TVM196666 UFF196663:UFI196666 UPB196663:UPE196666 UYX196663:UZA196666 VIT196663:VIW196666 VSP196663:VSS196666 WCL196663:WCO196666 WMH196663:WMK196666 WWD196663:WWG196666 V262199:Y262202 JR262199:JU262202 TN262199:TQ262202 ADJ262199:ADM262202 ANF262199:ANI262202 AXB262199:AXE262202 BGX262199:BHA262202 BQT262199:BQW262202 CAP262199:CAS262202 CKL262199:CKO262202 CUH262199:CUK262202 DED262199:DEG262202 DNZ262199:DOC262202 DXV262199:DXY262202 EHR262199:EHU262202 ERN262199:ERQ262202 FBJ262199:FBM262202 FLF262199:FLI262202 FVB262199:FVE262202 GEX262199:GFA262202 GOT262199:GOW262202 GYP262199:GYS262202 HIL262199:HIO262202 HSH262199:HSK262202 ICD262199:ICG262202 ILZ262199:IMC262202 IVV262199:IVY262202 JFR262199:JFU262202 JPN262199:JPQ262202 JZJ262199:JZM262202 KJF262199:KJI262202 KTB262199:KTE262202 LCX262199:LDA262202 LMT262199:LMW262202 LWP262199:LWS262202 MGL262199:MGO262202 MQH262199:MQK262202 NAD262199:NAG262202 NJZ262199:NKC262202 NTV262199:NTY262202 ODR262199:ODU262202 ONN262199:ONQ262202 OXJ262199:OXM262202 PHF262199:PHI262202 PRB262199:PRE262202 QAX262199:QBA262202 QKT262199:QKW262202 QUP262199:QUS262202 REL262199:REO262202 ROH262199:ROK262202 RYD262199:RYG262202 SHZ262199:SIC262202 SRV262199:SRY262202 TBR262199:TBU262202 TLN262199:TLQ262202 TVJ262199:TVM262202 UFF262199:UFI262202 UPB262199:UPE262202 UYX262199:UZA262202 VIT262199:VIW262202 VSP262199:VSS262202 WCL262199:WCO262202 WMH262199:WMK262202 WWD262199:WWG262202 V327735:Y327738 JR327735:JU327738 TN327735:TQ327738 ADJ327735:ADM327738 ANF327735:ANI327738 AXB327735:AXE327738 BGX327735:BHA327738 BQT327735:BQW327738 CAP327735:CAS327738 CKL327735:CKO327738 CUH327735:CUK327738 DED327735:DEG327738 DNZ327735:DOC327738 DXV327735:DXY327738 EHR327735:EHU327738 ERN327735:ERQ327738 FBJ327735:FBM327738 FLF327735:FLI327738 FVB327735:FVE327738 GEX327735:GFA327738 GOT327735:GOW327738 GYP327735:GYS327738 HIL327735:HIO327738 HSH327735:HSK327738 ICD327735:ICG327738 ILZ327735:IMC327738 IVV327735:IVY327738 JFR327735:JFU327738 JPN327735:JPQ327738 JZJ327735:JZM327738 KJF327735:KJI327738 KTB327735:KTE327738 LCX327735:LDA327738 LMT327735:LMW327738 LWP327735:LWS327738 MGL327735:MGO327738 MQH327735:MQK327738 NAD327735:NAG327738 NJZ327735:NKC327738 NTV327735:NTY327738 ODR327735:ODU327738 ONN327735:ONQ327738 OXJ327735:OXM327738 PHF327735:PHI327738 PRB327735:PRE327738 QAX327735:QBA327738 QKT327735:QKW327738 QUP327735:QUS327738 REL327735:REO327738 ROH327735:ROK327738 RYD327735:RYG327738 SHZ327735:SIC327738 SRV327735:SRY327738 TBR327735:TBU327738 TLN327735:TLQ327738 TVJ327735:TVM327738 UFF327735:UFI327738 UPB327735:UPE327738 UYX327735:UZA327738 VIT327735:VIW327738 VSP327735:VSS327738 WCL327735:WCO327738 WMH327735:WMK327738 WWD327735:WWG327738 V393271:Y393274 JR393271:JU393274 TN393271:TQ393274 ADJ393271:ADM393274 ANF393271:ANI393274 AXB393271:AXE393274 BGX393271:BHA393274 BQT393271:BQW393274 CAP393271:CAS393274 CKL393271:CKO393274 CUH393271:CUK393274 DED393271:DEG393274 DNZ393271:DOC393274 DXV393271:DXY393274 EHR393271:EHU393274 ERN393271:ERQ393274 FBJ393271:FBM393274 FLF393271:FLI393274 FVB393271:FVE393274 GEX393271:GFA393274 GOT393271:GOW393274 GYP393271:GYS393274 HIL393271:HIO393274 HSH393271:HSK393274 ICD393271:ICG393274 ILZ393271:IMC393274 IVV393271:IVY393274 JFR393271:JFU393274 JPN393271:JPQ393274 JZJ393271:JZM393274 KJF393271:KJI393274 KTB393271:KTE393274 LCX393271:LDA393274 LMT393271:LMW393274 LWP393271:LWS393274 MGL393271:MGO393274 MQH393271:MQK393274 NAD393271:NAG393274 NJZ393271:NKC393274 NTV393271:NTY393274 ODR393271:ODU393274 ONN393271:ONQ393274 OXJ393271:OXM393274 PHF393271:PHI393274 PRB393271:PRE393274 QAX393271:QBA393274 QKT393271:QKW393274 QUP393271:QUS393274 REL393271:REO393274 ROH393271:ROK393274 RYD393271:RYG393274 SHZ393271:SIC393274 SRV393271:SRY393274 TBR393271:TBU393274 TLN393271:TLQ393274 TVJ393271:TVM393274 UFF393271:UFI393274 UPB393271:UPE393274 UYX393271:UZA393274 VIT393271:VIW393274 VSP393271:VSS393274 WCL393271:WCO393274 WMH393271:WMK393274 WWD393271:WWG393274 V458807:Y458810 JR458807:JU458810 TN458807:TQ458810 ADJ458807:ADM458810 ANF458807:ANI458810 AXB458807:AXE458810 BGX458807:BHA458810 BQT458807:BQW458810 CAP458807:CAS458810 CKL458807:CKO458810 CUH458807:CUK458810 DED458807:DEG458810 DNZ458807:DOC458810 DXV458807:DXY458810 EHR458807:EHU458810 ERN458807:ERQ458810 FBJ458807:FBM458810 FLF458807:FLI458810 FVB458807:FVE458810 GEX458807:GFA458810 GOT458807:GOW458810 GYP458807:GYS458810 HIL458807:HIO458810 HSH458807:HSK458810 ICD458807:ICG458810 ILZ458807:IMC458810 IVV458807:IVY458810 JFR458807:JFU458810 JPN458807:JPQ458810 JZJ458807:JZM458810 KJF458807:KJI458810 KTB458807:KTE458810 LCX458807:LDA458810 LMT458807:LMW458810 LWP458807:LWS458810 MGL458807:MGO458810 MQH458807:MQK458810 NAD458807:NAG458810 NJZ458807:NKC458810 NTV458807:NTY458810 ODR458807:ODU458810 ONN458807:ONQ458810 OXJ458807:OXM458810 PHF458807:PHI458810 PRB458807:PRE458810 QAX458807:QBA458810 QKT458807:QKW458810 QUP458807:QUS458810 REL458807:REO458810 ROH458807:ROK458810 RYD458807:RYG458810 SHZ458807:SIC458810 SRV458807:SRY458810 TBR458807:TBU458810 TLN458807:TLQ458810 TVJ458807:TVM458810 UFF458807:UFI458810 UPB458807:UPE458810 UYX458807:UZA458810 VIT458807:VIW458810 VSP458807:VSS458810 WCL458807:WCO458810 WMH458807:WMK458810 WWD458807:WWG458810 V524343:Y524346 JR524343:JU524346 TN524343:TQ524346 ADJ524343:ADM524346 ANF524343:ANI524346 AXB524343:AXE524346 BGX524343:BHA524346 BQT524343:BQW524346 CAP524343:CAS524346 CKL524343:CKO524346 CUH524343:CUK524346 DED524343:DEG524346 DNZ524343:DOC524346 DXV524343:DXY524346 EHR524343:EHU524346 ERN524343:ERQ524346 FBJ524343:FBM524346 FLF524343:FLI524346 FVB524343:FVE524346 GEX524343:GFA524346 GOT524343:GOW524346 GYP524343:GYS524346 HIL524343:HIO524346 HSH524343:HSK524346 ICD524343:ICG524346 ILZ524343:IMC524346 IVV524343:IVY524346 JFR524343:JFU524346 JPN524343:JPQ524346 JZJ524343:JZM524346 KJF524343:KJI524346 KTB524343:KTE524346 LCX524343:LDA524346 LMT524343:LMW524346 LWP524343:LWS524346 MGL524343:MGO524346 MQH524343:MQK524346 NAD524343:NAG524346 NJZ524343:NKC524346 NTV524343:NTY524346 ODR524343:ODU524346 ONN524343:ONQ524346 OXJ524343:OXM524346 PHF524343:PHI524346 PRB524343:PRE524346 QAX524343:QBA524346 QKT524343:QKW524346 QUP524343:QUS524346 REL524343:REO524346 ROH524343:ROK524346 RYD524343:RYG524346 SHZ524343:SIC524346 SRV524343:SRY524346 TBR524343:TBU524346 TLN524343:TLQ524346 TVJ524343:TVM524346 UFF524343:UFI524346 UPB524343:UPE524346 UYX524343:UZA524346 VIT524343:VIW524346 VSP524343:VSS524346 WCL524343:WCO524346 WMH524343:WMK524346 WWD524343:WWG524346 V589879:Y589882 JR589879:JU589882 TN589879:TQ589882 ADJ589879:ADM589882 ANF589879:ANI589882 AXB589879:AXE589882 BGX589879:BHA589882 BQT589879:BQW589882 CAP589879:CAS589882 CKL589879:CKO589882 CUH589879:CUK589882 DED589879:DEG589882 DNZ589879:DOC589882 DXV589879:DXY589882 EHR589879:EHU589882 ERN589879:ERQ589882 FBJ589879:FBM589882 FLF589879:FLI589882 FVB589879:FVE589882 GEX589879:GFA589882 GOT589879:GOW589882 GYP589879:GYS589882 HIL589879:HIO589882 HSH589879:HSK589882 ICD589879:ICG589882 ILZ589879:IMC589882 IVV589879:IVY589882 JFR589879:JFU589882 JPN589879:JPQ589882 JZJ589879:JZM589882 KJF589879:KJI589882 KTB589879:KTE589882 LCX589879:LDA589882 LMT589879:LMW589882 LWP589879:LWS589882 MGL589879:MGO589882 MQH589879:MQK589882 NAD589879:NAG589882 NJZ589879:NKC589882 NTV589879:NTY589882 ODR589879:ODU589882 ONN589879:ONQ589882 OXJ589879:OXM589882 PHF589879:PHI589882 PRB589879:PRE589882 QAX589879:QBA589882 QKT589879:QKW589882 QUP589879:QUS589882 REL589879:REO589882 ROH589879:ROK589882 RYD589879:RYG589882 SHZ589879:SIC589882 SRV589879:SRY589882 TBR589879:TBU589882 TLN589879:TLQ589882 TVJ589879:TVM589882 UFF589879:UFI589882 UPB589879:UPE589882 UYX589879:UZA589882 VIT589879:VIW589882 VSP589879:VSS589882 WCL589879:WCO589882 WMH589879:WMK589882 WWD589879:WWG589882 V655415:Y655418 JR655415:JU655418 TN655415:TQ655418 ADJ655415:ADM655418 ANF655415:ANI655418 AXB655415:AXE655418 BGX655415:BHA655418 BQT655415:BQW655418 CAP655415:CAS655418 CKL655415:CKO655418 CUH655415:CUK655418 DED655415:DEG655418 DNZ655415:DOC655418 DXV655415:DXY655418 EHR655415:EHU655418 ERN655415:ERQ655418 FBJ655415:FBM655418 FLF655415:FLI655418 FVB655415:FVE655418 GEX655415:GFA655418 GOT655415:GOW655418 GYP655415:GYS655418 HIL655415:HIO655418 HSH655415:HSK655418 ICD655415:ICG655418 ILZ655415:IMC655418 IVV655415:IVY655418 JFR655415:JFU655418 JPN655415:JPQ655418 JZJ655415:JZM655418 KJF655415:KJI655418 KTB655415:KTE655418 LCX655415:LDA655418 LMT655415:LMW655418 LWP655415:LWS655418 MGL655415:MGO655418 MQH655415:MQK655418 NAD655415:NAG655418 NJZ655415:NKC655418 NTV655415:NTY655418 ODR655415:ODU655418 ONN655415:ONQ655418 OXJ655415:OXM655418 PHF655415:PHI655418 PRB655415:PRE655418 QAX655415:QBA655418 QKT655415:QKW655418 QUP655415:QUS655418 REL655415:REO655418 ROH655415:ROK655418 RYD655415:RYG655418 SHZ655415:SIC655418 SRV655415:SRY655418 TBR655415:TBU655418 TLN655415:TLQ655418 TVJ655415:TVM655418 UFF655415:UFI655418 UPB655415:UPE655418 UYX655415:UZA655418 VIT655415:VIW655418 VSP655415:VSS655418 WCL655415:WCO655418 WMH655415:WMK655418 WWD655415:WWG655418 V720951:Y720954 JR720951:JU720954 TN720951:TQ720954 ADJ720951:ADM720954 ANF720951:ANI720954 AXB720951:AXE720954 BGX720951:BHA720954 BQT720951:BQW720954 CAP720951:CAS720954 CKL720951:CKO720954 CUH720951:CUK720954 DED720951:DEG720954 DNZ720951:DOC720954 DXV720951:DXY720954 EHR720951:EHU720954 ERN720951:ERQ720954 FBJ720951:FBM720954 FLF720951:FLI720954 FVB720951:FVE720954 GEX720951:GFA720954 GOT720951:GOW720954 GYP720951:GYS720954 HIL720951:HIO720954 HSH720951:HSK720954 ICD720951:ICG720954 ILZ720951:IMC720954 IVV720951:IVY720954 JFR720951:JFU720954 JPN720951:JPQ720954 JZJ720951:JZM720954 KJF720951:KJI720954 KTB720951:KTE720954 LCX720951:LDA720954 LMT720951:LMW720954 LWP720951:LWS720954 MGL720951:MGO720954 MQH720951:MQK720954 NAD720951:NAG720954 NJZ720951:NKC720954 NTV720951:NTY720954 ODR720951:ODU720954 ONN720951:ONQ720954 OXJ720951:OXM720954 PHF720951:PHI720954 PRB720951:PRE720954 QAX720951:QBA720954 QKT720951:QKW720954 QUP720951:QUS720954 REL720951:REO720954 ROH720951:ROK720954 RYD720951:RYG720954 SHZ720951:SIC720954 SRV720951:SRY720954 TBR720951:TBU720954 TLN720951:TLQ720954 TVJ720951:TVM720954 UFF720951:UFI720954 UPB720951:UPE720954 UYX720951:UZA720954 VIT720951:VIW720954 VSP720951:VSS720954 WCL720951:WCO720954 WMH720951:WMK720954 WWD720951:WWG720954 V786487:Y786490 JR786487:JU786490 TN786487:TQ786490 ADJ786487:ADM786490 ANF786487:ANI786490 AXB786487:AXE786490 BGX786487:BHA786490 BQT786487:BQW786490 CAP786487:CAS786490 CKL786487:CKO786490 CUH786487:CUK786490 DED786487:DEG786490 DNZ786487:DOC786490 DXV786487:DXY786490 EHR786487:EHU786490 ERN786487:ERQ786490 FBJ786487:FBM786490 FLF786487:FLI786490 FVB786487:FVE786490 GEX786487:GFA786490 GOT786487:GOW786490 GYP786487:GYS786490 HIL786487:HIO786490 HSH786487:HSK786490 ICD786487:ICG786490 ILZ786487:IMC786490 IVV786487:IVY786490 JFR786487:JFU786490 JPN786487:JPQ786490 JZJ786487:JZM786490 KJF786487:KJI786490 KTB786487:KTE786490 LCX786487:LDA786490 LMT786487:LMW786490 LWP786487:LWS786490 MGL786487:MGO786490 MQH786487:MQK786490 NAD786487:NAG786490 NJZ786487:NKC786490 NTV786487:NTY786490 ODR786487:ODU786490 ONN786487:ONQ786490 OXJ786487:OXM786490 PHF786487:PHI786490 PRB786487:PRE786490 QAX786487:QBA786490 QKT786487:QKW786490 QUP786487:QUS786490 REL786487:REO786490 ROH786487:ROK786490 RYD786487:RYG786490 SHZ786487:SIC786490 SRV786487:SRY786490 TBR786487:TBU786490 TLN786487:TLQ786490 TVJ786487:TVM786490 UFF786487:UFI786490 UPB786487:UPE786490 UYX786487:UZA786490 VIT786487:VIW786490 VSP786487:VSS786490 WCL786487:WCO786490 WMH786487:WMK786490 WWD786487:WWG786490 V852023:Y852026 JR852023:JU852026 TN852023:TQ852026 ADJ852023:ADM852026 ANF852023:ANI852026 AXB852023:AXE852026 BGX852023:BHA852026 BQT852023:BQW852026 CAP852023:CAS852026 CKL852023:CKO852026 CUH852023:CUK852026 DED852023:DEG852026 DNZ852023:DOC852026 DXV852023:DXY852026 EHR852023:EHU852026 ERN852023:ERQ852026 FBJ852023:FBM852026 FLF852023:FLI852026 FVB852023:FVE852026 GEX852023:GFA852026 GOT852023:GOW852026 GYP852023:GYS852026 HIL852023:HIO852026 HSH852023:HSK852026 ICD852023:ICG852026 ILZ852023:IMC852026 IVV852023:IVY852026 JFR852023:JFU852026 JPN852023:JPQ852026 JZJ852023:JZM852026 KJF852023:KJI852026 KTB852023:KTE852026 LCX852023:LDA852026 LMT852023:LMW852026 LWP852023:LWS852026 MGL852023:MGO852026 MQH852023:MQK852026 NAD852023:NAG852026 NJZ852023:NKC852026 NTV852023:NTY852026 ODR852023:ODU852026 ONN852023:ONQ852026 OXJ852023:OXM852026 PHF852023:PHI852026 PRB852023:PRE852026 QAX852023:QBA852026 QKT852023:QKW852026 QUP852023:QUS852026 REL852023:REO852026 ROH852023:ROK852026 RYD852023:RYG852026 SHZ852023:SIC852026 SRV852023:SRY852026 TBR852023:TBU852026 TLN852023:TLQ852026 TVJ852023:TVM852026 UFF852023:UFI852026 UPB852023:UPE852026 UYX852023:UZA852026 VIT852023:VIW852026 VSP852023:VSS852026 WCL852023:WCO852026 WMH852023:WMK852026 WWD852023:WWG852026 V917559:Y917562 JR917559:JU917562 TN917559:TQ917562 ADJ917559:ADM917562 ANF917559:ANI917562 AXB917559:AXE917562 BGX917559:BHA917562 BQT917559:BQW917562 CAP917559:CAS917562 CKL917559:CKO917562 CUH917559:CUK917562 DED917559:DEG917562 DNZ917559:DOC917562 DXV917559:DXY917562 EHR917559:EHU917562 ERN917559:ERQ917562 FBJ917559:FBM917562 FLF917559:FLI917562 FVB917559:FVE917562 GEX917559:GFA917562 GOT917559:GOW917562 GYP917559:GYS917562 HIL917559:HIO917562 HSH917559:HSK917562 ICD917559:ICG917562 ILZ917559:IMC917562 IVV917559:IVY917562 JFR917559:JFU917562 JPN917559:JPQ917562 JZJ917559:JZM917562 KJF917559:KJI917562 KTB917559:KTE917562 LCX917559:LDA917562 LMT917559:LMW917562 LWP917559:LWS917562 MGL917559:MGO917562 MQH917559:MQK917562 NAD917559:NAG917562 NJZ917559:NKC917562 NTV917559:NTY917562 ODR917559:ODU917562 ONN917559:ONQ917562 OXJ917559:OXM917562 PHF917559:PHI917562 PRB917559:PRE917562 QAX917559:QBA917562 QKT917559:QKW917562 QUP917559:QUS917562 REL917559:REO917562 ROH917559:ROK917562 RYD917559:RYG917562 SHZ917559:SIC917562 SRV917559:SRY917562 TBR917559:TBU917562 TLN917559:TLQ917562 TVJ917559:TVM917562 UFF917559:UFI917562 UPB917559:UPE917562 UYX917559:UZA917562 VIT917559:VIW917562 VSP917559:VSS917562 WCL917559:WCO917562 WMH917559:WMK917562 WWD917559:WWG917562 V983095:Y983098 JR983095:JU983098 TN983095:TQ983098 ADJ983095:ADM983098 ANF983095:ANI983098 AXB983095:AXE983098 BGX983095:BHA983098 BQT983095:BQW983098 CAP983095:CAS983098 CKL983095:CKO983098 CUH983095:CUK983098 DED983095:DEG983098 DNZ983095:DOC983098 DXV983095:DXY983098 EHR983095:EHU983098 ERN983095:ERQ983098 FBJ983095:FBM983098 FLF983095:FLI983098 FVB983095:FVE983098 GEX983095:GFA983098 GOT983095:GOW983098 GYP983095:GYS983098 HIL983095:HIO983098 HSH983095:HSK983098 ICD983095:ICG983098 ILZ983095:IMC983098 IVV983095:IVY983098 JFR983095:JFU983098 JPN983095:JPQ983098 JZJ983095:JZM983098 KJF983095:KJI983098 KTB983095:KTE983098 LCX983095:LDA983098 LMT983095:LMW983098 LWP983095:LWS983098 MGL983095:MGO983098 MQH983095:MQK983098 NAD983095:NAG983098 NJZ983095:NKC983098 NTV983095:NTY983098 ODR983095:ODU983098 ONN983095:ONQ983098 OXJ983095:OXM983098 PHF983095:PHI983098 PRB983095:PRE983098 QAX983095:QBA983098 QKT983095:QKW983098 QUP983095:QUS983098 REL983095:REO983098 ROH983095:ROK983098 RYD983095:RYG983098 SHZ983095:SIC983098 SRV983095:SRY983098 TBR983095:TBU983098 TLN983095:TLQ983098 TVJ983095:TVM983098 UFF983095:UFI983098 UPB983095:UPE983098 UYX983095:UZA983098 VIT983095:VIW983098 VSP983095:VSS983098 WCL983095:WCO983098 WMH983095:WMK983098 WWD983095:WWG983098" xr:uid="{EF7E7A13-B34F-4864-B815-EFFAD5EEC8A1}">
      <formula1>$AA$1</formula1>
    </dataValidation>
    <dataValidation type="list" allowBlank="1" showInputMessage="1" showErrorMessage="1" sqref="C112 IY112 SU112 ACQ112 AMM112 AWI112 BGE112 BQA112 BZW112 CJS112 CTO112 DDK112 DNG112 DXC112 EGY112 EQU112 FAQ112 FKM112 FUI112 GEE112 GOA112 GXW112 HHS112 HRO112 IBK112 ILG112 IVC112 JEY112 JOU112 JYQ112 KIM112 KSI112 LCE112 LMA112 LVW112 MFS112 MPO112 MZK112 NJG112 NTC112 OCY112 OMU112 OWQ112 PGM112 PQI112 QAE112 QKA112 QTW112 RDS112 RNO112 RXK112 SHG112 SRC112 TAY112 TKU112 TUQ112 UEM112 UOI112 UYE112 VIA112 VRW112 WBS112 WLO112 WVK112 C65649 IY65649 SU65649 ACQ65649 AMM65649 AWI65649 BGE65649 BQA65649 BZW65649 CJS65649 CTO65649 DDK65649 DNG65649 DXC65649 EGY65649 EQU65649 FAQ65649 FKM65649 FUI65649 GEE65649 GOA65649 GXW65649 HHS65649 HRO65649 IBK65649 ILG65649 IVC65649 JEY65649 JOU65649 JYQ65649 KIM65649 KSI65649 LCE65649 LMA65649 LVW65649 MFS65649 MPO65649 MZK65649 NJG65649 NTC65649 OCY65649 OMU65649 OWQ65649 PGM65649 PQI65649 QAE65649 QKA65649 QTW65649 RDS65649 RNO65649 RXK65649 SHG65649 SRC65649 TAY65649 TKU65649 TUQ65649 UEM65649 UOI65649 UYE65649 VIA65649 VRW65649 WBS65649 WLO65649 WVK65649 C131185 IY131185 SU131185 ACQ131185 AMM131185 AWI131185 BGE131185 BQA131185 BZW131185 CJS131185 CTO131185 DDK131185 DNG131185 DXC131185 EGY131185 EQU131185 FAQ131185 FKM131185 FUI131185 GEE131185 GOA131185 GXW131185 HHS131185 HRO131185 IBK131185 ILG131185 IVC131185 JEY131185 JOU131185 JYQ131185 KIM131185 KSI131185 LCE131185 LMA131185 LVW131185 MFS131185 MPO131185 MZK131185 NJG131185 NTC131185 OCY131185 OMU131185 OWQ131185 PGM131185 PQI131185 QAE131185 QKA131185 QTW131185 RDS131185 RNO131185 RXK131185 SHG131185 SRC131185 TAY131185 TKU131185 TUQ131185 UEM131185 UOI131185 UYE131185 VIA131185 VRW131185 WBS131185 WLO131185 WVK131185 C196721 IY196721 SU196721 ACQ196721 AMM196721 AWI196721 BGE196721 BQA196721 BZW196721 CJS196721 CTO196721 DDK196721 DNG196721 DXC196721 EGY196721 EQU196721 FAQ196721 FKM196721 FUI196721 GEE196721 GOA196721 GXW196721 HHS196721 HRO196721 IBK196721 ILG196721 IVC196721 JEY196721 JOU196721 JYQ196721 KIM196721 KSI196721 LCE196721 LMA196721 LVW196721 MFS196721 MPO196721 MZK196721 NJG196721 NTC196721 OCY196721 OMU196721 OWQ196721 PGM196721 PQI196721 QAE196721 QKA196721 QTW196721 RDS196721 RNO196721 RXK196721 SHG196721 SRC196721 TAY196721 TKU196721 TUQ196721 UEM196721 UOI196721 UYE196721 VIA196721 VRW196721 WBS196721 WLO196721 WVK196721 C262257 IY262257 SU262257 ACQ262257 AMM262257 AWI262257 BGE262257 BQA262257 BZW262257 CJS262257 CTO262257 DDK262257 DNG262257 DXC262257 EGY262257 EQU262257 FAQ262257 FKM262257 FUI262257 GEE262257 GOA262257 GXW262257 HHS262257 HRO262257 IBK262257 ILG262257 IVC262257 JEY262257 JOU262257 JYQ262257 KIM262257 KSI262257 LCE262257 LMA262257 LVW262257 MFS262257 MPO262257 MZK262257 NJG262257 NTC262257 OCY262257 OMU262257 OWQ262257 PGM262257 PQI262257 QAE262257 QKA262257 QTW262257 RDS262257 RNO262257 RXK262257 SHG262257 SRC262257 TAY262257 TKU262257 TUQ262257 UEM262257 UOI262257 UYE262257 VIA262257 VRW262257 WBS262257 WLO262257 WVK262257 C327793 IY327793 SU327793 ACQ327793 AMM327793 AWI327793 BGE327793 BQA327793 BZW327793 CJS327793 CTO327793 DDK327793 DNG327793 DXC327793 EGY327793 EQU327793 FAQ327793 FKM327793 FUI327793 GEE327793 GOA327793 GXW327793 HHS327793 HRO327793 IBK327793 ILG327793 IVC327793 JEY327793 JOU327793 JYQ327793 KIM327793 KSI327793 LCE327793 LMA327793 LVW327793 MFS327793 MPO327793 MZK327793 NJG327793 NTC327793 OCY327793 OMU327793 OWQ327793 PGM327793 PQI327793 QAE327793 QKA327793 QTW327793 RDS327793 RNO327793 RXK327793 SHG327793 SRC327793 TAY327793 TKU327793 TUQ327793 UEM327793 UOI327793 UYE327793 VIA327793 VRW327793 WBS327793 WLO327793 WVK327793 C393329 IY393329 SU393329 ACQ393329 AMM393329 AWI393329 BGE393329 BQA393329 BZW393329 CJS393329 CTO393329 DDK393329 DNG393329 DXC393329 EGY393329 EQU393329 FAQ393329 FKM393329 FUI393329 GEE393329 GOA393329 GXW393329 HHS393329 HRO393329 IBK393329 ILG393329 IVC393329 JEY393329 JOU393329 JYQ393329 KIM393329 KSI393329 LCE393329 LMA393329 LVW393329 MFS393329 MPO393329 MZK393329 NJG393329 NTC393329 OCY393329 OMU393329 OWQ393329 PGM393329 PQI393329 QAE393329 QKA393329 QTW393329 RDS393329 RNO393329 RXK393329 SHG393329 SRC393329 TAY393329 TKU393329 TUQ393329 UEM393329 UOI393329 UYE393329 VIA393329 VRW393329 WBS393329 WLO393329 WVK393329 C458865 IY458865 SU458865 ACQ458865 AMM458865 AWI458865 BGE458865 BQA458865 BZW458865 CJS458865 CTO458865 DDK458865 DNG458865 DXC458865 EGY458865 EQU458865 FAQ458865 FKM458865 FUI458865 GEE458865 GOA458865 GXW458865 HHS458865 HRO458865 IBK458865 ILG458865 IVC458865 JEY458865 JOU458865 JYQ458865 KIM458865 KSI458865 LCE458865 LMA458865 LVW458865 MFS458865 MPO458865 MZK458865 NJG458865 NTC458865 OCY458865 OMU458865 OWQ458865 PGM458865 PQI458865 QAE458865 QKA458865 QTW458865 RDS458865 RNO458865 RXK458865 SHG458865 SRC458865 TAY458865 TKU458865 TUQ458865 UEM458865 UOI458865 UYE458865 VIA458865 VRW458865 WBS458865 WLO458865 WVK458865 C524401 IY524401 SU524401 ACQ524401 AMM524401 AWI524401 BGE524401 BQA524401 BZW524401 CJS524401 CTO524401 DDK524401 DNG524401 DXC524401 EGY524401 EQU524401 FAQ524401 FKM524401 FUI524401 GEE524401 GOA524401 GXW524401 HHS524401 HRO524401 IBK524401 ILG524401 IVC524401 JEY524401 JOU524401 JYQ524401 KIM524401 KSI524401 LCE524401 LMA524401 LVW524401 MFS524401 MPO524401 MZK524401 NJG524401 NTC524401 OCY524401 OMU524401 OWQ524401 PGM524401 PQI524401 QAE524401 QKA524401 QTW524401 RDS524401 RNO524401 RXK524401 SHG524401 SRC524401 TAY524401 TKU524401 TUQ524401 UEM524401 UOI524401 UYE524401 VIA524401 VRW524401 WBS524401 WLO524401 WVK524401 C589937 IY589937 SU589937 ACQ589937 AMM589937 AWI589937 BGE589937 BQA589937 BZW589937 CJS589937 CTO589937 DDK589937 DNG589937 DXC589937 EGY589937 EQU589937 FAQ589937 FKM589937 FUI589937 GEE589937 GOA589937 GXW589937 HHS589937 HRO589937 IBK589937 ILG589937 IVC589937 JEY589937 JOU589937 JYQ589937 KIM589937 KSI589937 LCE589937 LMA589937 LVW589937 MFS589937 MPO589937 MZK589937 NJG589937 NTC589937 OCY589937 OMU589937 OWQ589937 PGM589937 PQI589937 QAE589937 QKA589937 QTW589937 RDS589937 RNO589937 RXK589937 SHG589937 SRC589937 TAY589937 TKU589937 TUQ589937 UEM589937 UOI589937 UYE589937 VIA589937 VRW589937 WBS589937 WLO589937 WVK589937 C655473 IY655473 SU655473 ACQ655473 AMM655473 AWI655473 BGE655473 BQA655473 BZW655473 CJS655473 CTO655473 DDK655473 DNG655473 DXC655473 EGY655473 EQU655473 FAQ655473 FKM655473 FUI655473 GEE655473 GOA655473 GXW655473 HHS655473 HRO655473 IBK655473 ILG655473 IVC655473 JEY655473 JOU655473 JYQ655473 KIM655473 KSI655473 LCE655473 LMA655473 LVW655473 MFS655473 MPO655473 MZK655473 NJG655473 NTC655473 OCY655473 OMU655473 OWQ655473 PGM655473 PQI655473 QAE655473 QKA655473 QTW655473 RDS655473 RNO655473 RXK655473 SHG655473 SRC655473 TAY655473 TKU655473 TUQ655473 UEM655473 UOI655473 UYE655473 VIA655473 VRW655473 WBS655473 WLO655473 WVK655473 C721009 IY721009 SU721009 ACQ721009 AMM721009 AWI721009 BGE721009 BQA721009 BZW721009 CJS721009 CTO721009 DDK721009 DNG721009 DXC721009 EGY721009 EQU721009 FAQ721009 FKM721009 FUI721009 GEE721009 GOA721009 GXW721009 HHS721009 HRO721009 IBK721009 ILG721009 IVC721009 JEY721009 JOU721009 JYQ721009 KIM721009 KSI721009 LCE721009 LMA721009 LVW721009 MFS721009 MPO721009 MZK721009 NJG721009 NTC721009 OCY721009 OMU721009 OWQ721009 PGM721009 PQI721009 QAE721009 QKA721009 QTW721009 RDS721009 RNO721009 RXK721009 SHG721009 SRC721009 TAY721009 TKU721009 TUQ721009 UEM721009 UOI721009 UYE721009 VIA721009 VRW721009 WBS721009 WLO721009 WVK721009 C786545 IY786545 SU786545 ACQ786545 AMM786545 AWI786545 BGE786545 BQA786545 BZW786545 CJS786545 CTO786545 DDK786545 DNG786545 DXC786545 EGY786545 EQU786545 FAQ786545 FKM786545 FUI786545 GEE786545 GOA786545 GXW786545 HHS786545 HRO786545 IBK786545 ILG786545 IVC786545 JEY786545 JOU786545 JYQ786545 KIM786545 KSI786545 LCE786545 LMA786545 LVW786545 MFS786545 MPO786545 MZK786545 NJG786545 NTC786545 OCY786545 OMU786545 OWQ786545 PGM786545 PQI786545 QAE786545 QKA786545 QTW786545 RDS786545 RNO786545 RXK786545 SHG786545 SRC786545 TAY786545 TKU786545 TUQ786545 UEM786545 UOI786545 UYE786545 VIA786545 VRW786545 WBS786545 WLO786545 WVK786545 C852081 IY852081 SU852081 ACQ852081 AMM852081 AWI852081 BGE852081 BQA852081 BZW852081 CJS852081 CTO852081 DDK852081 DNG852081 DXC852081 EGY852081 EQU852081 FAQ852081 FKM852081 FUI852081 GEE852081 GOA852081 GXW852081 HHS852081 HRO852081 IBK852081 ILG852081 IVC852081 JEY852081 JOU852081 JYQ852081 KIM852081 KSI852081 LCE852081 LMA852081 LVW852081 MFS852081 MPO852081 MZK852081 NJG852081 NTC852081 OCY852081 OMU852081 OWQ852081 PGM852081 PQI852081 QAE852081 QKA852081 QTW852081 RDS852081 RNO852081 RXK852081 SHG852081 SRC852081 TAY852081 TKU852081 TUQ852081 UEM852081 UOI852081 UYE852081 VIA852081 VRW852081 WBS852081 WLO852081 WVK852081 C917617 IY917617 SU917617 ACQ917617 AMM917617 AWI917617 BGE917617 BQA917617 BZW917617 CJS917617 CTO917617 DDK917617 DNG917617 DXC917617 EGY917617 EQU917617 FAQ917617 FKM917617 FUI917617 GEE917617 GOA917617 GXW917617 HHS917617 HRO917617 IBK917617 ILG917617 IVC917617 JEY917617 JOU917617 JYQ917617 KIM917617 KSI917617 LCE917617 LMA917617 LVW917617 MFS917617 MPO917617 MZK917617 NJG917617 NTC917617 OCY917617 OMU917617 OWQ917617 PGM917617 PQI917617 QAE917617 QKA917617 QTW917617 RDS917617 RNO917617 RXK917617 SHG917617 SRC917617 TAY917617 TKU917617 TUQ917617 UEM917617 UOI917617 UYE917617 VIA917617 VRW917617 WBS917617 WLO917617 WVK917617 C983153 IY983153 SU983153 ACQ983153 AMM983153 AWI983153 BGE983153 BQA983153 BZW983153 CJS983153 CTO983153 DDK983153 DNG983153 DXC983153 EGY983153 EQU983153 FAQ983153 FKM983153 FUI983153 GEE983153 GOA983153 GXW983153 HHS983153 HRO983153 IBK983153 ILG983153 IVC983153 JEY983153 JOU983153 JYQ983153 KIM983153 KSI983153 LCE983153 LMA983153 LVW983153 MFS983153 MPO983153 MZK983153 NJG983153 NTC983153 OCY983153 OMU983153 OWQ983153 PGM983153 PQI983153 QAE983153 QKA983153 QTW983153 RDS983153 RNO983153 RXK983153 SHG983153 SRC983153 TAY983153 TKU983153 TUQ983153 UEM983153 UOI983153 UYE983153 VIA983153 VRW983153 WBS983153 WLO983153 WVK983153 C114 IY114 SU114 ACQ114 AMM114 AWI114 BGE114 BQA114 BZW114 CJS114 CTO114 DDK114 DNG114 DXC114 EGY114 EQU114 FAQ114 FKM114 FUI114 GEE114 GOA114 GXW114 HHS114 HRO114 IBK114 ILG114 IVC114 JEY114 JOU114 JYQ114 KIM114 KSI114 LCE114 LMA114 LVW114 MFS114 MPO114 MZK114 NJG114 NTC114 OCY114 OMU114 OWQ114 PGM114 PQI114 QAE114 QKA114 QTW114 RDS114 RNO114 RXK114 SHG114 SRC114 TAY114 TKU114 TUQ114 UEM114 UOI114 UYE114 VIA114 VRW114 WBS114 WLO114 WVK114 C65651 IY65651 SU65651 ACQ65651 AMM65651 AWI65651 BGE65651 BQA65651 BZW65651 CJS65651 CTO65651 DDK65651 DNG65651 DXC65651 EGY65651 EQU65651 FAQ65651 FKM65651 FUI65651 GEE65651 GOA65651 GXW65651 HHS65651 HRO65651 IBK65651 ILG65651 IVC65651 JEY65651 JOU65651 JYQ65651 KIM65651 KSI65651 LCE65651 LMA65651 LVW65651 MFS65651 MPO65651 MZK65651 NJG65651 NTC65651 OCY65651 OMU65651 OWQ65651 PGM65651 PQI65651 QAE65651 QKA65651 QTW65651 RDS65651 RNO65651 RXK65651 SHG65651 SRC65651 TAY65651 TKU65651 TUQ65651 UEM65651 UOI65651 UYE65651 VIA65651 VRW65651 WBS65651 WLO65651 WVK65651 C131187 IY131187 SU131187 ACQ131187 AMM131187 AWI131187 BGE131187 BQA131187 BZW131187 CJS131187 CTO131187 DDK131187 DNG131187 DXC131187 EGY131187 EQU131187 FAQ131187 FKM131187 FUI131187 GEE131187 GOA131187 GXW131187 HHS131187 HRO131187 IBK131187 ILG131187 IVC131187 JEY131187 JOU131187 JYQ131187 KIM131187 KSI131187 LCE131187 LMA131187 LVW131187 MFS131187 MPO131187 MZK131187 NJG131187 NTC131187 OCY131187 OMU131187 OWQ131187 PGM131187 PQI131187 QAE131187 QKA131187 QTW131187 RDS131187 RNO131187 RXK131187 SHG131187 SRC131187 TAY131187 TKU131187 TUQ131187 UEM131187 UOI131187 UYE131187 VIA131187 VRW131187 WBS131187 WLO131187 WVK131187 C196723 IY196723 SU196723 ACQ196723 AMM196723 AWI196723 BGE196723 BQA196723 BZW196723 CJS196723 CTO196723 DDK196723 DNG196723 DXC196723 EGY196723 EQU196723 FAQ196723 FKM196723 FUI196723 GEE196723 GOA196723 GXW196723 HHS196723 HRO196723 IBK196723 ILG196723 IVC196723 JEY196723 JOU196723 JYQ196723 KIM196723 KSI196723 LCE196723 LMA196723 LVW196723 MFS196723 MPO196723 MZK196723 NJG196723 NTC196723 OCY196723 OMU196723 OWQ196723 PGM196723 PQI196723 QAE196723 QKA196723 QTW196723 RDS196723 RNO196723 RXK196723 SHG196723 SRC196723 TAY196723 TKU196723 TUQ196723 UEM196723 UOI196723 UYE196723 VIA196723 VRW196723 WBS196723 WLO196723 WVK196723 C262259 IY262259 SU262259 ACQ262259 AMM262259 AWI262259 BGE262259 BQA262259 BZW262259 CJS262259 CTO262259 DDK262259 DNG262259 DXC262259 EGY262259 EQU262259 FAQ262259 FKM262259 FUI262259 GEE262259 GOA262259 GXW262259 HHS262259 HRO262259 IBK262259 ILG262259 IVC262259 JEY262259 JOU262259 JYQ262259 KIM262259 KSI262259 LCE262259 LMA262259 LVW262259 MFS262259 MPO262259 MZK262259 NJG262259 NTC262259 OCY262259 OMU262259 OWQ262259 PGM262259 PQI262259 QAE262259 QKA262259 QTW262259 RDS262259 RNO262259 RXK262259 SHG262259 SRC262259 TAY262259 TKU262259 TUQ262259 UEM262259 UOI262259 UYE262259 VIA262259 VRW262259 WBS262259 WLO262259 WVK262259 C327795 IY327795 SU327795 ACQ327795 AMM327795 AWI327795 BGE327795 BQA327795 BZW327795 CJS327795 CTO327795 DDK327795 DNG327795 DXC327795 EGY327795 EQU327795 FAQ327795 FKM327795 FUI327795 GEE327795 GOA327795 GXW327795 HHS327795 HRO327795 IBK327795 ILG327795 IVC327795 JEY327795 JOU327795 JYQ327795 KIM327795 KSI327795 LCE327795 LMA327795 LVW327795 MFS327795 MPO327795 MZK327795 NJG327795 NTC327795 OCY327795 OMU327795 OWQ327795 PGM327795 PQI327795 QAE327795 QKA327795 QTW327795 RDS327795 RNO327795 RXK327795 SHG327795 SRC327795 TAY327795 TKU327795 TUQ327795 UEM327795 UOI327795 UYE327795 VIA327795 VRW327795 WBS327795 WLO327795 WVK327795 C393331 IY393331 SU393331 ACQ393331 AMM393331 AWI393331 BGE393331 BQA393331 BZW393331 CJS393331 CTO393331 DDK393331 DNG393331 DXC393331 EGY393331 EQU393331 FAQ393331 FKM393331 FUI393331 GEE393331 GOA393331 GXW393331 HHS393331 HRO393331 IBK393331 ILG393331 IVC393331 JEY393331 JOU393331 JYQ393331 KIM393331 KSI393331 LCE393331 LMA393331 LVW393331 MFS393331 MPO393331 MZK393331 NJG393331 NTC393331 OCY393331 OMU393331 OWQ393331 PGM393331 PQI393331 QAE393331 QKA393331 QTW393331 RDS393331 RNO393331 RXK393331 SHG393331 SRC393331 TAY393331 TKU393331 TUQ393331 UEM393331 UOI393331 UYE393331 VIA393331 VRW393331 WBS393331 WLO393331 WVK393331 C458867 IY458867 SU458867 ACQ458867 AMM458867 AWI458867 BGE458867 BQA458867 BZW458867 CJS458867 CTO458867 DDK458867 DNG458867 DXC458867 EGY458867 EQU458867 FAQ458867 FKM458867 FUI458867 GEE458867 GOA458867 GXW458867 HHS458867 HRO458867 IBK458867 ILG458867 IVC458867 JEY458867 JOU458867 JYQ458867 KIM458867 KSI458867 LCE458867 LMA458867 LVW458867 MFS458867 MPO458867 MZK458867 NJG458867 NTC458867 OCY458867 OMU458867 OWQ458867 PGM458867 PQI458867 QAE458867 QKA458867 QTW458867 RDS458867 RNO458867 RXK458867 SHG458867 SRC458867 TAY458867 TKU458867 TUQ458867 UEM458867 UOI458867 UYE458867 VIA458867 VRW458867 WBS458867 WLO458867 WVK458867 C524403 IY524403 SU524403 ACQ524403 AMM524403 AWI524403 BGE524403 BQA524403 BZW524403 CJS524403 CTO524403 DDK524403 DNG524403 DXC524403 EGY524403 EQU524403 FAQ524403 FKM524403 FUI524403 GEE524403 GOA524403 GXW524403 HHS524403 HRO524403 IBK524403 ILG524403 IVC524403 JEY524403 JOU524403 JYQ524403 KIM524403 KSI524403 LCE524403 LMA524403 LVW524403 MFS524403 MPO524403 MZK524403 NJG524403 NTC524403 OCY524403 OMU524403 OWQ524403 PGM524403 PQI524403 QAE524403 QKA524403 QTW524403 RDS524403 RNO524403 RXK524403 SHG524403 SRC524403 TAY524403 TKU524403 TUQ524403 UEM524403 UOI524403 UYE524403 VIA524403 VRW524403 WBS524403 WLO524403 WVK524403 C589939 IY589939 SU589939 ACQ589939 AMM589939 AWI589939 BGE589939 BQA589939 BZW589939 CJS589939 CTO589939 DDK589939 DNG589939 DXC589939 EGY589939 EQU589939 FAQ589939 FKM589939 FUI589939 GEE589939 GOA589939 GXW589939 HHS589939 HRO589939 IBK589939 ILG589939 IVC589939 JEY589939 JOU589939 JYQ589939 KIM589939 KSI589939 LCE589939 LMA589939 LVW589939 MFS589939 MPO589939 MZK589939 NJG589939 NTC589939 OCY589939 OMU589939 OWQ589939 PGM589939 PQI589939 QAE589939 QKA589939 QTW589939 RDS589939 RNO589939 RXK589939 SHG589939 SRC589939 TAY589939 TKU589939 TUQ589939 UEM589939 UOI589939 UYE589939 VIA589939 VRW589939 WBS589939 WLO589939 WVK589939 C655475 IY655475 SU655475 ACQ655475 AMM655475 AWI655475 BGE655475 BQA655475 BZW655475 CJS655475 CTO655475 DDK655475 DNG655475 DXC655475 EGY655475 EQU655475 FAQ655475 FKM655475 FUI655475 GEE655475 GOA655475 GXW655475 HHS655475 HRO655475 IBK655475 ILG655475 IVC655475 JEY655475 JOU655475 JYQ655475 KIM655475 KSI655475 LCE655475 LMA655475 LVW655475 MFS655475 MPO655475 MZK655475 NJG655475 NTC655475 OCY655475 OMU655475 OWQ655475 PGM655475 PQI655475 QAE655475 QKA655475 QTW655475 RDS655475 RNO655475 RXK655475 SHG655475 SRC655475 TAY655475 TKU655475 TUQ655475 UEM655475 UOI655475 UYE655475 VIA655475 VRW655475 WBS655475 WLO655475 WVK655475 C721011 IY721011 SU721011 ACQ721011 AMM721011 AWI721011 BGE721011 BQA721011 BZW721011 CJS721011 CTO721011 DDK721011 DNG721011 DXC721011 EGY721011 EQU721011 FAQ721011 FKM721011 FUI721011 GEE721011 GOA721011 GXW721011 HHS721011 HRO721011 IBK721011 ILG721011 IVC721011 JEY721011 JOU721011 JYQ721011 KIM721011 KSI721011 LCE721011 LMA721011 LVW721011 MFS721011 MPO721011 MZK721011 NJG721011 NTC721011 OCY721011 OMU721011 OWQ721011 PGM721011 PQI721011 QAE721011 QKA721011 QTW721011 RDS721011 RNO721011 RXK721011 SHG721011 SRC721011 TAY721011 TKU721011 TUQ721011 UEM721011 UOI721011 UYE721011 VIA721011 VRW721011 WBS721011 WLO721011 WVK721011 C786547 IY786547 SU786547 ACQ786547 AMM786547 AWI786547 BGE786547 BQA786547 BZW786547 CJS786547 CTO786547 DDK786547 DNG786547 DXC786547 EGY786547 EQU786547 FAQ786547 FKM786547 FUI786547 GEE786547 GOA786547 GXW786547 HHS786547 HRO786547 IBK786547 ILG786547 IVC786547 JEY786547 JOU786547 JYQ786547 KIM786547 KSI786547 LCE786547 LMA786547 LVW786547 MFS786547 MPO786547 MZK786547 NJG786547 NTC786547 OCY786547 OMU786547 OWQ786547 PGM786547 PQI786547 QAE786547 QKA786547 QTW786547 RDS786547 RNO786547 RXK786547 SHG786547 SRC786547 TAY786547 TKU786547 TUQ786547 UEM786547 UOI786547 UYE786547 VIA786547 VRW786547 WBS786547 WLO786547 WVK786547 C852083 IY852083 SU852083 ACQ852083 AMM852083 AWI852083 BGE852083 BQA852083 BZW852083 CJS852083 CTO852083 DDK852083 DNG852083 DXC852083 EGY852083 EQU852083 FAQ852083 FKM852083 FUI852083 GEE852083 GOA852083 GXW852083 HHS852083 HRO852083 IBK852083 ILG852083 IVC852083 JEY852083 JOU852083 JYQ852083 KIM852083 KSI852083 LCE852083 LMA852083 LVW852083 MFS852083 MPO852083 MZK852083 NJG852083 NTC852083 OCY852083 OMU852083 OWQ852083 PGM852083 PQI852083 QAE852083 QKA852083 QTW852083 RDS852083 RNO852083 RXK852083 SHG852083 SRC852083 TAY852083 TKU852083 TUQ852083 UEM852083 UOI852083 UYE852083 VIA852083 VRW852083 WBS852083 WLO852083 WVK852083 C917619 IY917619 SU917619 ACQ917619 AMM917619 AWI917619 BGE917619 BQA917619 BZW917619 CJS917619 CTO917619 DDK917619 DNG917619 DXC917619 EGY917619 EQU917619 FAQ917619 FKM917619 FUI917619 GEE917619 GOA917619 GXW917619 HHS917619 HRO917619 IBK917619 ILG917619 IVC917619 JEY917619 JOU917619 JYQ917619 KIM917619 KSI917619 LCE917619 LMA917619 LVW917619 MFS917619 MPO917619 MZK917619 NJG917619 NTC917619 OCY917619 OMU917619 OWQ917619 PGM917619 PQI917619 QAE917619 QKA917619 QTW917619 RDS917619 RNO917619 RXK917619 SHG917619 SRC917619 TAY917619 TKU917619 TUQ917619 UEM917619 UOI917619 UYE917619 VIA917619 VRW917619 WBS917619 WLO917619 WVK917619 C983155 IY983155 SU983155 ACQ983155 AMM983155 AWI983155 BGE983155 BQA983155 BZW983155 CJS983155 CTO983155 DDK983155 DNG983155 DXC983155 EGY983155 EQU983155 FAQ983155 FKM983155 FUI983155 GEE983155 GOA983155 GXW983155 HHS983155 HRO983155 IBK983155 ILG983155 IVC983155 JEY983155 JOU983155 JYQ983155 KIM983155 KSI983155 LCE983155 LMA983155 LVW983155 MFS983155 MPO983155 MZK983155 NJG983155 NTC983155 OCY983155 OMU983155 OWQ983155 PGM983155 PQI983155 QAE983155 QKA983155 QTW983155 RDS983155 RNO983155 RXK983155 SHG983155 SRC983155 TAY983155 TKU983155 TUQ983155 UEM983155 UOI983155 UYE983155 VIA983155 VRW983155 WBS983155 WLO983155 WVK983155 C121 IY121 SU121 ACQ121 AMM121 AWI121 BGE121 BQA121 BZW121 CJS121 CTO121 DDK121 DNG121 DXC121 EGY121 EQU121 FAQ121 FKM121 FUI121 GEE121 GOA121 GXW121 HHS121 HRO121 IBK121 ILG121 IVC121 JEY121 JOU121 JYQ121 KIM121 KSI121 LCE121 LMA121 LVW121 MFS121 MPO121 MZK121 NJG121 NTC121 OCY121 OMU121 OWQ121 PGM121 PQI121 QAE121 QKA121 QTW121 RDS121 RNO121 RXK121 SHG121 SRC121 TAY121 TKU121 TUQ121 UEM121 UOI121 UYE121 VIA121 VRW121 WBS121 WLO121 WVK121 C65658 IY65658 SU65658 ACQ65658 AMM65658 AWI65658 BGE65658 BQA65658 BZW65658 CJS65658 CTO65658 DDK65658 DNG65658 DXC65658 EGY65658 EQU65658 FAQ65658 FKM65658 FUI65658 GEE65658 GOA65658 GXW65658 HHS65658 HRO65658 IBK65658 ILG65658 IVC65658 JEY65658 JOU65658 JYQ65658 KIM65658 KSI65658 LCE65658 LMA65658 LVW65658 MFS65658 MPO65658 MZK65658 NJG65658 NTC65658 OCY65658 OMU65658 OWQ65658 PGM65658 PQI65658 QAE65658 QKA65658 QTW65658 RDS65658 RNO65658 RXK65658 SHG65658 SRC65658 TAY65658 TKU65658 TUQ65658 UEM65658 UOI65658 UYE65658 VIA65658 VRW65658 WBS65658 WLO65658 WVK65658 C131194 IY131194 SU131194 ACQ131194 AMM131194 AWI131194 BGE131194 BQA131194 BZW131194 CJS131194 CTO131194 DDK131194 DNG131194 DXC131194 EGY131194 EQU131194 FAQ131194 FKM131194 FUI131194 GEE131194 GOA131194 GXW131194 HHS131194 HRO131194 IBK131194 ILG131194 IVC131194 JEY131194 JOU131194 JYQ131194 KIM131194 KSI131194 LCE131194 LMA131194 LVW131194 MFS131194 MPO131194 MZK131194 NJG131194 NTC131194 OCY131194 OMU131194 OWQ131194 PGM131194 PQI131194 QAE131194 QKA131194 QTW131194 RDS131194 RNO131194 RXK131194 SHG131194 SRC131194 TAY131194 TKU131194 TUQ131194 UEM131194 UOI131194 UYE131194 VIA131194 VRW131194 WBS131194 WLO131194 WVK131194 C196730 IY196730 SU196730 ACQ196730 AMM196730 AWI196730 BGE196730 BQA196730 BZW196730 CJS196730 CTO196730 DDK196730 DNG196730 DXC196730 EGY196730 EQU196730 FAQ196730 FKM196730 FUI196730 GEE196730 GOA196730 GXW196730 HHS196730 HRO196730 IBK196730 ILG196730 IVC196730 JEY196730 JOU196730 JYQ196730 KIM196730 KSI196730 LCE196730 LMA196730 LVW196730 MFS196730 MPO196730 MZK196730 NJG196730 NTC196730 OCY196730 OMU196730 OWQ196730 PGM196730 PQI196730 QAE196730 QKA196730 QTW196730 RDS196730 RNO196730 RXK196730 SHG196730 SRC196730 TAY196730 TKU196730 TUQ196730 UEM196730 UOI196730 UYE196730 VIA196730 VRW196730 WBS196730 WLO196730 WVK196730 C262266 IY262266 SU262266 ACQ262266 AMM262266 AWI262266 BGE262266 BQA262266 BZW262266 CJS262266 CTO262266 DDK262266 DNG262266 DXC262266 EGY262266 EQU262266 FAQ262266 FKM262266 FUI262266 GEE262266 GOA262266 GXW262266 HHS262266 HRO262266 IBK262266 ILG262266 IVC262266 JEY262266 JOU262266 JYQ262266 KIM262266 KSI262266 LCE262266 LMA262266 LVW262266 MFS262266 MPO262266 MZK262266 NJG262266 NTC262266 OCY262266 OMU262266 OWQ262266 PGM262266 PQI262266 QAE262266 QKA262266 QTW262266 RDS262266 RNO262266 RXK262266 SHG262266 SRC262266 TAY262266 TKU262266 TUQ262266 UEM262266 UOI262266 UYE262266 VIA262266 VRW262266 WBS262266 WLO262266 WVK262266 C327802 IY327802 SU327802 ACQ327802 AMM327802 AWI327802 BGE327802 BQA327802 BZW327802 CJS327802 CTO327802 DDK327802 DNG327802 DXC327802 EGY327802 EQU327802 FAQ327802 FKM327802 FUI327802 GEE327802 GOA327802 GXW327802 HHS327802 HRO327802 IBK327802 ILG327802 IVC327802 JEY327802 JOU327802 JYQ327802 KIM327802 KSI327802 LCE327802 LMA327802 LVW327802 MFS327802 MPO327802 MZK327802 NJG327802 NTC327802 OCY327802 OMU327802 OWQ327802 PGM327802 PQI327802 QAE327802 QKA327802 QTW327802 RDS327802 RNO327802 RXK327802 SHG327802 SRC327802 TAY327802 TKU327802 TUQ327802 UEM327802 UOI327802 UYE327802 VIA327802 VRW327802 WBS327802 WLO327802 WVK327802 C393338 IY393338 SU393338 ACQ393338 AMM393338 AWI393338 BGE393338 BQA393338 BZW393338 CJS393338 CTO393338 DDK393338 DNG393338 DXC393338 EGY393338 EQU393338 FAQ393338 FKM393338 FUI393338 GEE393338 GOA393338 GXW393338 HHS393338 HRO393338 IBK393338 ILG393338 IVC393338 JEY393338 JOU393338 JYQ393338 KIM393338 KSI393338 LCE393338 LMA393338 LVW393338 MFS393338 MPO393338 MZK393338 NJG393338 NTC393338 OCY393338 OMU393338 OWQ393338 PGM393338 PQI393338 QAE393338 QKA393338 QTW393338 RDS393338 RNO393338 RXK393338 SHG393338 SRC393338 TAY393338 TKU393338 TUQ393338 UEM393338 UOI393338 UYE393338 VIA393338 VRW393338 WBS393338 WLO393338 WVK393338 C458874 IY458874 SU458874 ACQ458874 AMM458874 AWI458874 BGE458874 BQA458874 BZW458874 CJS458874 CTO458874 DDK458874 DNG458874 DXC458874 EGY458874 EQU458874 FAQ458874 FKM458874 FUI458874 GEE458874 GOA458874 GXW458874 HHS458874 HRO458874 IBK458874 ILG458874 IVC458874 JEY458874 JOU458874 JYQ458874 KIM458874 KSI458874 LCE458874 LMA458874 LVW458874 MFS458874 MPO458874 MZK458874 NJG458874 NTC458874 OCY458874 OMU458874 OWQ458874 PGM458874 PQI458874 QAE458874 QKA458874 QTW458874 RDS458874 RNO458874 RXK458874 SHG458874 SRC458874 TAY458874 TKU458874 TUQ458874 UEM458874 UOI458874 UYE458874 VIA458874 VRW458874 WBS458874 WLO458874 WVK458874 C524410 IY524410 SU524410 ACQ524410 AMM524410 AWI524410 BGE524410 BQA524410 BZW524410 CJS524410 CTO524410 DDK524410 DNG524410 DXC524410 EGY524410 EQU524410 FAQ524410 FKM524410 FUI524410 GEE524410 GOA524410 GXW524410 HHS524410 HRO524410 IBK524410 ILG524410 IVC524410 JEY524410 JOU524410 JYQ524410 KIM524410 KSI524410 LCE524410 LMA524410 LVW524410 MFS524410 MPO524410 MZK524410 NJG524410 NTC524410 OCY524410 OMU524410 OWQ524410 PGM524410 PQI524410 QAE524410 QKA524410 QTW524410 RDS524410 RNO524410 RXK524410 SHG524410 SRC524410 TAY524410 TKU524410 TUQ524410 UEM524410 UOI524410 UYE524410 VIA524410 VRW524410 WBS524410 WLO524410 WVK524410 C589946 IY589946 SU589946 ACQ589946 AMM589946 AWI589946 BGE589946 BQA589946 BZW589946 CJS589946 CTO589946 DDK589946 DNG589946 DXC589946 EGY589946 EQU589946 FAQ589946 FKM589946 FUI589946 GEE589946 GOA589946 GXW589946 HHS589946 HRO589946 IBK589946 ILG589946 IVC589946 JEY589946 JOU589946 JYQ589946 KIM589946 KSI589946 LCE589946 LMA589946 LVW589946 MFS589946 MPO589946 MZK589946 NJG589946 NTC589946 OCY589946 OMU589946 OWQ589946 PGM589946 PQI589946 QAE589946 QKA589946 QTW589946 RDS589946 RNO589946 RXK589946 SHG589946 SRC589946 TAY589946 TKU589946 TUQ589946 UEM589946 UOI589946 UYE589946 VIA589946 VRW589946 WBS589946 WLO589946 WVK589946 C655482 IY655482 SU655482 ACQ655482 AMM655482 AWI655482 BGE655482 BQA655482 BZW655482 CJS655482 CTO655482 DDK655482 DNG655482 DXC655482 EGY655482 EQU655482 FAQ655482 FKM655482 FUI655482 GEE655482 GOA655482 GXW655482 HHS655482 HRO655482 IBK655482 ILG655482 IVC655482 JEY655482 JOU655482 JYQ655482 KIM655482 KSI655482 LCE655482 LMA655482 LVW655482 MFS655482 MPO655482 MZK655482 NJG655482 NTC655482 OCY655482 OMU655482 OWQ655482 PGM655482 PQI655482 QAE655482 QKA655482 QTW655482 RDS655482 RNO655482 RXK655482 SHG655482 SRC655482 TAY655482 TKU655482 TUQ655482 UEM655482 UOI655482 UYE655482 VIA655482 VRW655482 WBS655482 WLO655482 WVK655482 C721018 IY721018 SU721018 ACQ721018 AMM721018 AWI721018 BGE721018 BQA721018 BZW721018 CJS721018 CTO721018 DDK721018 DNG721018 DXC721018 EGY721018 EQU721018 FAQ721018 FKM721018 FUI721018 GEE721018 GOA721018 GXW721018 HHS721018 HRO721018 IBK721018 ILG721018 IVC721018 JEY721018 JOU721018 JYQ721018 KIM721018 KSI721018 LCE721018 LMA721018 LVW721018 MFS721018 MPO721018 MZK721018 NJG721018 NTC721018 OCY721018 OMU721018 OWQ721018 PGM721018 PQI721018 QAE721018 QKA721018 QTW721018 RDS721018 RNO721018 RXK721018 SHG721018 SRC721018 TAY721018 TKU721018 TUQ721018 UEM721018 UOI721018 UYE721018 VIA721018 VRW721018 WBS721018 WLO721018 WVK721018 C786554 IY786554 SU786554 ACQ786554 AMM786554 AWI786554 BGE786554 BQA786554 BZW786554 CJS786554 CTO786554 DDK786554 DNG786554 DXC786554 EGY786554 EQU786554 FAQ786554 FKM786554 FUI786554 GEE786554 GOA786554 GXW786554 HHS786554 HRO786554 IBK786554 ILG786554 IVC786554 JEY786554 JOU786554 JYQ786554 KIM786554 KSI786554 LCE786554 LMA786554 LVW786554 MFS786554 MPO786554 MZK786554 NJG786554 NTC786554 OCY786554 OMU786554 OWQ786554 PGM786554 PQI786554 QAE786554 QKA786554 QTW786554 RDS786554 RNO786554 RXK786554 SHG786554 SRC786554 TAY786554 TKU786554 TUQ786554 UEM786554 UOI786554 UYE786554 VIA786554 VRW786554 WBS786554 WLO786554 WVK786554 C852090 IY852090 SU852090 ACQ852090 AMM852090 AWI852090 BGE852090 BQA852090 BZW852090 CJS852090 CTO852090 DDK852090 DNG852090 DXC852090 EGY852090 EQU852090 FAQ852090 FKM852090 FUI852090 GEE852090 GOA852090 GXW852090 HHS852090 HRO852090 IBK852090 ILG852090 IVC852090 JEY852090 JOU852090 JYQ852090 KIM852090 KSI852090 LCE852090 LMA852090 LVW852090 MFS852090 MPO852090 MZK852090 NJG852090 NTC852090 OCY852090 OMU852090 OWQ852090 PGM852090 PQI852090 QAE852090 QKA852090 QTW852090 RDS852090 RNO852090 RXK852090 SHG852090 SRC852090 TAY852090 TKU852090 TUQ852090 UEM852090 UOI852090 UYE852090 VIA852090 VRW852090 WBS852090 WLO852090 WVK852090 C917626 IY917626 SU917626 ACQ917626 AMM917626 AWI917626 BGE917626 BQA917626 BZW917626 CJS917626 CTO917626 DDK917626 DNG917626 DXC917626 EGY917626 EQU917626 FAQ917626 FKM917626 FUI917626 GEE917626 GOA917626 GXW917626 HHS917626 HRO917626 IBK917626 ILG917626 IVC917626 JEY917626 JOU917626 JYQ917626 KIM917626 KSI917626 LCE917626 LMA917626 LVW917626 MFS917626 MPO917626 MZK917626 NJG917626 NTC917626 OCY917626 OMU917626 OWQ917626 PGM917626 PQI917626 QAE917626 QKA917626 QTW917626 RDS917626 RNO917626 RXK917626 SHG917626 SRC917626 TAY917626 TKU917626 TUQ917626 UEM917626 UOI917626 UYE917626 VIA917626 VRW917626 WBS917626 WLO917626 WVK917626 C983162 IY983162 SU983162 ACQ983162 AMM983162 AWI983162 BGE983162 BQA983162 BZW983162 CJS983162 CTO983162 DDK983162 DNG983162 DXC983162 EGY983162 EQU983162 FAQ983162 FKM983162 FUI983162 GEE983162 GOA983162 GXW983162 HHS983162 HRO983162 IBK983162 ILG983162 IVC983162 JEY983162 JOU983162 JYQ983162 KIM983162 KSI983162 LCE983162 LMA983162 LVW983162 MFS983162 MPO983162 MZK983162 NJG983162 NTC983162 OCY983162 OMU983162 OWQ983162 PGM983162 PQI983162 QAE983162 QKA983162 QTW983162 RDS983162 RNO983162 RXK983162 SHG983162 SRC983162 TAY983162 TKU983162 TUQ983162 UEM983162 UOI983162 UYE983162 VIA983162 VRW983162 WBS983162 WLO983162 WVK983162" xr:uid="{E4C43081-B129-4A7D-B52A-6DFD2E0B9D1A}">
      <formula1>$AA$3</formula1>
    </dataValidation>
    <dataValidation type="list" allowBlank="1" showInputMessage="1" showErrorMessage="1" sqref="K7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0 JG65610 TC65610 ACY65610 AMU65610 AWQ65610 BGM65610 BQI65610 CAE65610 CKA65610 CTW65610 DDS65610 DNO65610 DXK65610 EHG65610 ERC65610 FAY65610 FKU65610 FUQ65610 GEM65610 GOI65610 GYE65610 HIA65610 HRW65610 IBS65610 ILO65610 IVK65610 JFG65610 JPC65610 JYY65610 KIU65610 KSQ65610 LCM65610 LMI65610 LWE65610 MGA65610 MPW65610 MZS65610 NJO65610 NTK65610 ODG65610 ONC65610 OWY65610 PGU65610 PQQ65610 QAM65610 QKI65610 QUE65610 REA65610 RNW65610 RXS65610 SHO65610 SRK65610 TBG65610 TLC65610 TUY65610 UEU65610 UOQ65610 UYM65610 VII65610 VSE65610 WCA65610 WLW65610 WVS65610 K131146 JG131146 TC131146 ACY131146 AMU131146 AWQ131146 BGM131146 BQI131146 CAE131146 CKA131146 CTW131146 DDS131146 DNO131146 DXK131146 EHG131146 ERC131146 FAY131146 FKU131146 FUQ131146 GEM131146 GOI131146 GYE131146 HIA131146 HRW131146 IBS131146 ILO131146 IVK131146 JFG131146 JPC131146 JYY131146 KIU131146 KSQ131146 LCM131146 LMI131146 LWE131146 MGA131146 MPW131146 MZS131146 NJO131146 NTK131146 ODG131146 ONC131146 OWY131146 PGU131146 PQQ131146 QAM131146 QKI131146 QUE131146 REA131146 RNW131146 RXS131146 SHO131146 SRK131146 TBG131146 TLC131146 TUY131146 UEU131146 UOQ131146 UYM131146 VII131146 VSE131146 WCA131146 WLW131146 WVS131146 K196682 JG196682 TC196682 ACY196682 AMU196682 AWQ196682 BGM196682 BQI196682 CAE196682 CKA196682 CTW196682 DDS196682 DNO196682 DXK196682 EHG196682 ERC196682 FAY196682 FKU196682 FUQ196682 GEM196682 GOI196682 GYE196682 HIA196682 HRW196682 IBS196682 ILO196682 IVK196682 JFG196682 JPC196682 JYY196682 KIU196682 KSQ196682 LCM196682 LMI196682 LWE196682 MGA196682 MPW196682 MZS196682 NJO196682 NTK196682 ODG196682 ONC196682 OWY196682 PGU196682 PQQ196682 QAM196682 QKI196682 QUE196682 REA196682 RNW196682 RXS196682 SHO196682 SRK196682 TBG196682 TLC196682 TUY196682 UEU196682 UOQ196682 UYM196682 VII196682 VSE196682 WCA196682 WLW196682 WVS196682 K262218 JG262218 TC262218 ACY262218 AMU262218 AWQ262218 BGM262218 BQI262218 CAE262218 CKA262218 CTW262218 DDS262218 DNO262218 DXK262218 EHG262218 ERC262218 FAY262218 FKU262218 FUQ262218 GEM262218 GOI262218 GYE262218 HIA262218 HRW262218 IBS262218 ILO262218 IVK262218 JFG262218 JPC262218 JYY262218 KIU262218 KSQ262218 LCM262218 LMI262218 LWE262218 MGA262218 MPW262218 MZS262218 NJO262218 NTK262218 ODG262218 ONC262218 OWY262218 PGU262218 PQQ262218 QAM262218 QKI262218 QUE262218 REA262218 RNW262218 RXS262218 SHO262218 SRK262218 TBG262218 TLC262218 TUY262218 UEU262218 UOQ262218 UYM262218 VII262218 VSE262218 WCA262218 WLW262218 WVS262218 K327754 JG327754 TC327754 ACY327754 AMU327754 AWQ327754 BGM327754 BQI327754 CAE327754 CKA327754 CTW327754 DDS327754 DNO327754 DXK327754 EHG327754 ERC327754 FAY327754 FKU327754 FUQ327754 GEM327754 GOI327754 GYE327754 HIA327754 HRW327754 IBS327754 ILO327754 IVK327754 JFG327754 JPC327754 JYY327754 KIU327754 KSQ327754 LCM327754 LMI327754 LWE327754 MGA327754 MPW327754 MZS327754 NJO327754 NTK327754 ODG327754 ONC327754 OWY327754 PGU327754 PQQ327754 QAM327754 QKI327754 QUE327754 REA327754 RNW327754 RXS327754 SHO327754 SRK327754 TBG327754 TLC327754 TUY327754 UEU327754 UOQ327754 UYM327754 VII327754 VSE327754 WCA327754 WLW327754 WVS327754 K393290 JG393290 TC393290 ACY393290 AMU393290 AWQ393290 BGM393290 BQI393290 CAE393290 CKA393290 CTW393290 DDS393290 DNO393290 DXK393290 EHG393290 ERC393290 FAY393290 FKU393290 FUQ393290 GEM393290 GOI393290 GYE393290 HIA393290 HRW393290 IBS393290 ILO393290 IVK393290 JFG393290 JPC393290 JYY393290 KIU393290 KSQ393290 LCM393290 LMI393290 LWE393290 MGA393290 MPW393290 MZS393290 NJO393290 NTK393290 ODG393290 ONC393290 OWY393290 PGU393290 PQQ393290 QAM393290 QKI393290 QUE393290 REA393290 RNW393290 RXS393290 SHO393290 SRK393290 TBG393290 TLC393290 TUY393290 UEU393290 UOQ393290 UYM393290 VII393290 VSE393290 WCA393290 WLW393290 WVS393290 K458826 JG458826 TC458826 ACY458826 AMU458826 AWQ458826 BGM458826 BQI458826 CAE458826 CKA458826 CTW458826 DDS458826 DNO458826 DXK458826 EHG458826 ERC458826 FAY458826 FKU458826 FUQ458826 GEM458826 GOI458826 GYE458826 HIA458826 HRW458826 IBS458826 ILO458826 IVK458826 JFG458826 JPC458826 JYY458826 KIU458826 KSQ458826 LCM458826 LMI458826 LWE458826 MGA458826 MPW458826 MZS458826 NJO458826 NTK458826 ODG458826 ONC458826 OWY458826 PGU458826 PQQ458826 QAM458826 QKI458826 QUE458826 REA458826 RNW458826 RXS458826 SHO458826 SRK458826 TBG458826 TLC458826 TUY458826 UEU458826 UOQ458826 UYM458826 VII458826 VSE458826 WCA458826 WLW458826 WVS458826 K524362 JG524362 TC524362 ACY524362 AMU524362 AWQ524362 BGM524362 BQI524362 CAE524362 CKA524362 CTW524362 DDS524362 DNO524362 DXK524362 EHG524362 ERC524362 FAY524362 FKU524362 FUQ524362 GEM524362 GOI524362 GYE524362 HIA524362 HRW524362 IBS524362 ILO524362 IVK524362 JFG524362 JPC524362 JYY524362 KIU524362 KSQ524362 LCM524362 LMI524362 LWE524362 MGA524362 MPW524362 MZS524362 NJO524362 NTK524362 ODG524362 ONC524362 OWY524362 PGU524362 PQQ524362 QAM524362 QKI524362 QUE524362 REA524362 RNW524362 RXS524362 SHO524362 SRK524362 TBG524362 TLC524362 TUY524362 UEU524362 UOQ524362 UYM524362 VII524362 VSE524362 WCA524362 WLW524362 WVS524362 K589898 JG589898 TC589898 ACY589898 AMU589898 AWQ589898 BGM589898 BQI589898 CAE589898 CKA589898 CTW589898 DDS589898 DNO589898 DXK589898 EHG589898 ERC589898 FAY589898 FKU589898 FUQ589898 GEM589898 GOI589898 GYE589898 HIA589898 HRW589898 IBS589898 ILO589898 IVK589898 JFG589898 JPC589898 JYY589898 KIU589898 KSQ589898 LCM589898 LMI589898 LWE589898 MGA589898 MPW589898 MZS589898 NJO589898 NTK589898 ODG589898 ONC589898 OWY589898 PGU589898 PQQ589898 QAM589898 QKI589898 QUE589898 REA589898 RNW589898 RXS589898 SHO589898 SRK589898 TBG589898 TLC589898 TUY589898 UEU589898 UOQ589898 UYM589898 VII589898 VSE589898 WCA589898 WLW589898 WVS589898 K655434 JG655434 TC655434 ACY655434 AMU655434 AWQ655434 BGM655434 BQI655434 CAE655434 CKA655434 CTW655434 DDS655434 DNO655434 DXK655434 EHG655434 ERC655434 FAY655434 FKU655434 FUQ655434 GEM655434 GOI655434 GYE655434 HIA655434 HRW655434 IBS655434 ILO655434 IVK655434 JFG655434 JPC655434 JYY655434 KIU655434 KSQ655434 LCM655434 LMI655434 LWE655434 MGA655434 MPW655434 MZS655434 NJO655434 NTK655434 ODG655434 ONC655434 OWY655434 PGU655434 PQQ655434 QAM655434 QKI655434 QUE655434 REA655434 RNW655434 RXS655434 SHO655434 SRK655434 TBG655434 TLC655434 TUY655434 UEU655434 UOQ655434 UYM655434 VII655434 VSE655434 WCA655434 WLW655434 WVS655434 K720970 JG720970 TC720970 ACY720970 AMU720970 AWQ720970 BGM720970 BQI720970 CAE720970 CKA720970 CTW720970 DDS720970 DNO720970 DXK720970 EHG720970 ERC720970 FAY720970 FKU720970 FUQ720970 GEM720970 GOI720970 GYE720970 HIA720970 HRW720970 IBS720970 ILO720970 IVK720970 JFG720970 JPC720970 JYY720970 KIU720970 KSQ720970 LCM720970 LMI720970 LWE720970 MGA720970 MPW720970 MZS720970 NJO720970 NTK720970 ODG720970 ONC720970 OWY720970 PGU720970 PQQ720970 QAM720970 QKI720970 QUE720970 REA720970 RNW720970 RXS720970 SHO720970 SRK720970 TBG720970 TLC720970 TUY720970 UEU720970 UOQ720970 UYM720970 VII720970 VSE720970 WCA720970 WLW720970 WVS720970 K786506 JG786506 TC786506 ACY786506 AMU786506 AWQ786506 BGM786506 BQI786506 CAE786506 CKA786506 CTW786506 DDS786506 DNO786506 DXK786506 EHG786506 ERC786506 FAY786506 FKU786506 FUQ786506 GEM786506 GOI786506 GYE786506 HIA786506 HRW786506 IBS786506 ILO786506 IVK786506 JFG786506 JPC786506 JYY786506 KIU786506 KSQ786506 LCM786506 LMI786506 LWE786506 MGA786506 MPW786506 MZS786506 NJO786506 NTK786506 ODG786506 ONC786506 OWY786506 PGU786506 PQQ786506 QAM786506 QKI786506 QUE786506 REA786506 RNW786506 RXS786506 SHO786506 SRK786506 TBG786506 TLC786506 TUY786506 UEU786506 UOQ786506 UYM786506 VII786506 VSE786506 WCA786506 WLW786506 WVS786506 K852042 JG852042 TC852042 ACY852042 AMU852042 AWQ852042 BGM852042 BQI852042 CAE852042 CKA852042 CTW852042 DDS852042 DNO852042 DXK852042 EHG852042 ERC852042 FAY852042 FKU852042 FUQ852042 GEM852042 GOI852042 GYE852042 HIA852042 HRW852042 IBS852042 ILO852042 IVK852042 JFG852042 JPC852042 JYY852042 KIU852042 KSQ852042 LCM852042 LMI852042 LWE852042 MGA852042 MPW852042 MZS852042 NJO852042 NTK852042 ODG852042 ONC852042 OWY852042 PGU852042 PQQ852042 QAM852042 QKI852042 QUE852042 REA852042 RNW852042 RXS852042 SHO852042 SRK852042 TBG852042 TLC852042 TUY852042 UEU852042 UOQ852042 UYM852042 VII852042 VSE852042 WCA852042 WLW852042 WVS852042 K917578 JG917578 TC917578 ACY917578 AMU917578 AWQ917578 BGM917578 BQI917578 CAE917578 CKA917578 CTW917578 DDS917578 DNO917578 DXK917578 EHG917578 ERC917578 FAY917578 FKU917578 FUQ917578 GEM917578 GOI917578 GYE917578 HIA917578 HRW917578 IBS917578 ILO917578 IVK917578 JFG917578 JPC917578 JYY917578 KIU917578 KSQ917578 LCM917578 LMI917578 LWE917578 MGA917578 MPW917578 MZS917578 NJO917578 NTK917578 ODG917578 ONC917578 OWY917578 PGU917578 PQQ917578 QAM917578 QKI917578 QUE917578 REA917578 RNW917578 RXS917578 SHO917578 SRK917578 TBG917578 TLC917578 TUY917578 UEU917578 UOQ917578 UYM917578 VII917578 VSE917578 WCA917578 WLW917578 WVS917578 K983114 JG983114 TC983114 ACY983114 AMU983114 AWQ983114 BGM983114 BQI983114 CAE983114 CKA983114 CTW983114 DDS983114 DNO983114 DXK983114 EHG983114 ERC983114 FAY983114 FKU983114 FUQ983114 GEM983114 GOI983114 GYE983114 HIA983114 HRW983114 IBS983114 ILO983114 IVK983114 JFG983114 JPC983114 JYY983114 KIU983114 KSQ983114 LCM983114 LMI983114 LWE983114 MGA983114 MPW983114 MZS983114 NJO983114 NTK983114 ODG983114 ONC983114 OWY983114 PGU983114 PQQ983114 QAM983114 QKI983114 QUE983114 REA983114 RNW983114 RXS983114 SHO983114 SRK983114 TBG983114 TLC983114 TUY983114 UEU983114 UOQ983114 UYM983114 VII983114 VSE983114 WCA983114 WLW983114 WVS983114" xr:uid="{D845E47C-03D6-4B40-9621-749FEA2BAB8C}">
      <formula1>$AM$64:$AM$69</formula1>
    </dataValidation>
    <dataValidation type="list" allowBlank="1" showInputMessage="1" showErrorMessage="1" sqref="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xr:uid="{CC980186-7262-4580-BFAC-D60D548F0E15}">
      <formula1>$AN$64:$AN$66</formula1>
    </dataValidation>
    <dataValidation type="list" allowBlank="1" showInputMessage="1" showErrorMessage="1" sqref="O127:P127 JK127:JL127 TG127:TH127 ADC127:ADD127 AMY127:AMZ127 AWU127:AWV127 BGQ127:BGR127 BQM127:BQN127 CAI127:CAJ127 CKE127:CKF127 CUA127:CUB127 DDW127:DDX127 DNS127:DNT127 DXO127:DXP127 EHK127:EHL127 ERG127:ERH127 FBC127:FBD127 FKY127:FKZ127 FUU127:FUV127 GEQ127:GER127 GOM127:GON127 GYI127:GYJ127 HIE127:HIF127 HSA127:HSB127 IBW127:IBX127 ILS127:ILT127 IVO127:IVP127 JFK127:JFL127 JPG127:JPH127 JZC127:JZD127 KIY127:KIZ127 KSU127:KSV127 LCQ127:LCR127 LMM127:LMN127 LWI127:LWJ127 MGE127:MGF127 MQA127:MQB127 MZW127:MZX127 NJS127:NJT127 NTO127:NTP127 ODK127:ODL127 ONG127:ONH127 OXC127:OXD127 PGY127:PGZ127 PQU127:PQV127 QAQ127:QAR127 QKM127:QKN127 QUI127:QUJ127 REE127:REF127 ROA127:ROB127 RXW127:RXX127 SHS127:SHT127 SRO127:SRP127 TBK127:TBL127 TLG127:TLH127 TVC127:TVD127 UEY127:UEZ127 UOU127:UOV127 UYQ127:UYR127 VIM127:VIN127 VSI127:VSJ127 WCE127:WCF127 WMA127:WMB127 WVW127:WVX127 O65664:P65664 JK65664:JL65664 TG65664:TH65664 ADC65664:ADD65664 AMY65664:AMZ65664 AWU65664:AWV65664 BGQ65664:BGR65664 BQM65664:BQN65664 CAI65664:CAJ65664 CKE65664:CKF65664 CUA65664:CUB65664 DDW65664:DDX65664 DNS65664:DNT65664 DXO65664:DXP65664 EHK65664:EHL65664 ERG65664:ERH65664 FBC65664:FBD65664 FKY65664:FKZ65664 FUU65664:FUV65664 GEQ65664:GER65664 GOM65664:GON65664 GYI65664:GYJ65664 HIE65664:HIF65664 HSA65664:HSB65664 IBW65664:IBX65664 ILS65664:ILT65664 IVO65664:IVP65664 JFK65664:JFL65664 JPG65664:JPH65664 JZC65664:JZD65664 KIY65664:KIZ65664 KSU65664:KSV65664 LCQ65664:LCR65664 LMM65664:LMN65664 LWI65664:LWJ65664 MGE65664:MGF65664 MQA65664:MQB65664 MZW65664:MZX65664 NJS65664:NJT65664 NTO65664:NTP65664 ODK65664:ODL65664 ONG65664:ONH65664 OXC65664:OXD65664 PGY65664:PGZ65664 PQU65664:PQV65664 QAQ65664:QAR65664 QKM65664:QKN65664 QUI65664:QUJ65664 REE65664:REF65664 ROA65664:ROB65664 RXW65664:RXX65664 SHS65664:SHT65664 SRO65664:SRP65664 TBK65664:TBL65664 TLG65664:TLH65664 TVC65664:TVD65664 UEY65664:UEZ65664 UOU65664:UOV65664 UYQ65664:UYR65664 VIM65664:VIN65664 VSI65664:VSJ65664 WCE65664:WCF65664 WMA65664:WMB65664 WVW65664:WVX65664 O131200:P131200 JK131200:JL131200 TG131200:TH131200 ADC131200:ADD131200 AMY131200:AMZ131200 AWU131200:AWV131200 BGQ131200:BGR131200 BQM131200:BQN131200 CAI131200:CAJ131200 CKE131200:CKF131200 CUA131200:CUB131200 DDW131200:DDX131200 DNS131200:DNT131200 DXO131200:DXP131200 EHK131200:EHL131200 ERG131200:ERH131200 FBC131200:FBD131200 FKY131200:FKZ131200 FUU131200:FUV131200 GEQ131200:GER131200 GOM131200:GON131200 GYI131200:GYJ131200 HIE131200:HIF131200 HSA131200:HSB131200 IBW131200:IBX131200 ILS131200:ILT131200 IVO131200:IVP131200 JFK131200:JFL131200 JPG131200:JPH131200 JZC131200:JZD131200 KIY131200:KIZ131200 KSU131200:KSV131200 LCQ131200:LCR131200 LMM131200:LMN131200 LWI131200:LWJ131200 MGE131200:MGF131200 MQA131200:MQB131200 MZW131200:MZX131200 NJS131200:NJT131200 NTO131200:NTP131200 ODK131200:ODL131200 ONG131200:ONH131200 OXC131200:OXD131200 PGY131200:PGZ131200 PQU131200:PQV131200 QAQ131200:QAR131200 QKM131200:QKN131200 QUI131200:QUJ131200 REE131200:REF131200 ROA131200:ROB131200 RXW131200:RXX131200 SHS131200:SHT131200 SRO131200:SRP131200 TBK131200:TBL131200 TLG131200:TLH131200 TVC131200:TVD131200 UEY131200:UEZ131200 UOU131200:UOV131200 UYQ131200:UYR131200 VIM131200:VIN131200 VSI131200:VSJ131200 WCE131200:WCF131200 WMA131200:WMB131200 WVW131200:WVX131200 O196736:P196736 JK196736:JL196736 TG196736:TH196736 ADC196736:ADD196736 AMY196736:AMZ196736 AWU196736:AWV196736 BGQ196736:BGR196736 BQM196736:BQN196736 CAI196736:CAJ196736 CKE196736:CKF196736 CUA196736:CUB196736 DDW196736:DDX196736 DNS196736:DNT196736 DXO196736:DXP196736 EHK196736:EHL196736 ERG196736:ERH196736 FBC196736:FBD196736 FKY196736:FKZ196736 FUU196736:FUV196736 GEQ196736:GER196736 GOM196736:GON196736 GYI196736:GYJ196736 HIE196736:HIF196736 HSA196736:HSB196736 IBW196736:IBX196736 ILS196736:ILT196736 IVO196736:IVP196736 JFK196736:JFL196736 JPG196736:JPH196736 JZC196736:JZD196736 KIY196736:KIZ196736 KSU196736:KSV196736 LCQ196736:LCR196736 LMM196736:LMN196736 LWI196736:LWJ196736 MGE196736:MGF196736 MQA196736:MQB196736 MZW196736:MZX196736 NJS196736:NJT196736 NTO196736:NTP196736 ODK196736:ODL196736 ONG196736:ONH196736 OXC196736:OXD196736 PGY196736:PGZ196736 PQU196736:PQV196736 QAQ196736:QAR196736 QKM196736:QKN196736 QUI196736:QUJ196736 REE196736:REF196736 ROA196736:ROB196736 RXW196736:RXX196736 SHS196736:SHT196736 SRO196736:SRP196736 TBK196736:TBL196736 TLG196736:TLH196736 TVC196736:TVD196736 UEY196736:UEZ196736 UOU196736:UOV196736 UYQ196736:UYR196736 VIM196736:VIN196736 VSI196736:VSJ196736 WCE196736:WCF196736 WMA196736:WMB196736 WVW196736:WVX196736 O262272:P262272 JK262272:JL262272 TG262272:TH262272 ADC262272:ADD262272 AMY262272:AMZ262272 AWU262272:AWV262272 BGQ262272:BGR262272 BQM262272:BQN262272 CAI262272:CAJ262272 CKE262272:CKF262272 CUA262272:CUB262272 DDW262272:DDX262272 DNS262272:DNT262272 DXO262272:DXP262272 EHK262272:EHL262272 ERG262272:ERH262272 FBC262272:FBD262272 FKY262272:FKZ262272 FUU262272:FUV262272 GEQ262272:GER262272 GOM262272:GON262272 GYI262272:GYJ262272 HIE262272:HIF262272 HSA262272:HSB262272 IBW262272:IBX262272 ILS262272:ILT262272 IVO262272:IVP262272 JFK262272:JFL262272 JPG262272:JPH262272 JZC262272:JZD262272 KIY262272:KIZ262272 KSU262272:KSV262272 LCQ262272:LCR262272 LMM262272:LMN262272 LWI262272:LWJ262272 MGE262272:MGF262272 MQA262272:MQB262272 MZW262272:MZX262272 NJS262272:NJT262272 NTO262272:NTP262272 ODK262272:ODL262272 ONG262272:ONH262272 OXC262272:OXD262272 PGY262272:PGZ262272 PQU262272:PQV262272 QAQ262272:QAR262272 QKM262272:QKN262272 QUI262272:QUJ262272 REE262272:REF262272 ROA262272:ROB262272 RXW262272:RXX262272 SHS262272:SHT262272 SRO262272:SRP262272 TBK262272:TBL262272 TLG262272:TLH262272 TVC262272:TVD262272 UEY262272:UEZ262272 UOU262272:UOV262272 UYQ262272:UYR262272 VIM262272:VIN262272 VSI262272:VSJ262272 WCE262272:WCF262272 WMA262272:WMB262272 WVW262272:WVX262272 O327808:P327808 JK327808:JL327808 TG327808:TH327808 ADC327808:ADD327808 AMY327808:AMZ327808 AWU327808:AWV327808 BGQ327808:BGR327808 BQM327808:BQN327808 CAI327808:CAJ327808 CKE327808:CKF327808 CUA327808:CUB327808 DDW327808:DDX327808 DNS327808:DNT327808 DXO327808:DXP327808 EHK327808:EHL327808 ERG327808:ERH327808 FBC327808:FBD327808 FKY327808:FKZ327808 FUU327808:FUV327808 GEQ327808:GER327808 GOM327808:GON327808 GYI327808:GYJ327808 HIE327808:HIF327808 HSA327808:HSB327808 IBW327808:IBX327808 ILS327808:ILT327808 IVO327808:IVP327808 JFK327808:JFL327808 JPG327808:JPH327808 JZC327808:JZD327808 KIY327808:KIZ327808 KSU327808:KSV327808 LCQ327808:LCR327808 LMM327808:LMN327808 LWI327808:LWJ327808 MGE327808:MGF327808 MQA327808:MQB327808 MZW327808:MZX327808 NJS327808:NJT327808 NTO327808:NTP327808 ODK327808:ODL327808 ONG327808:ONH327808 OXC327808:OXD327808 PGY327808:PGZ327808 PQU327808:PQV327808 QAQ327808:QAR327808 QKM327808:QKN327808 QUI327808:QUJ327808 REE327808:REF327808 ROA327808:ROB327808 RXW327808:RXX327808 SHS327808:SHT327808 SRO327808:SRP327808 TBK327808:TBL327808 TLG327808:TLH327808 TVC327808:TVD327808 UEY327808:UEZ327808 UOU327808:UOV327808 UYQ327808:UYR327808 VIM327808:VIN327808 VSI327808:VSJ327808 WCE327808:WCF327808 WMA327808:WMB327808 WVW327808:WVX327808 O393344:P393344 JK393344:JL393344 TG393344:TH393344 ADC393344:ADD393344 AMY393344:AMZ393344 AWU393344:AWV393344 BGQ393344:BGR393344 BQM393344:BQN393344 CAI393344:CAJ393344 CKE393344:CKF393344 CUA393344:CUB393344 DDW393344:DDX393344 DNS393344:DNT393344 DXO393344:DXP393344 EHK393344:EHL393344 ERG393344:ERH393344 FBC393344:FBD393344 FKY393344:FKZ393344 FUU393344:FUV393344 GEQ393344:GER393344 GOM393344:GON393344 GYI393344:GYJ393344 HIE393344:HIF393344 HSA393344:HSB393344 IBW393344:IBX393344 ILS393344:ILT393344 IVO393344:IVP393344 JFK393344:JFL393344 JPG393344:JPH393344 JZC393344:JZD393344 KIY393344:KIZ393344 KSU393344:KSV393344 LCQ393344:LCR393344 LMM393344:LMN393344 LWI393344:LWJ393344 MGE393344:MGF393344 MQA393344:MQB393344 MZW393344:MZX393344 NJS393344:NJT393344 NTO393344:NTP393344 ODK393344:ODL393344 ONG393344:ONH393344 OXC393344:OXD393344 PGY393344:PGZ393344 PQU393344:PQV393344 QAQ393344:QAR393344 QKM393344:QKN393344 QUI393344:QUJ393344 REE393344:REF393344 ROA393344:ROB393344 RXW393344:RXX393344 SHS393344:SHT393344 SRO393344:SRP393344 TBK393344:TBL393344 TLG393344:TLH393344 TVC393344:TVD393344 UEY393344:UEZ393344 UOU393344:UOV393344 UYQ393344:UYR393344 VIM393344:VIN393344 VSI393344:VSJ393344 WCE393344:WCF393344 WMA393344:WMB393344 WVW393344:WVX393344 O458880:P458880 JK458880:JL458880 TG458880:TH458880 ADC458880:ADD458880 AMY458880:AMZ458880 AWU458880:AWV458880 BGQ458880:BGR458880 BQM458880:BQN458880 CAI458880:CAJ458880 CKE458880:CKF458880 CUA458880:CUB458880 DDW458880:DDX458880 DNS458880:DNT458880 DXO458880:DXP458880 EHK458880:EHL458880 ERG458880:ERH458880 FBC458880:FBD458880 FKY458880:FKZ458880 FUU458880:FUV458880 GEQ458880:GER458880 GOM458880:GON458880 GYI458880:GYJ458880 HIE458880:HIF458880 HSA458880:HSB458880 IBW458880:IBX458880 ILS458880:ILT458880 IVO458880:IVP458880 JFK458880:JFL458880 JPG458880:JPH458880 JZC458880:JZD458880 KIY458880:KIZ458880 KSU458880:KSV458880 LCQ458880:LCR458880 LMM458880:LMN458880 LWI458880:LWJ458880 MGE458880:MGF458880 MQA458880:MQB458880 MZW458880:MZX458880 NJS458880:NJT458880 NTO458880:NTP458880 ODK458880:ODL458880 ONG458880:ONH458880 OXC458880:OXD458880 PGY458880:PGZ458880 PQU458880:PQV458880 QAQ458880:QAR458880 QKM458880:QKN458880 QUI458880:QUJ458880 REE458880:REF458880 ROA458880:ROB458880 RXW458880:RXX458880 SHS458880:SHT458880 SRO458880:SRP458880 TBK458880:TBL458880 TLG458880:TLH458880 TVC458880:TVD458880 UEY458880:UEZ458880 UOU458880:UOV458880 UYQ458880:UYR458880 VIM458880:VIN458880 VSI458880:VSJ458880 WCE458880:WCF458880 WMA458880:WMB458880 WVW458880:WVX458880 O524416:P524416 JK524416:JL524416 TG524416:TH524416 ADC524416:ADD524416 AMY524416:AMZ524416 AWU524416:AWV524416 BGQ524416:BGR524416 BQM524416:BQN524416 CAI524416:CAJ524416 CKE524416:CKF524416 CUA524416:CUB524416 DDW524416:DDX524416 DNS524416:DNT524416 DXO524416:DXP524416 EHK524416:EHL524416 ERG524416:ERH524416 FBC524416:FBD524416 FKY524416:FKZ524416 FUU524416:FUV524416 GEQ524416:GER524416 GOM524416:GON524416 GYI524416:GYJ524416 HIE524416:HIF524416 HSA524416:HSB524416 IBW524416:IBX524416 ILS524416:ILT524416 IVO524416:IVP524416 JFK524416:JFL524416 JPG524416:JPH524416 JZC524416:JZD524416 KIY524416:KIZ524416 KSU524416:KSV524416 LCQ524416:LCR524416 LMM524416:LMN524416 LWI524416:LWJ524416 MGE524416:MGF524416 MQA524416:MQB524416 MZW524416:MZX524416 NJS524416:NJT524416 NTO524416:NTP524416 ODK524416:ODL524416 ONG524416:ONH524416 OXC524416:OXD524416 PGY524416:PGZ524416 PQU524416:PQV524416 QAQ524416:QAR524416 QKM524416:QKN524416 QUI524416:QUJ524416 REE524416:REF524416 ROA524416:ROB524416 RXW524416:RXX524416 SHS524416:SHT524416 SRO524416:SRP524416 TBK524416:TBL524416 TLG524416:TLH524416 TVC524416:TVD524416 UEY524416:UEZ524416 UOU524416:UOV524416 UYQ524416:UYR524416 VIM524416:VIN524416 VSI524416:VSJ524416 WCE524416:WCF524416 WMA524416:WMB524416 WVW524416:WVX524416 O589952:P589952 JK589952:JL589952 TG589952:TH589952 ADC589952:ADD589952 AMY589952:AMZ589952 AWU589952:AWV589952 BGQ589952:BGR589952 BQM589952:BQN589952 CAI589952:CAJ589952 CKE589952:CKF589952 CUA589952:CUB589952 DDW589952:DDX589952 DNS589952:DNT589952 DXO589952:DXP589952 EHK589952:EHL589952 ERG589952:ERH589952 FBC589952:FBD589952 FKY589952:FKZ589952 FUU589952:FUV589952 GEQ589952:GER589952 GOM589952:GON589952 GYI589952:GYJ589952 HIE589952:HIF589952 HSA589952:HSB589952 IBW589952:IBX589952 ILS589952:ILT589952 IVO589952:IVP589952 JFK589952:JFL589952 JPG589952:JPH589952 JZC589952:JZD589952 KIY589952:KIZ589952 KSU589952:KSV589952 LCQ589952:LCR589952 LMM589952:LMN589952 LWI589952:LWJ589952 MGE589952:MGF589952 MQA589952:MQB589952 MZW589952:MZX589952 NJS589952:NJT589952 NTO589952:NTP589952 ODK589952:ODL589952 ONG589952:ONH589952 OXC589952:OXD589952 PGY589952:PGZ589952 PQU589952:PQV589952 QAQ589952:QAR589952 QKM589952:QKN589952 QUI589952:QUJ589952 REE589952:REF589952 ROA589952:ROB589952 RXW589952:RXX589952 SHS589952:SHT589952 SRO589952:SRP589952 TBK589952:TBL589952 TLG589952:TLH589952 TVC589952:TVD589952 UEY589952:UEZ589952 UOU589952:UOV589952 UYQ589952:UYR589952 VIM589952:VIN589952 VSI589952:VSJ589952 WCE589952:WCF589952 WMA589952:WMB589952 WVW589952:WVX589952 O655488:P655488 JK655488:JL655488 TG655488:TH655488 ADC655488:ADD655488 AMY655488:AMZ655488 AWU655488:AWV655488 BGQ655488:BGR655488 BQM655488:BQN655488 CAI655488:CAJ655488 CKE655488:CKF655488 CUA655488:CUB655488 DDW655488:DDX655488 DNS655488:DNT655488 DXO655488:DXP655488 EHK655488:EHL655488 ERG655488:ERH655488 FBC655488:FBD655488 FKY655488:FKZ655488 FUU655488:FUV655488 GEQ655488:GER655488 GOM655488:GON655488 GYI655488:GYJ655488 HIE655488:HIF655488 HSA655488:HSB655488 IBW655488:IBX655488 ILS655488:ILT655488 IVO655488:IVP655488 JFK655488:JFL655488 JPG655488:JPH655488 JZC655488:JZD655488 KIY655488:KIZ655488 KSU655488:KSV655488 LCQ655488:LCR655488 LMM655488:LMN655488 LWI655488:LWJ655488 MGE655488:MGF655488 MQA655488:MQB655488 MZW655488:MZX655488 NJS655488:NJT655488 NTO655488:NTP655488 ODK655488:ODL655488 ONG655488:ONH655488 OXC655488:OXD655488 PGY655488:PGZ655488 PQU655488:PQV655488 QAQ655488:QAR655488 QKM655488:QKN655488 QUI655488:QUJ655488 REE655488:REF655488 ROA655488:ROB655488 RXW655488:RXX655488 SHS655488:SHT655488 SRO655488:SRP655488 TBK655488:TBL655488 TLG655488:TLH655488 TVC655488:TVD655488 UEY655488:UEZ655488 UOU655488:UOV655488 UYQ655488:UYR655488 VIM655488:VIN655488 VSI655488:VSJ655488 WCE655488:WCF655488 WMA655488:WMB655488 WVW655488:WVX655488 O721024:P721024 JK721024:JL721024 TG721024:TH721024 ADC721024:ADD721024 AMY721024:AMZ721024 AWU721024:AWV721024 BGQ721024:BGR721024 BQM721024:BQN721024 CAI721024:CAJ721024 CKE721024:CKF721024 CUA721024:CUB721024 DDW721024:DDX721024 DNS721024:DNT721024 DXO721024:DXP721024 EHK721024:EHL721024 ERG721024:ERH721024 FBC721024:FBD721024 FKY721024:FKZ721024 FUU721024:FUV721024 GEQ721024:GER721024 GOM721024:GON721024 GYI721024:GYJ721024 HIE721024:HIF721024 HSA721024:HSB721024 IBW721024:IBX721024 ILS721024:ILT721024 IVO721024:IVP721024 JFK721024:JFL721024 JPG721024:JPH721024 JZC721024:JZD721024 KIY721024:KIZ721024 KSU721024:KSV721024 LCQ721024:LCR721024 LMM721024:LMN721024 LWI721024:LWJ721024 MGE721024:MGF721024 MQA721024:MQB721024 MZW721024:MZX721024 NJS721024:NJT721024 NTO721024:NTP721024 ODK721024:ODL721024 ONG721024:ONH721024 OXC721024:OXD721024 PGY721024:PGZ721024 PQU721024:PQV721024 QAQ721024:QAR721024 QKM721024:QKN721024 QUI721024:QUJ721024 REE721024:REF721024 ROA721024:ROB721024 RXW721024:RXX721024 SHS721024:SHT721024 SRO721024:SRP721024 TBK721024:TBL721024 TLG721024:TLH721024 TVC721024:TVD721024 UEY721024:UEZ721024 UOU721024:UOV721024 UYQ721024:UYR721024 VIM721024:VIN721024 VSI721024:VSJ721024 WCE721024:WCF721024 WMA721024:WMB721024 WVW721024:WVX721024 O786560:P786560 JK786560:JL786560 TG786560:TH786560 ADC786560:ADD786560 AMY786560:AMZ786560 AWU786560:AWV786560 BGQ786560:BGR786560 BQM786560:BQN786560 CAI786560:CAJ786560 CKE786560:CKF786560 CUA786560:CUB786560 DDW786560:DDX786560 DNS786560:DNT786560 DXO786560:DXP786560 EHK786560:EHL786560 ERG786560:ERH786560 FBC786560:FBD786560 FKY786560:FKZ786560 FUU786560:FUV786560 GEQ786560:GER786560 GOM786560:GON786560 GYI786560:GYJ786560 HIE786560:HIF786560 HSA786560:HSB786560 IBW786560:IBX786560 ILS786560:ILT786560 IVO786560:IVP786560 JFK786560:JFL786560 JPG786560:JPH786560 JZC786560:JZD786560 KIY786560:KIZ786560 KSU786560:KSV786560 LCQ786560:LCR786560 LMM786560:LMN786560 LWI786560:LWJ786560 MGE786560:MGF786560 MQA786560:MQB786560 MZW786560:MZX786560 NJS786560:NJT786560 NTO786560:NTP786560 ODK786560:ODL786560 ONG786560:ONH786560 OXC786560:OXD786560 PGY786560:PGZ786560 PQU786560:PQV786560 QAQ786560:QAR786560 QKM786560:QKN786560 QUI786560:QUJ786560 REE786560:REF786560 ROA786560:ROB786560 RXW786560:RXX786560 SHS786560:SHT786560 SRO786560:SRP786560 TBK786560:TBL786560 TLG786560:TLH786560 TVC786560:TVD786560 UEY786560:UEZ786560 UOU786560:UOV786560 UYQ786560:UYR786560 VIM786560:VIN786560 VSI786560:VSJ786560 WCE786560:WCF786560 WMA786560:WMB786560 WVW786560:WVX786560 O852096:P852096 JK852096:JL852096 TG852096:TH852096 ADC852096:ADD852096 AMY852096:AMZ852096 AWU852096:AWV852096 BGQ852096:BGR852096 BQM852096:BQN852096 CAI852096:CAJ852096 CKE852096:CKF852096 CUA852096:CUB852096 DDW852096:DDX852096 DNS852096:DNT852096 DXO852096:DXP852096 EHK852096:EHL852096 ERG852096:ERH852096 FBC852096:FBD852096 FKY852096:FKZ852096 FUU852096:FUV852096 GEQ852096:GER852096 GOM852096:GON852096 GYI852096:GYJ852096 HIE852096:HIF852096 HSA852096:HSB852096 IBW852096:IBX852096 ILS852096:ILT852096 IVO852096:IVP852096 JFK852096:JFL852096 JPG852096:JPH852096 JZC852096:JZD852096 KIY852096:KIZ852096 KSU852096:KSV852096 LCQ852096:LCR852096 LMM852096:LMN852096 LWI852096:LWJ852096 MGE852096:MGF852096 MQA852096:MQB852096 MZW852096:MZX852096 NJS852096:NJT852096 NTO852096:NTP852096 ODK852096:ODL852096 ONG852096:ONH852096 OXC852096:OXD852096 PGY852096:PGZ852096 PQU852096:PQV852096 QAQ852096:QAR852096 QKM852096:QKN852096 QUI852096:QUJ852096 REE852096:REF852096 ROA852096:ROB852096 RXW852096:RXX852096 SHS852096:SHT852096 SRO852096:SRP852096 TBK852096:TBL852096 TLG852096:TLH852096 TVC852096:TVD852096 UEY852096:UEZ852096 UOU852096:UOV852096 UYQ852096:UYR852096 VIM852096:VIN852096 VSI852096:VSJ852096 WCE852096:WCF852096 WMA852096:WMB852096 WVW852096:WVX852096 O917632:P917632 JK917632:JL917632 TG917632:TH917632 ADC917632:ADD917632 AMY917632:AMZ917632 AWU917632:AWV917632 BGQ917632:BGR917632 BQM917632:BQN917632 CAI917632:CAJ917632 CKE917632:CKF917632 CUA917632:CUB917632 DDW917632:DDX917632 DNS917632:DNT917632 DXO917632:DXP917632 EHK917632:EHL917632 ERG917632:ERH917632 FBC917632:FBD917632 FKY917632:FKZ917632 FUU917632:FUV917632 GEQ917632:GER917632 GOM917632:GON917632 GYI917632:GYJ917632 HIE917632:HIF917632 HSA917632:HSB917632 IBW917632:IBX917632 ILS917632:ILT917632 IVO917632:IVP917632 JFK917632:JFL917632 JPG917632:JPH917632 JZC917632:JZD917632 KIY917632:KIZ917632 KSU917632:KSV917632 LCQ917632:LCR917632 LMM917632:LMN917632 LWI917632:LWJ917632 MGE917632:MGF917632 MQA917632:MQB917632 MZW917632:MZX917632 NJS917632:NJT917632 NTO917632:NTP917632 ODK917632:ODL917632 ONG917632:ONH917632 OXC917632:OXD917632 PGY917632:PGZ917632 PQU917632:PQV917632 QAQ917632:QAR917632 QKM917632:QKN917632 QUI917632:QUJ917632 REE917632:REF917632 ROA917632:ROB917632 RXW917632:RXX917632 SHS917632:SHT917632 SRO917632:SRP917632 TBK917632:TBL917632 TLG917632:TLH917632 TVC917632:TVD917632 UEY917632:UEZ917632 UOU917632:UOV917632 UYQ917632:UYR917632 VIM917632:VIN917632 VSI917632:VSJ917632 WCE917632:WCF917632 WMA917632:WMB917632 WVW917632:WVX917632 O983168:P983168 JK983168:JL983168 TG983168:TH983168 ADC983168:ADD983168 AMY983168:AMZ983168 AWU983168:AWV983168 BGQ983168:BGR983168 BQM983168:BQN983168 CAI983168:CAJ983168 CKE983168:CKF983168 CUA983168:CUB983168 DDW983168:DDX983168 DNS983168:DNT983168 DXO983168:DXP983168 EHK983168:EHL983168 ERG983168:ERH983168 FBC983168:FBD983168 FKY983168:FKZ983168 FUU983168:FUV983168 GEQ983168:GER983168 GOM983168:GON983168 GYI983168:GYJ983168 HIE983168:HIF983168 HSA983168:HSB983168 IBW983168:IBX983168 ILS983168:ILT983168 IVO983168:IVP983168 JFK983168:JFL983168 JPG983168:JPH983168 JZC983168:JZD983168 KIY983168:KIZ983168 KSU983168:KSV983168 LCQ983168:LCR983168 LMM983168:LMN983168 LWI983168:LWJ983168 MGE983168:MGF983168 MQA983168:MQB983168 MZW983168:MZX983168 NJS983168:NJT983168 NTO983168:NTP983168 ODK983168:ODL983168 ONG983168:ONH983168 OXC983168:OXD983168 PGY983168:PGZ983168 PQU983168:PQV983168 QAQ983168:QAR983168 QKM983168:QKN983168 QUI983168:QUJ983168 REE983168:REF983168 ROA983168:ROB983168 RXW983168:RXX983168 SHS983168:SHT983168 SRO983168:SRP983168 TBK983168:TBL983168 TLG983168:TLH983168 TVC983168:TVD983168 UEY983168:UEZ983168 UOU983168:UOV983168 UYQ983168:UYR983168 VIM983168:VIN983168 VSI983168:VSJ983168 WCE983168:WCF983168 WMA983168:WMB983168 WVW983168:WVX983168" xr:uid="{CF1C7931-E17C-42E2-98BB-FD4CCB857E9C}">
      <formula1>$AM$127:$AM$129</formula1>
    </dataValidation>
    <dataValidation type="list" allowBlank="1" showInputMessage="1" showErrorMessage="1" sqref="P160:Q160" xr:uid="{BBAADAD8-4FAB-444C-8DCB-39BD2C5E6697}">
      <formula1>"○,×"</formula1>
    </dataValidation>
  </dataValidations>
  <printOptions horizontalCentered="1"/>
  <pageMargins left="0.23622047244094491" right="0.23622047244094491" top="0.74803149606299213" bottom="0.74803149606299213" header="0.31496062992125984" footer="0.31496062992125984"/>
  <pageSetup paperSize="9" scale="20" orientation="landscape" blackAndWhite="1" errors="blank" r:id="rId1"/>
  <headerFooter alignWithMargins="0"/>
  <rowBreaks count="3" manualBreakCount="3">
    <brk id="53" max="24" man="1"/>
    <brk id="71" max="24" man="1"/>
    <brk id="122" max="24" man="1"/>
  </rowBreaks>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7"/>
  </sheetPr>
  <dimension ref="A1:AW267"/>
  <sheetViews>
    <sheetView showGridLines="0" view="pageBreakPreview" zoomScaleNormal="100" zoomScaleSheetLayoutView="100" workbookViewId="0">
      <pane xSplit="9" ySplit="4" topLeftCell="J5" activePane="bottomRight" state="frozen"/>
      <selection pane="bottomRight" activeCell="N6" sqref="N6:X6"/>
      <selection pane="bottomLeft" activeCell="N6" sqref="N6:X6"/>
      <selection pane="topRight" activeCell="N6" sqref="N6:X6"/>
    </sheetView>
  </sheetViews>
  <sheetFormatPr defaultColWidth="9" defaultRowHeight="13.5" customHeight="1"/>
  <cols>
    <col min="1" max="1" width="3.5" style="451" hidden="1" customWidth="1"/>
    <col min="2" max="2" width="6.625" style="451" customWidth="1"/>
    <col min="3" max="3" width="6.5" style="451" customWidth="1"/>
    <col min="4" max="4" width="11.375" style="456" customWidth="1"/>
    <col min="5" max="5" width="12.75" style="451" customWidth="1"/>
    <col min="6" max="6" width="11.375" style="456" customWidth="1"/>
    <col min="7" max="7" width="12.75" style="451" customWidth="1"/>
    <col min="8" max="8" width="7.25" style="454" customWidth="1"/>
    <col min="9" max="9" width="10.625" style="454" customWidth="1"/>
    <col min="10" max="10" width="7.25" style="455" customWidth="1"/>
    <col min="11" max="11" width="10.5" style="451" customWidth="1"/>
    <col min="12" max="12" width="7.25" style="455" customWidth="1"/>
    <col min="13" max="13" width="10.5" style="451" customWidth="1"/>
    <col min="14" max="15" width="17.625" style="454" customWidth="1"/>
    <col min="16" max="16" width="7" style="454" hidden="1" customWidth="1"/>
    <col min="17" max="17" width="6.5" style="454" hidden="1" customWidth="1"/>
    <col min="18" max="22" width="7.125" style="451" hidden="1" customWidth="1"/>
    <col min="23" max="31" width="10.625" style="451" hidden="1" customWidth="1"/>
    <col min="32" max="32" width="12.25" style="453" customWidth="1"/>
    <col min="33" max="33" width="10.625" style="453" customWidth="1"/>
    <col min="34" max="34" width="13" style="453" customWidth="1"/>
    <col min="35" max="35" width="12.625" style="453" customWidth="1"/>
    <col min="36" max="36" width="12" style="453" customWidth="1"/>
    <col min="37" max="37" width="11.625" style="453" customWidth="1"/>
    <col min="38" max="38" width="12.875" style="453" customWidth="1"/>
    <col min="39" max="39" width="13.5" style="453" customWidth="1"/>
    <col min="40" max="41" width="11.75" style="453" customWidth="1"/>
    <col min="42" max="42" width="9" style="451"/>
    <col min="43" max="43" width="9" style="452"/>
    <col min="44" max="44" width="10.125" style="451" bestFit="1" customWidth="1"/>
    <col min="45" max="45" width="9" style="451"/>
    <col min="46" max="47" width="10.125" style="451" bestFit="1" customWidth="1"/>
    <col min="48" max="16384" width="9" style="451"/>
  </cols>
  <sheetData>
    <row r="1" spans="1:44" ht="30" customHeight="1">
      <c r="C1" s="540" t="s">
        <v>764</v>
      </c>
      <c r="R1" s="454"/>
      <c r="S1" s="454"/>
      <c r="T1" s="454"/>
      <c r="U1" s="454"/>
      <c r="V1" s="454"/>
      <c r="W1" s="454"/>
      <c r="X1" s="454"/>
      <c r="Y1" s="454"/>
      <c r="Z1" s="454"/>
      <c r="AA1" s="454"/>
      <c r="AB1" s="454"/>
      <c r="AC1" s="454"/>
      <c r="AD1" s="454"/>
      <c r="AE1" s="454"/>
      <c r="AF1" s="539"/>
      <c r="AG1" s="539"/>
      <c r="AH1" s="539"/>
      <c r="AI1" s="539"/>
      <c r="AJ1" s="539"/>
      <c r="AK1" s="539"/>
      <c r="AL1" s="539"/>
      <c r="AM1" s="539"/>
    </row>
    <row r="2" spans="1:44" s="533" customFormat="1" ht="29.25" customHeight="1" thickBot="1">
      <c r="C2" s="538" t="s">
        <v>765</v>
      </c>
      <c r="D2" s="1426" t="s">
        <v>766</v>
      </c>
      <c r="E2" s="1427"/>
      <c r="F2" s="1426" t="s">
        <v>766</v>
      </c>
      <c r="G2" s="1427"/>
      <c r="H2" s="537" t="s">
        <v>767</v>
      </c>
      <c r="I2" s="536"/>
      <c r="J2" s="1428" t="s">
        <v>768</v>
      </c>
      <c r="K2" s="1429"/>
      <c r="L2" s="1428" t="s">
        <v>768</v>
      </c>
      <c r="M2" s="1429"/>
      <c r="N2" s="537" t="s">
        <v>769</v>
      </c>
      <c r="O2" s="537" t="s">
        <v>770</v>
      </c>
      <c r="P2" s="536"/>
      <c r="Q2" s="536"/>
      <c r="R2" s="536"/>
      <c r="S2" s="536"/>
      <c r="T2" s="536"/>
      <c r="U2" s="536"/>
      <c r="V2" s="536"/>
      <c r="W2" s="536"/>
      <c r="X2" s="536"/>
      <c r="Y2" s="536"/>
      <c r="Z2" s="536"/>
      <c r="AA2" s="536"/>
      <c r="AB2" s="536"/>
      <c r="AC2" s="536"/>
      <c r="AD2" s="536"/>
      <c r="AE2" s="536"/>
      <c r="AF2" s="536"/>
      <c r="AG2" s="536"/>
      <c r="AH2" s="536"/>
      <c r="AI2" s="536"/>
      <c r="AJ2" s="536"/>
      <c r="AK2" s="536"/>
      <c r="AL2" s="537" t="s">
        <v>771</v>
      </c>
      <c r="AM2" s="536"/>
      <c r="AN2" s="535" t="s">
        <v>772</v>
      </c>
      <c r="AO2" s="535"/>
      <c r="AQ2" s="534"/>
    </row>
    <row r="3" spans="1:44" ht="34.5" customHeight="1">
      <c r="A3" s="1438" t="s">
        <v>773</v>
      </c>
      <c r="B3" s="1439" t="s">
        <v>774</v>
      </c>
      <c r="C3" s="1440" t="s">
        <v>775</v>
      </c>
      <c r="D3" s="1432" t="s">
        <v>776</v>
      </c>
      <c r="E3" s="1433"/>
      <c r="F3" s="1432" t="s">
        <v>777</v>
      </c>
      <c r="G3" s="1433"/>
      <c r="H3" s="1430" t="s">
        <v>778</v>
      </c>
      <c r="I3" s="1424" t="s">
        <v>679</v>
      </c>
      <c r="J3" s="1432" t="s">
        <v>779</v>
      </c>
      <c r="K3" s="1433"/>
      <c r="L3" s="1434" t="s">
        <v>780</v>
      </c>
      <c r="M3" s="1433"/>
      <c r="N3" s="1435" t="s">
        <v>781</v>
      </c>
      <c r="O3" s="1436" t="s">
        <v>782</v>
      </c>
      <c r="P3" s="1424" t="s">
        <v>783</v>
      </c>
      <c r="Q3" s="532" t="s">
        <v>784</v>
      </c>
      <c r="R3" s="1417" t="s">
        <v>785</v>
      </c>
      <c r="S3" s="1418"/>
      <c r="T3" s="1418"/>
      <c r="U3" s="1419"/>
      <c r="V3" s="1420" t="s">
        <v>786</v>
      </c>
      <c r="W3" s="1417" t="s">
        <v>787</v>
      </c>
      <c r="X3" s="1418"/>
      <c r="Y3" s="1418"/>
      <c r="Z3" s="1418"/>
      <c r="AA3" s="1418"/>
      <c r="AB3" s="1418"/>
      <c r="AC3" s="1418"/>
      <c r="AD3" s="1418"/>
      <c r="AE3" s="1422"/>
      <c r="AF3" s="1423" t="s">
        <v>788</v>
      </c>
      <c r="AG3" s="1418"/>
      <c r="AH3" s="1418"/>
      <c r="AI3" s="1418"/>
      <c r="AJ3" s="1418"/>
      <c r="AK3" s="1418"/>
      <c r="AL3" s="1418"/>
      <c r="AM3" s="1422"/>
      <c r="AN3" s="531"/>
      <c r="AO3" s="531"/>
      <c r="AQ3" s="530"/>
    </row>
    <row r="4" spans="1:44" ht="34.5" customHeight="1">
      <c r="A4" s="1438"/>
      <c r="B4" s="1439"/>
      <c r="C4" s="1441"/>
      <c r="D4" s="529" t="s">
        <v>789</v>
      </c>
      <c r="E4" s="527" t="s">
        <v>790</v>
      </c>
      <c r="F4" s="529"/>
      <c r="G4" s="527" t="s">
        <v>791</v>
      </c>
      <c r="H4" s="1431"/>
      <c r="I4" s="1425"/>
      <c r="J4" s="528" t="s">
        <v>789</v>
      </c>
      <c r="K4" s="527" t="s">
        <v>790</v>
      </c>
      <c r="L4" s="528"/>
      <c r="M4" s="527" t="s">
        <v>791</v>
      </c>
      <c r="N4" s="1431"/>
      <c r="O4" s="1437"/>
      <c r="P4" s="1425"/>
      <c r="Q4" s="526" t="s">
        <v>792</v>
      </c>
      <c r="R4" s="525" t="s">
        <v>793</v>
      </c>
      <c r="S4" s="524" t="s">
        <v>794</v>
      </c>
      <c r="T4" s="524" t="s">
        <v>795</v>
      </c>
      <c r="U4" s="523" t="s">
        <v>796</v>
      </c>
      <c r="V4" s="1421"/>
      <c r="W4" s="522" t="s">
        <v>797</v>
      </c>
      <c r="X4" s="522" t="s">
        <v>798</v>
      </c>
      <c r="Y4" s="522" t="s">
        <v>799</v>
      </c>
      <c r="Z4" s="522" t="s">
        <v>800</v>
      </c>
      <c r="AA4" s="522" t="s">
        <v>801</v>
      </c>
      <c r="AB4" s="522" t="s">
        <v>802</v>
      </c>
      <c r="AC4" s="522" t="s">
        <v>803</v>
      </c>
      <c r="AD4" s="522" t="s">
        <v>804</v>
      </c>
      <c r="AE4" s="521" t="s">
        <v>805</v>
      </c>
      <c r="AF4" s="520" t="s">
        <v>806</v>
      </c>
      <c r="AG4" s="519" t="s">
        <v>807</v>
      </c>
      <c r="AH4" s="517" t="s">
        <v>808</v>
      </c>
      <c r="AI4" s="518" t="s">
        <v>809</v>
      </c>
      <c r="AJ4" s="517" t="s">
        <v>810</v>
      </c>
      <c r="AK4" s="516" t="s">
        <v>811</v>
      </c>
      <c r="AL4" s="516" t="s">
        <v>812</v>
      </c>
      <c r="AM4" s="515" t="s">
        <v>813</v>
      </c>
      <c r="AN4" s="514" t="s">
        <v>814</v>
      </c>
      <c r="AO4" s="582" t="s">
        <v>815</v>
      </c>
      <c r="AQ4" s="513"/>
    </row>
    <row r="5" spans="1:44" s="484" customFormat="1" ht="13.5" customHeight="1">
      <c r="A5" s="484">
        <v>1</v>
      </c>
      <c r="B5" s="483" t="str">
        <f>IFERROR(VLOOKUP(C5,[1]Sheet1!$B$6:$C$52,2,0),"")</f>
        <v/>
      </c>
      <c r="C5" s="496"/>
      <c r="D5" s="495"/>
      <c r="E5" s="555"/>
      <c r="F5" s="495"/>
      <c r="G5" s="555" t="str">
        <f>CONCATENATE(F5,E5)</f>
        <v/>
      </c>
      <c r="H5" s="480">
        <f>第2号様式!G9</f>
        <v>0</v>
      </c>
      <c r="I5" s="480">
        <f>第2号様式!G8</f>
        <v>0</v>
      </c>
      <c r="J5" s="512" t="str">
        <f>第2号様式!H3</f>
        <v>年　　　月　　　日</v>
      </c>
      <c r="K5" s="480" t="str">
        <f>第2号様式!H2</f>
        <v>番　　　　　　　号</v>
      </c>
      <c r="L5" s="572" t="str">
        <f>TEXT(J5,"[$-ja-JP]ggge年m月d日")</f>
        <v>年　　　月　　　日</v>
      </c>
      <c r="M5" s="555" t="str">
        <f>CONCATENATE(L5,K5)</f>
        <v>年　　　月　　　日番　　　　　　　号</v>
      </c>
      <c r="N5" s="480" t="e">
        <f>O5</f>
        <v>#REF!</v>
      </c>
      <c r="O5" s="480" t="e">
        <f>#REF!</f>
        <v>#REF!</v>
      </c>
      <c r="P5" s="480"/>
      <c r="Q5" s="480"/>
      <c r="R5" s="451"/>
      <c r="S5" s="451"/>
      <c r="T5" s="451"/>
      <c r="U5" s="451"/>
      <c r="V5" s="451"/>
      <c r="W5" s="451"/>
      <c r="X5" s="451"/>
      <c r="Y5" s="451"/>
      <c r="Z5" s="451"/>
      <c r="AA5" s="451"/>
      <c r="AB5" s="451"/>
      <c r="AC5" s="451"/>
      <c r="AD5" s="451"/>
      <c r="AE5" s="451"/>
      <c r="AF5" s="501" t="e">
        <f>#REF!</f>
        <v>#REF!</v>
      </c>
      <c r="AG5" s="492" t="e">
        <f>#REF!</f>
        <v>#REF!</v>
      </c>
      <c r="AH5" s="489" t="e">
        <f t="shared" ref="AH5:AH68" si="0">AF5-AG5</f>
        <v>#REF!</v>
      </c>
      <c r="AI5" s="491" t="e">
        <f>#REF!</f>
        <v>#REF!</v>
      </c>
      <c r="AJ5" s="490" t="e">
        <f>#REF!</f>
        <v>#REF!</v>
      </c>
      <c r="AK5" s="489" t="e">
        <f t="shared" ref="AK5:AK68" si="1">MIN(AI5,AJ5)</f>
        <v>#REF!</v>
      </c>
      <c r="AL5" s="489" t="e">
        <f t="shared" ref="AL5:AL68" si="2">MIN(AH5,AK5)</f>
        <v>#REF!</v>
      </c>
      <c r="AM5" s="488" t="e">
        <f>ROUNDDOWN(AL5,-3)</f>
        <v>#REF!</v>
      </c>
      <c r="AN5" s="500" t="e">
        <f t="shared" ref="AN5:AN68" si="3">ROUNDUP(AM5*$AM$261,-3)</f>
        <v>#REF!</v>
      </c>
      <c r="AO5" s="500"/>
      <c r="AP5" s="451"/>
      <c r="AQ5" s="452"/>
      <c r="AR5" s="451"/>
    </row>
    <row r="6" spans="1:44" s="484" customFormat="1" ht="13.5" customHeight="1">
      <c r="A6" s="484">
        <v>2</v>
      </c>
      <c r="B6" s="483" t="str">
        <f>IFERROR(VLOOKUP(C6,[1]Sheet1!$B$6:$C$52,2,0),"")</f>
        <v/>
      </c>
      <c r="C6" s="496"/>
      <c r="D6" s="495"/>
      <c r="E6" s="494"/>
      <c r="F6" s="495"/>
      <c r="G6" s="494"/>
      <c r="H6" s="480"/>
      <c r="I6" s="480"/>
      <c r="J6" s="512"/>
      <c r="K6" s="480"/>
      <c r="L6" s="495"/>
      <c r="M6" s="494"/>
      <c r="N6" s="480"/>
      <c r="O6" s="480"/>
      <c r="P6" s="480"/>
      <c r="Q6" s="480"/>
      <c r="R6" s="451"/>
      <c r="S6" s="451"/>
      <c r="T6" s="451"/>
      <c r="U6" s="451"/>
      <c r="V6" s="451"/>
      <c r="W6" s="451"/>
      <c r="X6" s="451"/>
      <c r="Y6" s="451"/>
      <c r="Z6" s="451"/>
      <c r="AA6" s="451"/>
      <c r="AB6" s="451"/>
      <c r="AC6" s="451"/>
      <c r="AD6" s="451"/>
      <c r="AE6" s="451"/>
      <c r="AF6" s="501"/>
      <c r="AG6" s="492"/>
      <c r="AH6" s="489">
        <f t="shared" si="0"/>
        <v>0</v>
      </c>
      <c r="AI6" s="491"/>
      <c r="AJ6" s="490"/>
      <c r="AK6" s="489">
        <f t="shared" si="1"/>
        <v>0</v>
      </c>
      <c r="AL6" s="489">
        <f t="shared" si="2"/>
        <v>0</v>
      </c>
      <c r="AM6" s="488">
        <f t="shared" ref="AM6:AM69" si="4">ROUNDDOWN(AL6,-3)</f>
        <v>0</v>
      </c>
      <c r="AN6" s="500">
        <f t="shared" si="3"/>
        <v>0</v>
      </c>
      <c r="AO6" s="500"/>
      <c r="AP6" s="451"/>
      <c r="AQ6" s="452"/>
      <c r="AR6" s="451"/>
    </row>
    <row r="7" spans="1:44" s="484" customFormat="1" ht="13.5" hidden="1" customHeight="1">
      <c r="A7" s="484">
        <v>3</v>
      </c>
      <c r="B7" s="483" t="str">
        <f>IFERROR(VLOOKUP(C7,[1]Sheet1!$B$6:$C$52,2,0),"")</f>
        <v/>
      </c>
      <c r="C7" s="496"/>
      <c r="D7" s="495"/>
      <c r="E7" s="494"/>
      <c r="F7" s="495"/>
      <c r="G7" s="494"/>
      <c r="H7" s="480"/>
      <c r="I7" s="480"/>
      <c r="J7" s="512"/>
      <c r="K7" s="480"/>
      <c r="L7" s="495"/>
      <c r="M7" s="494"/>
      <c r="N7" s="480"/>
      <c r="O7" s="480"/>
      <c r="P7" s="480"/>
      <c r="Q7" s="480"/>
      <c r="R7" s="451"/>
      <c r="S7" s="451"/>
      <c r="T7" s="451"/>
      <c r="U7" s="451"/>
      <c r="V7" s="451"/>
      <c r="W7" s="451"/>
      <c r="X7" s="451"/>
      <c r="Y7" s="451"/>
      <c r="Z7" s="451"/>
      <c r="AA7" s="451"/>
      <c r="AB7" s="451"/>
      <c r="AC7" s="451"/>
      <c r="AD7" s="451"/>
      <c r="AE7" s="451"/>
      <c r="AF7" s="501"/>
      <c r="AG7" s="492"/>
      <c r="AH7" s="489">
        <f t="shared" si="0"/>
        <v>0</v>
      </c>
      <c r="AI7" s="491"/>
      <c r="AJ7" s="490"/>
      <c r="AK7" s="489">
        <f t="shared" si="1"/>
        <v>0</v>
      </c>
      <c r="AL7" s="489">
        <f>MIN(AH7,AK7)</f>
        <v>0</v>
      </c>
      <c r="AM7" s="488">
        <f t="shared" si="4"/>
        <v>0</v>
      </c>
      <c r="AN7" s="500">
        <f t="shared" si="3"/>
        <v>0</v>
      </c>
      <c r="AO7" s="500"/>
      <c r="AP7" s="451"/>
      <c r="AQ7" s="452"/>
      <c r="AR7" s="451"/>
    </row>
    <row r="8" spans="1:44" s="484" customFormat="1" ht="13.5" hidden="1" customHeight="1">
      <c r="A8" s="484">
        <v>4</v>
      </c>
      <c r="B8" s="483" t="str">
        <f>IFERROR(VLOOKUP(C8,[1]Sheet1!$B$6:$C$52,2,0),"")</f>
        <v/>
      </c>
      <c r="C8" s="496"/>
      <c r="D8" s="495"/>
      <c r="E8" s="494"/>
      <c r="F8" s="495"/>
      <c r="G8" s="494"/>
      <c r="H8" s="480"/>
      <c r="I8" s="480"/>
      <c r="J8" s="512"/>
      <c r="K8" s="480"/>
      <c r="L8" s="495"/>
      <c r="M8" s="494"/>
      <c r="N8" s="480"/>
      <c r="O8" s="480"/>
      <c r="P8" s="480"/>
      <c r="Q8" s="480"/>
      <c r="R8" s="451"/>
      <c r="S8" s="451"/>
      <c r="T8" s="451"/>
      <c r="U8" s="451"/>
      <c r="V8" s="451"/>
      <c r="W8" s="451"/>
      <c r="X8" s="451"/>
      <c r="Y8" s="451"/>
      <c r="Z8" s="451"/>
      <c r="AA8" s="451"/>
      <c r="AB8" s="451"/>
      <c r="AC8" s="451"/>
      <c r="AD8" s="451"/>
      <c r="AE8" s="451"/>
      <c r="AF8" s="501"/>
      <c r="AG8" s="492"/>
      <c r="AH8" s="489">
        <f t="shared" si="0"/>
        <v>0</v>
      </c>
      <c r="AI8" s="491"/>
      <c r="AJ8" s="490"/>
      <c r="AK8" s="489">
        <f t="shared" si="1"/>
        <v>0</v>
      </c>
      <c r="AL8" s="489">
        <f t="shared" si="2"/>
        <v>0</v>
      </c>
      <c r="AM8" s="488">
        <f t="shared" si="4"/>
        <v>0</v>
      </c>
      <c r="AN8" s="500">
        <f t="shared" si="3"/>
        <v>0</v>
      </c>
      <c r="AO8" s="500"/>
      <c r="AP8" s="451"/>
      <c r="AQ8" s="452"/>
      <c r="AR8" s="451"/>
    </row>
    <row r="9" spans="1:44" s="484" customFormat="1" ht="13.5" hidden="1" customHeight="1">
      <c r="A9" s="484">
        <v>5</v>
      </c>
      <c r="B9" s="483" t="str">
        <f>IFERROR(VLOOKUP(C9,[1]Sheet1!$B$6:$C$52,2,0),"")</f>
        <v/>
      </c>
      <c r="C9" s="496"/>
      <c r="D9" s="495"/>
      <c r="E9" s="494"/>
      <c r="F9" s="495"/>
      <c r="G9" s="494"/>
      <c r="H9" s="480"/>
      <c r="I9" s="480"/>
      <c r="J9" s="512"/>
      <c r="K9" s="480"/>
      <c r="L9" s="495"/>
      <c r="M9" s="494"/>
      <c r="N9" s="480"/>
      <c r="O9" s="480"/>
      <c r="P9" s="480"/>
      <c r="Q9" s="480"/>
      <c r="R9" s="451"/>
      <c r="S9" s="451"/>
      <c r="T9" s="451"/>
      <c r="U9" s="451"/>
      <c r="V9" s="451"/>
      <c r="W9" s="451"/>
      <c r="X9" s="451"/>
      <c r="Y9" s="451"/>
      <c r="Z9" s="451"/>
      <c r="AA9" s="451"/>
      <c r="AB9" s="451"/>
      <c r="AC9" s="451"/>
      <c r="AD9" s="451"/>
      <c r="AE9" s="451"/>
      <c r="AF9" s="501"/>
      <c r="AG9" s="492"/>
      <c r="AH9" s="489">
        <f t="shared" si="0"/>
        <v>0</v>
      </c>
      <c r="AI9" s="491"/>
      <c r="AJ9" s="490"/>
      <c r="AK9" s="489">
        <f t="shared" si="1"/>
        <v>0</v>
      </c>
      <c r="AL9" s="489">
        <f t="shared" si="2"/>
        <v>0</v>
      </c>
      <c r="AM9" s="488">
        <f t="shared" si="4"/>
        <v>0</v>
      </c>
      <c r="AN9" s="500">
        <f t="shared" si="3"/>
        <v>0</v>
      </c>
      <c r="AO9" s="500"/>
      <c r="AP9" s="451"/>
      <c r="AQ9" s="452"/>
      <c r="AR9" s="451"/>
    </row>
    <row r="10" spans="1:44" s="484" customFormat="1" ht="13.5" hidden="1" customHeight="1">
      <c r="A10" s="484">
        <v>6</v>
      </c>
      <c r="B10" s="483" t="str">
        <f>IFERROR(VLOOKUP(C10,[1]Sheet1!$B$6:$C$52,2,0),"")</f>
        <v/>
      </c>
      <c r="C10" s="496"/>
      <c r="D10" s="495"/>
      <c r="E10" s="494"/>
      <c r="F10" s="495"/>
      <c r="G10" s="494"/>
      <c r="H10" s="480"/>
      <c r="I10" s="480"/>
      <c r="J10" s="512"/>
      <c r="K10" s="480"/>
      <c r="L10" s="495"/>
      <c r="M10" s="494"/>
      <c r="N10" s="480"/>
      <c r="O10" s="480"/>
      <c r="P10" s="480"/>
      <c r="Q10" s="480"/>
      <c r="R10" s="451"/>
      <c r="S10" s="451"/>
      <c r="T10" s="451"/>
      <c r="U10" s="451"/>
      <c r="V10" s="451"/>
      <c r="W10" s="451"/>
      <c r="X10" s="451"/>
      <c r="Y10" s="451"/>
      <c r="Z10" s="451"/>
      <c r="AA10" s="451"/>
      <c r="AB10" s="451"/>
      <c r="AC10" s="451"/>
      <c r="AD10" s="451"/>
      <c r="AE10" s="451"/>
      <c r="AF10" s="501"/>
      <c r="AG10" s="492"/>
      <c r="AH10" s="489">
        <f t="shared" si="0"/>
        <v>0</v>
      </c>
      <c r="AI10" s="491"/>
      <c r="AJ10" s="490"/>
      <c r="AK10" s="489">
        <f t="shared" si="1"/>
        <v>0</v>
      </c>
      <c r="AL10" s="489">
        <f t="shared" si="2"/>
        <v>0</v>
      </c>
      <c r="AM10" s="488">
        <f t="shared" si="4"/>
        <v>0</v>
      </c>
      <c r="AN10" s="500">
        <f t="shared" si="3"/>
        <v>0</v>
      </c>
      <c r="AO10" s="500"/>
      <c r="AP10" s="451"/>
      <c r="AQ10" s="452"/>
      <c r="AR10" s="451"/>
    </row>
    <row r="11" spans="1:44" s="484" customFormat="1" ht="13.5" hidden="1" customHeight="1">
      <c r="A11" s="484">
        <v>7</v>
      </c>
      <c r="B11" s="483" t="str">
        <f>IFERROR(VLOOKUP(C11,[1]Sheet1!$B$6:$C$52,2,0),"")</f>
        <v/>
      </c>
      <c r="C11" s="496"/>
      <c r="D11" s="495"/>
      <c r="E11" s="494"/>
      <c r="F11" s="495"/>
      <c r="G11" s="494"/>
      <c r="H11" s="480"/>
      <c r="I11" s="480"/>
      <c r="J11" s="512"/>
      <c r="K11" s="480"/>
      <c r="L11" s="495"/>
      <c r="M11" s="494"/>
      <c r="N11" s="480"/>
      <c r="O11" s="480"/>
      <c r="P11" s="480"/>
      <c r="Q11" s="480"/>
      <c r="R11" s="451"/>
      <c r="S11" s="451"/>
      <c r="T11" s="451"/>
      <c r="U11" s="451"/>
      <c r="V11" s="451"/>
      <c r="W11" s="451"/>
      <c r="X11" s="451"/>
      <c r="Y11" s="451"/>
      <c r="Z11" s="451"/>
      <c r="AA11" s="451"/>
      <c r="AB11" s="451"/>
      <c r="AC11" s="451"/>
      <c r="AD11" s="451"/>
      <c r="AE11" s="451"/>
      <c r="AF11" s="501"/>
      <c r="AG11" s="492"/>
      <c r="AH11" s="489">
        <f t="shared" si="0"/>
        <v>0</v>
      </c>
      <c r="AI11" s="491"/>
      <c r="AJ11" s="490"/>
      <c r="AK11" s="489">
        <f t="shared" si="1"/>
        <v>0</v>
      </c>
      <c r="AL11" s="489">
        <f t="shared" si="2"/>
        <v>0</v>
      </c>
      <c r="AM11" s="488">
        <f t="shared" si="4"/>
        <v>0</v>
      </c>
      <c r="AN11" s="500">
        <f t="shared" si="3"/>
        <v>0</v>
      </c>
      <c r="AO11" s="500"/>
      <c r="AP11" s="451"/>
      <c r="AQ11" s="452"/>
      <c r="AR11" s="451"/>
    </row>
    <row r="12" spans="1:44" s="484" customFormat="1" ht="13.5" hidden="1" customHeight="1">
      <c r="A12" s="484">
        <v>8</v>
      </c>
      <c r="B12" s="483" t="str">
        <f>IFERROR(VLOOKUP(C12,[1]Sheet1!$B$6:$C$52,2,0),"")</f>
        <v/>
      </c>
      <c r="C12" s="496"/>
      <c r="D12" s="495"/>
      <c r="E12" s="494"/>
      <c r="F12" s="495"/>
      <c r="G12" s="494"/>
      <c r="H12" s="480"/>
      <c r="I12" s="480"/>
      <c r="J12" s="512"/>
      <c r="K12" s="480"/>
      <c r="L12" s="495"/>
      <c r="M12" s="494"/>
      <c r="N12" s="480"/>
      <c r="O12" s="480"/>
      <c r="P12" s="480"/>
      <c r="Q12" s="480"/>
      <c r="R12" s="451"/>
      <c r="S12" s="451"/>
      <c r="T12" s="451"/>
      <c r="U12" s="451"/>
      <c r="V12" s="451"/>
      <c r="W12" s="451"/>
      <c r="X12" s="451"/>
      <c r="Y12" s="451"/>
      <c r="Z12" s="451"/>
      <c r="AA12" s="451"/>
      <c r="AB12" s="451"/>
      <c r="AC12" s="451"/>
      <c r="AD12" s="451"/>
      <c r="AE12" s="451"/>
      <c r="AF12" s="501"/>
      <c r="AG12" s="492"/>
      <c r="AH12" s="489">
        <f t="shared" si="0"/>
        <v>0</v>
      </c>
      <c r="AI12" s="491"/>
      <c r="AJ12" s="490"/>
      <c r="AK12" s="489">
        <f t="shared" si="1"/>
        <v>0</v>
      </c>
      <c r="AL12" s="489">
        <f t="shared" si="2"/>
        <v>0</v>
      </c>
      <c r="AM12" s="488">
        <f t="shared" si="4"/>
        <v>0</v>
      </c>
      <c r="AN12" s="500">
        <f t="shared" si="3"/>
        <v>0</v>
      </c>
      <c r="AO12" s="500"/>
      <c r="AP12" s="451"/>
      <c r="AQ12" s="452"/>
      <c r="AR12" s="451"/>
    </row>
    <row r="13" spans="1:44" s="484" customFormat="1" ht="13.5" hidden="1" customHeight="1">
      <c r="A13" s="484">
        <v>9</v>
      </c>
      <c r="B13" s="483" t="str">
        <f>IFERROR(VLOOKUP(C13,[1]Sheet1!$B$6:$C$52,2,0),"")</f>
        <v/>
      </c>
      <c r="C13" s="496"/>
      <c r="D13" s="495"/>
      <c r="E13" s="494"/>
      <c r="F13" s="495"/>
      <c r="G13" s="494"/>
      <c r="H13" s="480"/>
      <c r="I13" s="480"/>
      <c r="J13" s="512"/>
      <c r="K13" s="480"/>
      <c r="L13" s="495"/>
      <c r="M13" s="494"/>
      <c r="N13" s="480"/>
      <c r="O13" s="480"/>
      <c r="P13" s="480"/>
      <c r="Q13" s="480"/>
      <c r="R13" s="451"/>
      <c r="S13" s="451"/>
      <c r="T13" s="451"/>
      <c r="U13" s="451"/>
      <c r="V13" s="451"/>
      <c r="W13" s="451"/>
      <c r="X13" s="451"/>
      <c r="Y13" s="451"/>
      <c r="Z13" s="451"/>
      <c r="AA13" s="451"/>
      <c r="AB13" s="451"/>
      <c r="AC13" s="451"/>
      <c r="AD13" s="451"/>
      <c r="AE13" s="451"/>
      <c r="AF13" s="501"/>
      <c r="AG13" s="492"/>
      <c r="AH13" s="489">
        <f t="shared" si="0"/>
        <v>0</v>
      </c>
      <c r="AI13" s="491"/>
      <c r="AJ13" s="490"/>
      <c r="AK13" s="489">
        <f t="shared" si="1"/>
        <v>0</v>
      </c>
      <c r="AL13" s="489">
        <f t="shared" si="2"/>
        <v>0</v>
      </c>
      <c r="AM13" s="488">
        <f t="shared" si="4"/>
        <v>0</v>
      </c>
      <c r="AN13" s="500">
        <f t="shared" si="3"/>
        <v>0</v>
      </c>
      <c r="AO13" s="500"/>
      <c r="AP13" s="451"/>
      <c r="AQ13" s="452"/>
      <c r="AR13" s="451"/>
    </row>
    <row r="14" spans="1:44" s="484" customFormat="1" ht="13.5" hidden="1" customHeight="1">
      <c r="A14" s="484">
        <v>10</v>
      </c>
      <c r="B14" s="483" t="str">
        <f>IFERROR(VLOOKUP(C14,[1]Sheet1!$B$6:$C$52,2,0),"")</f>
        <v/>
      </c>
      <c r="C14" s="496"/>
      <c r="D14" s="495"/>
      <c r="E14" s="494"/>
      <c r="F14" s="495"/>
      <c r="G14" s="494"/>
      <c r="H14" s="480"/>
      <c r="I14" s="480"/>
      <c r="J14" s="512"/>
      <c r="K14" s="480"/>
      <c r="L14" s="495"/>
      <c r="M14" s="494"/>
      <c r="N14" s="480"/>
      <c r="O14" s="480"/>
      <c r="P14" s="480"/>
      <c r="Q14" s="480"/>
      <c r="R14" s="451"/>
      <c r="S14" s="451"/>
      <c r="T14" s="451"/>
      <c r="U14" s="451"/>
      <c r="V14" s="451"/>
      <c r="W14" s="451"/>
      <c r="X14" s="451"/>
      <c r="Y14" s="451"/>
      <c r="Z14" s="451"/>
      <c r="AA14" s="451"/>
      <c r="AB14" s="451"/>
      <c r="AC14" s="451"/>
      <c r="AD14" s="451"/>
      <c r="AE14" s="451"/>
      <c r="AF14" s="501"/>
      <c r="AG14" s="492"/>
      <c r="AH14" s="489">
        <f t="shared" si="0"/>
        <v>0</v>
      </c>
      <c r="AI14" s="491"/>
      <c r="AJ14" s="490"/>
      <c r="AK14" s="489">
        <f t="shared" si="1"/>
        <v>0</v>
      </c>
      <c r="AL14" s="489">
        <f t="shared" si="2"/>
        <v>0</v>
      </c>
      <c r="AM14" s="488">
        <f t="shared" si="4"/>
        <v>0</v>
      </c>
      <c r="AN14" s="500">
        <f t="shared" si="3"/>
        <v>0</v>
      </c>
      <c r="AO14" s="500"/>
      <c r="AP14" s="451"/>
      <c r="AQ14" s="452"/>
      <c r="AR14" s="451"/>
    </row>
    <row r="15" spans="1:44" s="484" customFormat="1" ht="13.5" hidden="1" customHeight="1">
      <c r="A15" s="484">
        <v>11</v>
      </c>
      <c r="B15" s="483" t="str">
        <f>IFERROR(VLOOKUP(C15,[1]Sheet1!$B$6:$C$52,2,0),"")</f>
        <v/>
      </c>
      <c r="C15" s="496"/>
      <c r="D15" s="495"/>
      <c r="E15" s="494"/>
      <c r="F15" s="495"/>
      <c r="G15" s="494"/>
      <c r="H15" s="480"/>
      <c r="I15" s="480"/>
      <c r="J15" s="512"/>
      <c r="K15" s="480"/>
      <c r="L15" s="495"/>
      <c r="M15" s="494"/>
      <c r="N15" s="480"/>
      <c r="O15" s="480"/>
      <c r="P15" s="480"/>
      <c r="Q15" s="480"/>
      <c r="R15" s="451"/>
      <c r="S15" s="451"/>
      <c r="T15" s="451"/>
      <c r="U15" s="451"/>
      <c r="V15" s="451"/>
      <c r="W15" s="451"/>
      <c r="X15" s="451"/>
      <c r="Y15" s="451"/>
      <c r="Z15" s="451"/>
      <c r="AA15" s="451"/>
      <c r="AB15" s="451"/>
      <c r="AC15" s="451"/>
      <c r="AD15" s="451"/>
      <c r="AE15" s="451"/>
      <c r="AF15" s="501"/>
      <c r="AG15" s="492"/>
      <c r="AH15" s="489">
        <f t="shared" si="0"/>
        <v>0</v>
      </c>
      <c r="AI15" s="491"/>
      <c r="AJ15" s="490"/>
      <c r="AK15" s="489">
        <f t="shared" si="1"/>
        <v>0</v>
      </c>
      <c r="AL15" s="489">
        <f t="shared" si="2"/>
        <v>0</v>
      </c>
      <c r="AM15" s="488">
        <f t="shared" si="4"/>
        <v>0</v>
      </c>
      <c r="AN15" s="500">
        <f t="shared" si="3"/>
        <v>0</v>
      </c>
      <c r="AO15" s="500"/>
      <c r="AP15" s="451"/>
      <c r="AQ15" s="452"/>
      <c r="AR15" s="451"/>
    </row>
    <row r="16" spans="1:44" s="484" customFormat="1" ht="13.5" hidden="1" customHeight="1">
      <c r="A16" s="484">
        <v>12</v>
      </c>
      <c r="B16" s="483" t="str">
        <f>IFERROR(VLOOKUP(C16,[1]Sheet1!$B$6:$C$52,2,0),"")</f>
        <v/>
      </c>
      <c r="C16" s="496"/>
      <c r="D16" s="495"/>
      <c r="E16" s="494"/>
      <c r="F16" s="495"/>
      <c r="G16" s="494"/>
      <c r="H16" s="480"/>
      <c r="I16" s="480"/>
      <c r="J16" s="512"/>
      <c r="K16" s="480"/>
      <c r="L16" s="495"/>
      <c r="M16" s="494"/>
      <c r="N16" s="480"/>
      <c r="O16" s="480"/>
      <c r="P16" s="480"/>
      <c r="Q16" s="480"/>
      <c r="R16" s="451"/>
      <c r="S16" s="451"/>
      <c r="T16" s="451"/>
      <c r="U16" s="451"/>
      <c r="V16" s="451"/>
      <c r="W16" s="451"/>
      <c r="X16" s="451"/>
      <c r="Y16" s="451"/>
      <c r="Z16" s="451"/>
      <c r="AA16" s="451"/>
      <c r="AB16" s="451"/>
      <c r="AC16" s="451"/>
      <c r="AD16" s="451"/>
      <c r="AE16" s="451"/>
      <c r="AF16" s="501"/>
      <c r="AG16" s="492"/>
      <c r="AH16" s="489">
        <f t="shared" si="0"/>
        <v>0</v>
      </c>
      <c r="AI16" s="491"/>
      <c r="AJ16" s="490"/>
      <c r="AK16" s="489">
        <f t="shared" si="1"/>
        <v>0</v>
      </c>
      <c r="AL16" s="489">
        <f t="shared" si="2"/>
        <v>0</v>
      </c>
      <c r="AM16" s="488">
        <f t="shared" si="4"/>
        <v>0</v>
      </c>
      <c r="AN16" s="500">
        <f t="shared" si="3"/>
        <v>0</v>
      </c>
      <c r="AO16" s="500"/>
      <c r="AP16" s="451"/>
      <c r="AQ16" s="452"/>
      <c r="AR16" s="451"/>
    </row>
    <row r="17" spans="1:44" s="484" customFormat="1" ht="13.5" hidden="1" customHeight="1">
      <c r="A17" s="484">
        <v>13</v>
      </c>
      <c r="B17" s="483" t="str">
        <f>IFERROR(VLOOKUP(C17,[1]Sheet1!$B$6:$C$52,2,0),"")</f>
        <v/>
      </c>
      <c r="C17" s="496"/>
      <c r="D17" s="495"/>
      <c r="E17" s="494"/>
      <c r="F17" s="495"/>
      <c r="G17" s="494"/>
      <c r="H17" s="480"/>
      <c r="I17" s="480"/>
      <c r="J17" s="512"/>
      <c r="K17" s="480"/>
      <c r="L17" s="495"/>
      <c r="M17" s="494"/>
      <c r="N17" s="480"/>
      <c r="O17" s="480"/>
      <c r="P17" s="480"/>
      <c r="Q17" s="480"/>
      <c r="R17" s="451"/>
      <c r="S17" s="451"/>
      <c r="T17" s="451"/>
      <c r="U17" s="451"/>
      <c r="V17" s="451"/>
      <c r="W17" s="451"/>
      <c r="X17" s="451"/>
      <c r="Y17" s="451"/>
      <c r="Z17" s="451"/>
      <c r="AA17" s="451"/>
      <c r="AB17" s="451"/>
      <c r="AC17" s="451"/>
      <c r="AD17" s="451"/>
      <c r="AE17" s="451"/>
      <c r="AF17" s="501"/>
      <c r="AG17" s="492"/>
      <c r="AH17" s="489">
        <f t="shared" si="0"/>
        <v>0</v>
      </c>
      <c r="AI17" s="491"/>
      <c r="AJ17" s="490"/>
      <c r="AK17" s="489">
        <f t="shared" si="1"/>
        <v>0</v>
      </c>
      <c r="AL17" s="489">
        <f t="shared" si="2"/>
        <v>0</v>
      </c>
      <c r="AM17" s="488">
        <f t="shared" si="4"/>
        <v>0</v>
      </c>
      <c r="AN17" s="500">
        <f t="shared" si="3"/>
        <v>0</v>
      </c>
      <c r="AO17" s="500"/>
      <c r="AP17" s="451"/>
      <c r="AQ17" s="452"/>
      <c r="AR17" s="451"/>
    </row>
    <row r="18" spans="1:44" s="484" customFormat="1" ht="13.5" hidden="1" customHeight="1">
      <c r="A18" s="484">
        <v>14</v>
      </c>
      <c r="B18" s="483" t="str">
        <f>IFERROR(VLOOKUP(C18,[1]Sheet1!$B$6:$C$52,2,0),"")</f>
        <v/>
      </c>
      <c r="C18" s="496"/>
      <c r="D18" s="495"/>
      <c r="E18" s="494"/>
      <c r="F18" s="495"/>
      <c r="G18" s="494"/>
      <c r="H18" s="480"/>
      <c r="I18" s="480"/>
      <c r="J18" s="512"/>
      <c r="K18" s="480"/>
      <c r="L18" s="495"/>
      <c r="M18" s="494"/>
      <c r="N18" s="480"/>
      <c r="O18" s="480"/>
      <c r="P18" s="480"/>
      <c r="Q18" s="480"/>
      <c r="R18" s="451"/>
      <c r="S18" s="451"/>
      <c r="T18" s="451"/>
      <c r="U18" s="451"/>
      <c r="V18" s="451"/>
      <c r="W18" s="451"/>
      <c r="X18" s="451"/>
      <c r="Y18" s="451"/>
      <c r="Z18" s="451"/>
      <c r="AA18" s="451"/>
      <c r="AB18" s="451"/>
      <c r="AC18" s="451"/>
      <c r="AD18" s="451"/>
      <c r="AE18" s="451"/>
      <c r="AF18" s="501"/>
      <c r="AG18" s="492"/>
      <c r="AH18" s="489">
        <f t="shared" si="0"/>
        <v>0</v>
      </c>
      <c r="AI18" s="491"/>
      <c r="AJ18" s="490"/>
      <c r="AK18" s="489">
        <f>MIN(AI18,AJ18)</f>
        <v>0</v>
      </c>
      <c r="AL18" s="489">
        <f t="shared" si="2"/>
        <v>0</v>
      </c>
      <c r="AM18" s="488">
        <f t="shared" si="4"/>
        <v>0</v>
      </c>
      <c r="AN18" s="500">
        <f t="shared" si="3"/>
        <v>0</v>
      </c>
      <c r="AO18" s="500"/>
      <c r="AP18" s="451"/>
      <c r="AQ18" s="452"/>
      <c r="AR18" s="451"/>
    </row>
    <row r="19" spans="1:44" s="484" customFormat="1" ht="13.5" hidden="1" customHeight="1">
      <c r="A19" s="484">
        <v>15</v>
      </c>
      <c r="B19" s="483" t="str">
        <f>IFERROR(VLOOKUP(C19,[1]Sheet1!$B$6:$C$52,2,0),"")</f>
        <v/>
      </c>
      <c r="C19" s="496"/>
      <c r="D19" s="495"/>
      <c r="E19" s="494"/>
      <c r="F19" s="495"/>
      <c r="G19" s="494"/>
      <c r="H19" s="480"/>
      <c r="I19" s="480"/>
      <c r="J19" s="512"/>
      <c r="K19" s="480"/>
      <c r="L19" s="495"/>
      <c r="M19" s="494"/>
      <c r="N19" s="480"/>
      <c r="O19" s="480"/>
      <c r="P19" s="480"/>
      <c r="Q19" s="480"/>
      <c r="R19" s="451"/>
      <c r="S19" s="451"/>
      <c r="T19" s="451"/>
      <c r="U19" s="451"/>
      <c r="V19" s="451"/>
      <c r="W19" s="451"/>
      <c r="X19" s="451"/>
      <c r="Y19" s="451"/>
      <c r="Z19" s="451"/>
      <c r="AA19" s="451"/>
      <c r="AB19" s="451"/>
      <c r="AC19" s="451"/>
      <c r="AD19" s="451"/>
      <c r="AE19" s="451"/>
      <c r="AF19" s="501"/>
      <c r="AG19" s="492"/>
      <c r="AH19" s="489">
        <f t="shared" si="0"/>
        <v>0</v>
      </c>
      <c r="AI19" s="491"/>
      <c r="AJ19" s="490"/>
      <c r="AK19" s="489">
        <f t="shared" si="1"/>
        <v>0</v>
      </c>
      <c r="AL19" s="489">
        <f t="shared" si="2"/>
        <v>0</v>
      </c>
      <c r="AM19" s="488">
        <f t="shared" si="4"/>
        <v>0</v>
      </c>
      <c r="AN19" s="500">
        <f t="shared" si="3"/>
        <v>0</v>
      </c>
      <c r="AO19" s="500"/>
      <c r="AP19" s="451"/>
      <c r="AQ19" s="452"/>
      <c r="AR19" s="451"/>
    </row>
    <row r="20" spans="1:44" s="484" customFormat="1" ht="13.5" hidden="1" customHeight="1">
      <c r="A20" s="484">
        <v>16</v>
      </c>
      <c r="B20" s="483" t="str">
        <f>IFERROR(VLOOKUP(C20,[1]Sheet1!$B$6:$C$52,2,0),"")</f>
        <v/>
      </c>
      <c r="C20" s="496"/>
      <c r="D20" s="495"/>
      <c r="E20" s="494"/>
      <c r="F20" s="495"/>
      <c r="G20" s="494"/>
      <c r="H20" s="480"/>
      <c r="I20" s="480"/>
      <c r="J20" s="573"/>
      <c r="K20" s="494"/>
      <c r="L20" s="495"/>
      <c r="M20" s="494"/>
      <c r="N20" s="480"/>
      <c r="O20" s="493"/>
      <c r="P20" s="454"/>
      <c r="Q20" s="454"/>
      <c r="R20" s="451"/>
      <c r="S20" s="451"/>
      <c r="T20" s="451"/>
      <c r="U20" s="451"/>
      <c r="V20" s="451"/>
      <c r="W20" s="451"/>
      <c r="X20" s="451"/>
      <c r="Y20" s="451"/>
      <c r="Z20" s="451"/>
      <c r="AA20" s="451"/>
      <c r="AB20" s="451"/>
      <c r="AC20" s="451"/>
      <c r="AD20" s="451"/>
      <c r="AE20" s="451"/>
      <c r="AF20" s="501"/>
      <c r="AG20" s="492"/>
      <c r="AH20" s="489">
        <f t="shared" si="0"/>
        <v>0</v>
      </c>
      <c r="AI20" s="491"/>
      <c r="AJ20" s="490"/>
      <c r="AK20" s="489">
        <f t="shared" si="1"/>
        <v>0</v>
      </c>
      <c r="AL20" s="489">
        <f t="shared" si="2"/>
        <v>0</v>
      </c>
      <c r="AM20" s="488">
        <f t="shared" si="4"/>
        <v>0</v>
      </c>
      <c r="AN20" s="500">
        <f t="shared" si="3"/>
        <v>0</v>
      </c>
      <c r="AO20" s="500"/>
      <c r="AP20" s="451"/>
      <c r="AQ20" s="452"/>
      <c r="AR20" s="451"/>
    </row>
    <row r="21" spans="1:44" s="484" customFormat="1" ht="13.5" hidden="1" customHeight="1">
      <c r="A21" s="484">
        <v>17</v>
      </c>
      <c r="B21" s="483" t="str">
        <f>IFERROR(VLOOKUP(C21,[1]Sheet1!$B$6:$C$52,2,0),"")</f>
        <v/>
      </c>
      <c r="C21" s="496"/>
      <c r="D21" s="495"/>
      <c r="E21" s="494"/>
      <c r="F21" s="495"/>
      <c r="G21" s="494"/>
      <c r="H21" s="480"/>
      <c r="I21" s="480"/>
      <c r="J21" s="573"/>
      <c r="K21" s="494"/>
      <c r="L21" s="495"/>
      <c r="M21" s="494"/>
      <c r="N21" s="480"/>
      <c r="O21" s="493"/>
      <c r="P21" s="454"/>
      <c r="Q21" s="454"/>
      <c r="R21" s="451"/>
      <c r="S21" s="451"/>
      <c r="T21" s="451"/>
      <c r="U21" s="451"/>
      <c r="V21" s="451"/>
      <c r="W21" s="451"/>
      <c r="X21" s="451"/>
      <c r="Y21" s="451"/>
      <c r="Z21" s="451"/>
      <c r="AA21" s="451"/>
      <c r="AB21" s="451"/>
      <c r="AC21" s="451"/>
      <c r="AD21" s="451"/>
      <c r="AE21" s="451"/>
      <c r="AF21" s="501"/>
      <c r="AG21" s="492"/>
      <c r="AH21" s="489">
        <f t="shared" si="0"/>
        <v>0</v>
      </c>
      <c r="AI21" s="491"/>
      <c r="AJ21" s="490"/>
      <c r="AK21" s="489">
        <f t="shared" si="1"/>
        <v>0</v>
      </c>
      <c r="AL21" s="489">
        <f t="shared" si="2"/>
        <v>0</v>
      </c>
      <c r="AM21" s="488">
        <f t="shared" si="4"/>
        <v>0</v>
      </c>
      <c r="AN21" s="500">
        <f t="shared" si="3"/>
        <v>0</v>
      </c>
      <c r="AO21" s="500"/>
      <c r="AP21" s="451"/>
      <c r="AQ21" s="452"/>
      <c r="AR21" s="451"/>
    </row>
    <row r="22" spans="1:44" s="484" customFormat="1" ht="13.5" hidden="1" customHeight="1">
      <c r="A22" s="484">
        <v>18</v>
      </c>
      <c r="B22" s="483" t="str">
        <f>IFERROR(VLOOKUP(C22,[1]Sheet1!$B$6:$C$52,2,0),"")</f>
        <v/>
      </c>
      <c r="C22" s="496"/>
      <c r="D22" s="495"/>
      <c r="E22" s="494"/>
      <c r="F22" s="495"/>
      <c r="G22" s="494"/>
      <c r="H22" s="480"/>
      <c r="I22" s="480"/>
      <c r="J22" s="573"/>
      <c r="K22" s="494"/>
      <c r="L22" s="495"/>
      <c r="M22" s="494"/>
      <c r="N22" s="480"/>
      <c r="O22" s="493"/>
      <c r="P22" s="454"/>
      <c r="Q22" s="454"/>
      <c r="R22" s="451"/>
      <c r="S22" s="451"/>
      <c r="T22" s="451"/>
      <c r="U22" s="451"/>
      <c r="V22" s="451"/>
      <c r="W22" s="451"/>
      <c r="X22" s="451"/>
      <c r="Y22" s="451"/>
      <c r="Z22" s="451"/>
      <c r="AA22" s="451"/>
      <c r="AB22" s="451"/>
      <c r="AC22" s="451"/>
      <c r="AD22" s="451"/>
      <c r="AE22" s="451"/>
      <c r="AF22" s="501"/>
      <c r="AG22" s="492"/>
      <c r="AH22" s="489">
        <f t="shared" si="0"/>
        <v>0</v>
      </c>
      <c r="AI22" s="491"/>
      <c r="AJ22" s="490"/>
      <c r="AK22" s="489">
        <f t="shared" si="1"/>
        <v>0</v>
      </c>
      <c r="AL22" s="489">
        <f t="shared" si="2"/>
        <v>0</v>
      </c>
      <c r="AM22" s="488">
        <f t="shared" si="4"/>
        <v>0</v>
      </c>
      <c r="AN22" s="500">
        <f t="shared" si="3"/>
        <v>0</v>
      </c>
      <c r="AO22" s="500"/>
      <c r="AP22" s="451"/>
      <c r="AQ22" s="452"/>
      <c r="AR22" s="451"/>
    </row>
    <row r="23" spans="1:44" s="484" customFormat="1" ht="13.5" hidden="1" customHeight="1">
      <c r="A23" s="484">
        <v>19</v>
      </c>
      <c r="B23" s="483" t="str">
        <f>IFERROR(VLOOKUP(C23,[1]Sheet1!$B$6:$C$52,2,0),"")</f>
        <v/>
      </c>
      <c r="C23" s="496"/>
      <c r="D23" s="495"/>
      <c r="E23" s="494"/>
      <c r="F23" s="495"/>
      <c r="G23" s="494"/>
      <c r="H23" s="480"/>
      <c r="I23" s="480"/>
      <c r="J23" s="573"/>
      <c r="K23" s="494"/>
      <c r="L23" s="495"/>
      <c r="M23" s="494"/>
      <c r="N23" s="480"/>
      <c r="O23" s="493"/>
      <c r="P23" s="454"/>
      <c r="Q23" s="454"/>
      <c r="R23" s="451"/>
      <c r="S23" s="451"/>
      <c r="T23" s="451"/>
      <c r="U23" s="451"/>
      <c r="V23" s="451"/>
      <c r="W23" s="451"/>
      <c r="X23" s="451"/>
      <c r="Y23" s="451"/>
      <c r="Z23" s="451"/>
      <c r="AA23" s="451"/>
      <c r="AB23" s="451"/>
      <c r="AC23" s="451"/>
      <c r="AD23" s="451"/>
      <c r="AE23" s="451"/>
      <c r="AF23" s="501"/>
      <c r="AG23" s="492"/>
      <c r="AH23" s="489">
        <f t="shared" si="0"/>
        <v>0</v>
      </c>
      <c r="AI23" s="491"/>
      <c r="AJ23" s="490"/>
      <c r="AK23" s="489">
        <f t="shared" si="1"/>
        <v>0</v>
      </c>
      <c r="AL23" s="489">
        <f t="shared" si="2"/>
        <v>0</v>
      </c>
      <c r="AM23" s="488">
        <f t="shared" si="4"/>
        <v>0</v>
      </c>
      <c r="AN23" s="500">
        <f t="shared" si="3"/>
        <v>0</v>
      </c>
      <c r="AO23" s="500"/>
      <c r="AP23" s="451"/>
      <c r="AQ23" s="452"/>
      <c r="AR23" s="451"/>
    </row>
    <row r="24" spans="1:44" s="484" customFormat="1" ht="13.5" hidden="1" customHeight="1">
      <c r="A24" s="484">
        <v>20</v>
      </c>
      <c r="B24" s="483" t="str">
        <f>IFERROR(VLOOKUP(C24,[1]Sheet1!$B$6:$C$52,2,0),"")</f>
        <v/>
      </c>
      <c r="C24" s="496"/>
      <c r="D24" s="495"/>
      <c r="E24" s="494"/>
      <c r="F24" s="495"/>
      <c r="G24" s="494"/>
      <c r="H24" s="480"/>
      <c r="I24" s="480"/>
      <c r="J24" s="573"/>
      <c r="K24" s="494"/>
      <c r="L24" s="495"/>
      <c r="M24" s="494"/>
      <c r="N24" s="480"/>
      <c r="O24" s="493"/>
      <c r="P24" s="454"/>
      <c r="Q24" s="454"/>
      <c r="R24" s="451"/>
      <c r="S24" s="451"/>
      <c r="T24" s="451"/>
      <c r="U24" s="451"/>
      <c r="V24" s="451"/>
      <c r="W24" s="451"/>
      <c r="X24" s="451"/>
      <c r="Y24" s="451"/>
      <c r="Z24" s="451"/>
      <c r="AA24" s="451"/>
      <c r="AB24" s="451"/>
      <c r="AC24" s="451"/>
      <c r="AD24" s="451"/>
      <c r="AE24" s="451"/>
      <c r="AF24" s="501"/>
      <c r="AG24" s="492"/>
      <c r="AH24" s="489">
        <f t="shared" si="0"/>
        <v>0</v>
      </c>
      <c r="AI24" s="491"/>
      <c r="AJ24" s="490"/>
      <c r="AK24" s="489">
        <f t="shared" si="1"/>
        <v>0</v>
      </c>
      <c r="AL24" s="489">
        <f t="shared" si="2"/>
        <v>0</v>
      </c>
      <c r="AM24" s="488">
        <f t="shared" si="4"/>
        <v>0</v>
      </c>
      <c r="AN24" s="500">
        <f t="shared" si="3"/>
        <v>0</v>
      </c>
      <c r="AO24" s="500"/>
      <c r="AP24" s="451"/>
      <c r="AQ24" s="452"/>
      <c r="AR24" s="451"/>
    </row>
    <row r="25" spans="1:44" s="484" customFormat="1" ht="13.5" hidden="1" customHeight="1">
      <c r="A25" s="484">
        <v>21</v>
      </c>
      <c r="B25" s="483" t="str">
        <f>IFERROR(VLOOKUP(C25,[1]Sheet1!$B$6:$C$52,2,0),"")</f>
        <v/>
      </c>
      <c r="C25" s="496"/>
      <c r="D25" s="495"/>
      <c r="E25" s="494"/>
      <c r="F25" s="495"/>
      <c r="G25" s="494"/>
      <c r="H25" s="480"/>
      <c r="I25" s="480"/>
      <c r="J25" s="573"/>
      <c r="K25" s="494"/>
      <c r="L25" s="495"/>
      <c r="M25" s="494"/>
      <c r="N25" s="480"/>
      <c r="O25" s="493"/>
      <c r="P25" s="454"/>
      <c r="Q25" s="454"/>
      <c r="R25" s="451"/>
      <c r="S25" s="451"/>
      <c r="T25" s="451"/>
      <c r="U25" s="451"/>
      <c r="V25" s="451"/>
      <c r="W25" s="451"/>
      <c r="X25" s="451"/>
      <c r="Y25" s="451"/>
      <c r="Z25" s="451"/>
      <c r="AA25" s="451"/>
      <c r="AB25" s="451"/>
      <c r="AC25" s="451"/>
      <c r="AD25" s="451"/>
      <c r="AE25" s="451"/>
      <c r="AF25" s="501"/>
      <c r="AG25" s="492"/>
      <c r="AH25" s="489">
        <f t="shared" si="0"/>
        <v>0</v>
      </c>
      <c r="AI25" s="491"/>
      <c r="AJ25" s="490"/>
      <c r="AK25" s="489">
        <f t="shared" si="1"/>
        <v>0</v>
      </c>
      <c r="AL25" s="489">
        <f t="shared" si="2"/>
        <v>0</v>
      </c>
      <c r="AM25" s="488">
        <f t="shared" si="4"/>
        <v>0</v>
      </c>
      <c r="AN25" s="500">
        <f t="shared" si="3"/>
        <v>0</v>
      </c>
      <c r="AO25" s="500"/>
      <c r="AP25" s="451"/>
      <c r="AQ25" s="452"/>
      <c r="AR25" s="451"/>
    </row>
    <row r="26" spans="1:44" s="484" customFormat="1" ht="13.5" hidden="1" customHeight="1">
      <c r="A26" s="484">
        <v>22</v>
      </c>
      <c r="B26" s="483" t="str">
        <f>IFERROR(VLOOKUP(C26,[1]Sheet1!$B$6:$C$52,2,0),"")</f>
        <v/>
      </c>
      <c r="C26" s="496"/>
      <c r="D26" s="495"/>
      <c r="E26" s="494"/>
      <c r="F26" s="495"/>
      <c r="G26" s="494"/>
      <c r="H26" s="480"/>
      <c r="I26" s="480"/>
      <c r="J26" s="573"/>
      <c r="K26" s="494"/>
      <c r="L26" s="495"/>
      <c r="M26" s="494"/>
      <c r="N26" s="480"/>
      <c r="O26" s="493"/>
      <c r="P26" s="454"/>
      <c r="Q26" s="454"/>
      <c r="R26" s="451"/>
      <c r="S26" s="451"/>
      <c r="T26" s="451"/>
      <c r="U26" s="451"/>
      <c r="V26" s="451"/>
      <c r="W26" s="451"/>
      <c r="X26" s="451"/>
      <c r="Y26" s="451"/>
      <c r="Z26" s="451"/>
      <c r="AA26" s="451"/>
      <c r="AB26" s="451"/>
      <c r="AC26" s="451"/>
      <c r="AD26" s="451"/>
      <c r="AE26" s="451"/>
      <c r="AF26" s="501"/>
      <c r="AG26" s="492"/>
      <c r="AH26" s="489">
        <f t="shared" si="0"/>
        <v>0</v>
      </c>
      <c r="AI26" s="491"/>
      <c r="AJ26" s="490"/>
      <c r="AK26" s="489">
        <f t="shared" si="1"/>
        <v>0</v>
      </c>
      <c r="AL26" s="489">
        <f t="shared" si="2"/>
        <v>0</v>
      </c>
      <c r="AM26" s="488">
        <f t="shared" si="4"/>
        <v>0</v>
      </c>
      <c r="AN26" s="500">
        <f t="shared" si="3"/>
        <v>0</v>
      </c>
      <c r="AO26" s="500"/>
      <c r="AP26" s="451"/>
      <c r="AQ26" s="452"/>
      <c r="AR26" s="451"/>
    </row>
    <row r="27" spans="1:44" s="484" customFormat="1" ht="13.5" hidden="1" customHeight="1">
      <c r="A27" s="484">
        <v>23</v>
      </c>
      <c r="B27" s="483" t="str">
        <f>IFERROR(VLOOKUP(C27,[1]Sheet1!$B$6:$C$52,2,0),"")</f>
        <v/>
      </c>
      <c r="C27" s="496"/>
      <c r="D27" s="495"/>
      <c r="E27" s="494"/>
      <c r="F27" s="495"/>
      <c r="G27" s="494"/>
      <c r="H27" s="480"/>
      <c r="I27" s="480"/>
      <c r="J27" s="573"/>
      <c r="K27" s="494"/>
      <c r="L27" s="495"/>
      <c r="M27" s="494"/>
      <c r="N27" s="480"/>
      <c r="O27" s="493"/>
      <c r="P27" s="454"/>
      <c r="Q27" s="454"/>
      <c r="R27" s="451"/>
      <c r="S27" s="451"/>
      <c r="T27" s="451"/>
      <c r="U27" s="451"/>
      <c r="V27" s="451"/>
      <c r="W27" s="451"/>
      <c r="X27" s="451"/>
      <c r="Y27" s="451"/>
      <c r="Z27" s="451"/>
      <c r="AA27" s="451"/>
      <c r="AB27" s="451"/>
      <c r="AC27" s="451"/>
      <c r="AD27" s="451"/>
      <c r="AE27" s="451"/>
      <c r="AF27" s="501"/>
      <c r="AG27" s="492"/>
      <c r="AH27" s="489">
        <f t="shared" si="0"/>
        <v>0</v>
      </c>
      <c r="AI27" s="491"/>
      <c r="AJ27" s="490"/>
      <c r="AK27" s="489">
        <f t="shared" si="1"/>
        <v>0</v>
      </c>
      <c r="AL27" s="489">
        <f t="shared" si="2"/>
        <v>0</v>
      </c>
      <c r="AM27" s="488">
        <f t="shared" si="4"/>
        <v>0</v>
      </c>
      <c r="AN27" s="500">
        <f t="shared" si="3"/>
        <v>0</v>
      </c>
      <c r="AO27" s="500"/>
      <c r="AP27" s="451"/>
      <c r="AQ27" s="452"/>
      <c r="AR27" s="451"/>
    </row>
    <row r="28" spans="1:44" s="484" customFormat="1" ht="13.5" hidden="1" customHeight="1">
      <c r="A28" s="484">
        <v>24</v>
      </c>
      <c r="B28" s="483" t="str">
        <f>IFERROR(VLOOKUP(C28,[1]Sheet1!$B$6:$C$52,2,0),"")</f>
        <v/>
      </c>
      <c r="C28" s="496"/>
      <c r="D28" s="495"/>
      <c r="E28" s="494"/>
      <c r="F28" s="495"/>
      <c r="G28" s="494"/>
      <c r="H28" s="480"/>
      <c r="I28" s="480"/>
      <c r="J28" s="573"/>
      <c r="K28" s="494"/>
      <c r="L28" s="495"/>
      <c r="M28" s="494"/>
      <c r="N28" s="480"/>
      <c r="O28" s="493"/>
      <c r="P28" s="454"/>
      <c r="Q28" s="454"/>
      <c r="R28" s="451"/>
      <c r="S28" s="451"/>
      <c r="T28" s="451"/>
      <c r="U28" s="451"/>
      <c r="V28" s="451"/>
      <c r="W28" s="451"/>
      <c r="X28" s="451"/>
      <c r="Y28" s="451"/>
      <c r="Z28" s="451"/>
      <c r="AA28" s="451"/>
      <c r="AB28" s="451"/>
      <c r="AC28" s="451"/>
      <c r="AD28" s="451"/>
      <c r="AE28" s="451"/>
      <c r="AF28" s="501"/>
      <c r="AG28" s="492"/>
      <c r="AH28" s="489">
        <f t="shared" si="0"/>
        <v>0</v>
      </c>
      <c r="AI28" s="491"/>
      <c r="AJ28" s="490"/>
      <c r="AK28" s="489">
        <f t="shared" si="1"/>
        <v>0</v>
      </c>
      <c r="AL28" s="489">
        <f t="shared" si="2"/>
        <v>0</v>
      </c>
      <c r="AM28" s="488">
        <f t="shared" si="4"/>
        <v>0</v>
      </c>
      <c r="AN28" s="500">
        <f t="shared" si="3"/>
        <v>0</v>
      </c>
      <c r="AO28" s="500"/>
      <c r="AP28" s="451"/>
      <c r="AQ28" s="452"/>
      <c r="AR28" s="451"/>
    </row>
    <row r="29" spans="1:44" s="484" customFormat="1" ht="13.5" hidden="1" customHeight="1">
      <c r="A29" s="484">
        <v>25</v>
      </c>
      <c r="B29" s="483" t="str">
        <f>IFERROR(VLOOKUP(C29,[1]Sheet1!$B$6:$C$52,2,0),"")</f>
        <v/>
      </c>
      <c r="C29" s="496"/>
      <c r="D29" s="495"/>
      <c r="E29" s="494"/>
      <c r="F29" s="495"/>
      <c r="G29" s="494"/>
      <c r="H29" s="480"/>
      <c r="I29" s="480"/>
      <c r="J29" s="573"/>
      <c r="K29" s="494"/>
      <c r="L29" s="495"/>
      <c r="M29" s="494"/>
      <c r="N29" s="480"/>
      <c r="O29" s="493"/>
      <c r="P29" s="454"/>
      <c r="Q29" s="454"/>
      <c r="R29" s="451"/>
      <c r="S29" s="451"/>
      <c r="T29" s="451"/>
      <c r="U29" s="451"/>
      <c r="V29" s="451"/>
      <c r="W29" s="451"/>
      <c r="X29" s="451"/>
      <c r="Y29" s="451"/>
      <c r="Z29" s="451"/>
      <c r="AA29" s="451"/>
      <c r="AB29" s="451"/>
      <c r="AC29" s="451"/>
      <c r="AD29" s="451"/>
      <c r="AE29" s="451"/>
      <c r="AF29" s="501"/>
      <c r="AG29" s="492"/>
      <c r="AH29" s="489">
        <f t="shared" si="0"/>
        <v>0</v>
      </c>
      <c r="AI29" s="491"/>
      <c r="AJ29" s="490"/>
      <c r="AK29" s="489">
        <f t="shared" si="1"/>
        <v>0</v>
      </c>
      <c r="AL29" s="489">
        <f t="shared" si="2"/>
        <v>0</v>
      </c>
      <c r="AM29" s="488">
        <f t="shared" si="4"/>
        <v>0</v>
      </c>
      <c r="AN29" s="500">
        <f t="shared" si="3"/>
        <v>0</v>
      </c>
      <c r="AO29" s="500"/>
      <c r="AP29" s="451"/>
      <c r="AQ29" s="452"/>
      <c r="AR29" s="451"/>
    </row>
    <row r="30" spans="1:44" s="484" customFormat="1" ht="13.5" hidden="1" customHeight="1">
      <c r="A30" s="484">
        <v>26</v>
      </c>
      <c r="B30" s="483" t="str">
        <f>IFERROR(VLOOKUP(C30,[1]Sheet1!$B$6:$C$52,2,0),"")</f>
        <v/>
      </c>
      <c r="C30" s="496"/>
      <c r="D30" s="495"/>
      <c r="E30" s="494"/>
      <c r="F30" s="495"/>
      <c r="G30" s="494"/>
      <c r="H30" s="480"/>
      <c r="I30" s="480"/>
      <c r="J30" s="573"/>
      <c r="K30" s="494"/>
      <c r="L30" s="495"/>
      <c r="M30" s="494"/>
      <c r="N30" s="480"/>
      <c r="O30" s="493"/>
      <c r="P30" s="454"/>
      <c r="Q30" s="454"/>
      <c r="R30" s="451"/>
      <c r="S30" s="451"/>
      <c r="T30" s="451"/>
      <c r="U30" s="451"/>
      <c r="V30" s="451"/>
      <c r="W30" s="451"/>
      <c r="X30" s="451"/>
      <c r="Y30" s="451"/>
      <c r="Z30" s="451"/>
      <c r="AA30" s="451"/>
      <c r="AB30" s="451"/>
      <c r="AC30" s="451"/>
      <c r="AD30" s="451"/>
      <c r="AE30" s="451"/>
      <c r="AF30" s="501"/>
      <c r="AG30" s="492"/>
      <c r="AH30" s="489">
        <f t="shared" si="0"/>
        <v>0</v>
      </c>
      <c r="AI30" s="491"/>
      <c r="AJ30" s="490"/>
      <c r="AK30" s="489">
        <f t="shared" si="1"/>
        <v>0</v>
      </c>
      <c r="AL30" s="489">
        <f t="shared" si="2"/>
        <v>0</v>
      </c>
      <c r="AM30" s="488">
        <f t="shared" si="4"/>
        <v>0</v>
      </c>
      <c r="AN30" s="500">
        <f t="shared" si="3"/>
        <v>0</v>
      </c>
      <c r="AO30" s="500"/>
      <c r="AP30" s="451"/>
      <c r="AQ30" s="452"/>
      <c r="AR30" s="451"/>
    </row>
    <row r="31" spans="1:44" s="484" customFormat="1" ht="13.5" hidden="1" customHeight="1">
      <c r="A31" s="484">
        <v>27</v>
      </c>
      <c r="B31" s="483" t="str">
        <f>IFERROR(VLOOKUP(C31,[1]Sheet1!$B$6:$C$52,2,0),"")</f>
        <v/>
      </c>
      <c r="C31" s="496"/>
      <c r="D31" s="495"/>
      <c r="E31" s="494"/>
      <c r="F31" s="495"/>
      <c r="G31" s="494"/>
      <c r="H31" s="480"/>
      <c r="I31" s="480"/>
      <c r="J31" s="573"/>
      <c r="K31" s="494"/>
      <c r="L31" s="495"/>
      <c r="M31" s="494"/>
      <c r="N31" s="480"/>
      <c r="O31" s="493"/>
      <c r="P31" s="454"/>
      <c r="Q31" s="454"/>
      <c r="R31" s="451"/>
      <c r="S31" s="451"/>
      <c r="T31" s="451"/>
      <c r="U31" s="451"/>
      <c r="V31" s="451"/>
      <c r="W31" s="451"/>
      <c r="X31" s="451"/>
      <c r="Y31" s="451"/>
      <c r="Z31" s="451"/>
      <c r="AA31" s="451"/>
      <c r="AB31" s="451"/>
      <c r="AC31" s="451"/>
      <c r="AD31" s="451"/>
      <c r="AE31" s="451"/>
      <c r="AF31" s="501"/>
      <c r="AG31" s="492"/>
      <c r="AH31" s="489">
        <f t="shared" si="0"/>
        <v>0</v>
      </c>
      <c r="AI31" s="491"/>
      <c r="AJ31" s="490"/>
      <c r="AK31" s="489">
        <f t="shared" si="1"/>
        <v>0</v>
      </c>
      <c r="AL31" s="489">
        <f t="shared" si="2"/>
        <v>0</v>
      </c>
      <c r="AM31" s="488">
        <f t="shared" si="4"/>
        <v>0</v>
      </c>
      <c r="AN31" s="500">
        <f t="shared" si="3"/>
        <v>0</v>
      </c>
      <c r="AO31" s="500"/>
      <c r="AP31" s="451"/>
      <c r="AQ31" s="452"/>
      <c r="AR31" s="451"/>
    </row>
    <row r="32" spans="1:44" s="484" customFormat="1" ht="13.5" hidden="1" customHeight="1">
      <c r="A32" s="484">
        <v>28</v>
      </c>
      <c r="B32" s="483" t="str">
        <f>IFERROR(VLOOKUP(C32,[1]Sheet1!$B$6:$C$52,2,0),"")</f>
        <v/>
      </c>
      <c r="C32" s="496"/>
      <c r="D32" s="495"/>
      <c r="E32" s="494"/>
      <c r="F32" s="495"/>
      <c r="G32" s="494"/>
      <c r="H32" s="480"/>
      <c r="I32" s="480"/>
      <c r="J32" s="573"/>
      <c r="K32" s="494"/>
      <c r="L32" s="495"/>
      <c r="M32" s="494"/>
      <c r="N32" s="480"/>
      <c r="O32" s="493"/>
      <c r="P32" s="454"/>
      <c r="Q32" s="454"/>
      <c r="R32" s="451"/>
      <c r="S32" s="451"/>
      <c r="T32" s="451"/>
      <c r="U32" s="451"/>
      <c r="V32" s="451"/>
      <c r="W32" s="451"/>
      <c r="X32" s="451"/>
      <c r="Y32" s="451"/>
      <c r="Z32" s="451"/>
      <c r="AA32" s="451"/>
      <c r="AB32" s="451"/>
      <c r="AC32" s="451"/>
      <c r="AD32" s="451"/>
      <c r="AE32" s="451"/>
      <c r="AF32" s="501"/>
      <c r="AG32" s="492"/>
      <c r="AH32" s="489">
        <f t="shared" si="0"/>
        <v>0</v>
      </c>
      <c r="AI32" s="491"/>
      <c r="AJ32" s="490"/>
      <c r="AK32" s="489">
        <f t="shared" si="1"/>
        <v>0</v>
      </c>
      <c r="AL32" s="489">
        <f t="shared" si="2"/>
        <v>0</v>
      </c>
      <c r="AM32" s="488">
        <f t="shared" si="4"/>
        <v>0</v>
      </c>
      <c r="AN32" s="500">
        <f t="shared" si="3"/>
        <v>0</v>
      </c>
      <c r="AO32" s="500"/>
      <c r="AP32" s="451"/>
      <c r="AQ32" s="452"/>
      <c r="AR32" s="451"/>
    </row>
    <row r="33" spans="1:44" s="484" customFormat="1" ht="13.5" hidden="1" customHeight="1">
      <c r="A33" s="484">
        <v>29</v>
      </c>
      <c r="B33" s="483" t="str">
        <f>IFERROR(VLOOKUP(C33,[1]Sheet1!$B$6:$C$52,2,0),"")</f>
        <v/>
      </c>
      <c r="C33" s="496"/>
      <c r="D33" s="495"/>
      <c r="E33" s="494"/>
      <c r="F33" s="495"/>
      <c r="G33" s="494"/>
      <c r="H33" s="480"/>
      <c r="I33" s="480"/>
      <c r="J33" s="573"/>
      <c r="K33" s="494"/>
      <c r="L33" s="495"/>
      <c r="M33" s="494"/>
      <c r="N33" s="480"/>
      <c r="O33" s="493"/>
      <c r="P33" s="454"/>
      <c r="Q33" s="454"/>
      <c r="R33" s="451"/>
      <c r="S33" s="451"/>
      <c r="T33" s="451"/>
      <c r="U33" s="451"/>
      <c r="V33" s="451"/>
      <c r="W33" s="451"/>
      <c r="X33" s="451"/>
      <c r="Y33" s="451"/>
      <c r="Z33" s="451"/>
      <c r="AA33" s="451"/>
      <c r="AB33" s="451"/>
      <c r="AC33" s="451"/>
      <c r="AD33" s="451"/>
      <c r="AE33" s="451"/>
      <c r="AF33" s="501"/>
      <c r="AG33" s="492"/>
      <c r="AH33" s="489">
        <f t="shared" si="0"/>
        <v>0</v>
      </c>
      <c r="AI33" s="491"/>
      <c r="AJ33" s="490"/>
      <c r="AK33" s="489">
        <f t="shared" si="1"/>
        <v>0</v>
      </c>
      <c r="AL33" s="489">
        <f t="shared" si="2"/>
        <v>0</v>
      </c>
      <c r="AM33" s="488">
        <f t="shared" si="4"/>
        <v>0</v>
      </c>
      <c r="AN33" s="500">
        <f t="shared" si="3"/>
        <v>0</v>
      </c>
      <c r="AO33" s="500"/>
      <c r="AP33" s="451"/>
      <c r="AQ33" s="452"/>
      <c r="AR33" s="451"/>
    </row>
    <row r="34" spans="1:44" s="484" customFormat="1" ht="13.5" hidden="1" customHeight="1">
      <c r="A34" s="484">
        <v>30</v>
      </c>
      <c r="B34" s="483" t="str">
        <f>IFERROR(VLOOKUP(C34,[1]Sheet1!$B$6:$C$52,2,0),"")</f>
        <v/>
      </c>
      <c r="C34" s="496"/>
      <c r="D34" s="495"/>
      <c r="E34" s="494"/>
      <c r="F34" s="495"/>
      <c r="G34" s="494"/>
      <c r="H34" s="480"/>
      <c r="I34" s="480"/>
      <c r="J34" s="573"/>
      <c r="K34" s="494"/>
      <c r="L34" s="495"/>
      <c r="M34" s="494"/>
      <c r="N34" s="480"/>
      <c r="O34" s="493"/>
      <c r="P34" s="454"/>
      <c r="Q34" s="454"/>
      <c r="R34" s="451"/>
      <c r="S34" s="451"/>
      <c r="T34" s="451"/>
      <c r="U34" s="451"/>
      <c r="V34" s="451"/>
      <c r="W34" s="451"/>
      <c r="X34" s="451"/>
      <c r="Y34" s="451"/>
      <c r="Z34" s="451"/>
      <c r="AA34" s="451"/>
      <c r="AB34" s="451"/>
      <c r="AC34" s="451"/>
      <c r="AD34" s="451"/>
      <c r="AE34" s="451"/>
      <c r="AF34" s="501"/>
      <c r="AG34" s="492"/>
      <c r="AH34" s="489">
        <f t="shared" si="0"/>
        <v>0</v>
      </c>
      <c r="AI34" s="491"/>
      <c r="AJ34" s="490"/>
      <c r="AK34" s="489">
        <f t="shared" si="1"/>
        <v>0</v>
      </c>
      <c r="AL34" s="489">
        <f t="shared" si="2"/>
        <v>0</v>
      </c>
      <c r="AM34" s="488">
        <f t="shared" si="4"/>
        <v>0</v>
      </c>
      <c r="AN34" s="500">
        <f t="shared" si="3"/>
        <v>0</v>
      </c>
      <c r="AO34" s="500"/>
      <c r="AP34" s="451"/>
      <c r="AQ34" s="452"/>
      <c r="AR34" s="451"/>
    </row>
    <row r="35" spans="1:44" s="484" customFormat="1" ht="13.5" hidden="1" customHeight="1">
      <c r="A35" s="484">
        <v>31</v>
      </c>
      <c r="B35" s="483" t="str">
        <f>IFERROR(VLOOKUP(C35,[1]Sheet1!$B$6:$C$52,2,0),"")</f>
        <v/>
      </c>
      <c r="C35" s="496"/>
      <c r="D35" s="495"/>
      <c r="E35" s="494"/>
      <c r="F35" s="495"/>
      <c r="G35" s="494"/>
      <c r="H35" s="480"/>
      <c r="I35" s="480"/>
      <c r="J35" s="573"/>
      <c r="K35" s="494"/>
      <c r="L35" s="495"/>
      <c r="M35" s="494"/>
      <c r="N35" s="480"/>
      <c r="O35" s="493"/>
      <c r="P35" s="454"/>
      <c r="Q35" s="454"/>
      <c r="R35" s="451"/>
      <c r="S35" s="451"/>
      <c r="T35" s="451"/>
      <c r="U35" s="451"/>
      <c r="V35" s="451"/>
      <c r="W35" s="451"/>
      <c r="X35" s="451"/>
      <c r="Y35" s="451"/>
      <c r="Z35" s="451"/>
      <c r="AA35" s="451"/>
      <c r="AB35" s="451"/>
      <c r="AC35" s="451"/>
      <c r="AD35" s="451"/>
      <c r="AE35" s="451"/>
      <c r="AF35" s="501"/>
      <c r="AG35" s="492"/>
      <c r="AH35" s="489">
        <f t="shared" si="0"/>
        <v>0</v>
      </c>
      <c r="AI35" s="491"/>
      <c r="AJ35" s="490"/>
      <c r="AK35" s="489">
        <f t="shared" si="1"/>
        <v>0</v>
      </c>
      <c r="AL35" s="489">
        <f t="shared" si="2"/>
        <v>0</v>
      </c>
      <c r="AM35" s="488">
        <f t="shared" si="4"/>
        <v>0</v>
      </c>
      <c r="AN35" s="500">
        <f t="shared" si="3"/>
        <v>0</v>
      </c>
      <c r="AO35" s="500"/>
      <c r="AP35" s="451"/>
      <c r="AQ35" s="452"/>
      <c r="AR35" s="451"/>
    </row>
    <row r="36" spans="1:44" s="484" customFormat="1" ht="13.5" hidden="1" customHeight="1">
      <c r="A36" s="484">
        <v>32</v>
      </c>
      <c r="B36" s="483" t="str">
        <f>IFERROR(VLOOKUP(C36,[1]Sheet1!$B$6:$C$52,2,0),"")</f>
        <v/>
      </c>
      <c r="C36" s="496"/>
      <c r="D36" s="495"/>
      <c r="E36" s="494"/>
      <c r="F36" s="495"/>
      <c r="G36" s="494"/>
      <c r="H36" s="480"/>
      <c r="I36" s="480"/>
      <c r="J36" s="573"/>
      <c r="K36" s="494"/>
      <c r="L36" s="495"/>
      <c r="M36" s="494"/>
      <c r="N36" s="480"/>
      <c r="O36" s="493"/>
      <c r="P36" s="454"/>
      <c r="Q36" s="454"/>
      <c r="R36" s="451"/>
      <c r="S36" s="451"/>
      <c r="T36" s="451"/>
      <c r="U36" s="451"/>
      <c r="V36" s="451"/>
      <c r="W36" s="451"/>
      <c r="X36" s="451"/>
      <c r="Y36" s="451"/>
      <c r="Z36" s="451"/>
      <c r="AA36" s="451"/>
      <c r="AB36" s="451"/>
      <c r="AC36" s="451"/>
      <c r="AD36" s="451"/>
      <c r="AE36" s="451"/>
      <c r="AF36" s="501"/>
      <c r="AG36" s="492"/>
      <c r="AH36" s="489">
        <f t="shared" si="0"/>
        <v>0</v>
      </c>
      <c r="AI36" s="491"/>
      <c r="AJ36" s="490"/>
      <c r="AK36" s="489">
        <f t="shared" si="1"/>
        <v>0</v>
      </c>
      <c r="AL36" s="489">
        <f t="shared" si="2"/>
        <v>0</v>
      </c>
      <c r="AM36" s="488">
        <f t="shared" si="4"/>
        <v>0</v>
      </c>
      <c r="AN36" s="500">
        <f t="shared" si="3"/>
        <v>0</v>
      </c>
      <c r="AO36" s="500"/>
      <c r="AP36" s="451"/>
      <c r="AQ36" s="452"/>
      <c r="AR36" s="451"/>
    </row>
    <row r="37" spans="1:44" s="484" customFormat="1" ht="13.5" hidden="1" customHeight="1">
      <c r="A37" s="484">
        <v>33</v>
      </c>
      <c r="B37" s="483" t="str">
        <f>IFERROR(VLOOKUP(C37,[1]Sheet1!$B$6:$C$52,2,0),"")</f>
        <v/>
      </c>
      <c r="C37" s="496"/>
      <c r="D37" s="495"/>
      <c r="E37" s="494"/>
      <c r="F37" s="495"/>
      <c r="G37" s="494"/>
      <c r="H37" s="480"/>
      <c r="I37" s="480"/>
      <c r="J37" s="573"/>
      <c r="K37" s="494"/>
      <c r="L37" s="495"/>
      <c r="M37" s="494"/>
      <c r="N37" s="480"/>
      <c r="O37" s="493"/>
      <c r="P37" s="454"/>
      <c r="Q37" s="454"/>
      <c r="R37" s="451"/>
      <c r="S37" s="451"/>
      <c r="T37" s="451"/>
      <c r="U37" s="451"/>
      <c r="V37" s="451"/>
      <c r="W37" s="451"/>
      <c r="X37" s="451"/>
      <c r="Y37" s="451"/>
      <c r="Z37" s="451"/>
      <c r="AA37" s="451"/>
      <c r="AB37" s="451"/>
      <c r="AC37" s="451"/>
      <c r="AD37" s="451"/>
      <c r="AE37" s="451"/>
      <c r="AF37" s="501"/>
      <c r="AG37" s="492"/>
      <c r="AH37" s="489">
        <f t="shared" si="0"/>
        <v>0</v>
      </c>
      <c r="AI37" s="491"/>
      <c r="AJ37" s="490"/>
      <c r="AK37" s="489">
        <f t="shared" si="1"/>
        <v>0</v>
      </c>
      <c r="AL37" s="489">
        <f t="shared" si="2"/>
        <v>0</v>
      </c>
      <c r="AM37" s="488">
        <f t="shared" si="4"/>
        <v>0</v>
      </c>
      <c r="AN37" s="500">
        <f t="shared" si="3"/>
        <v>0</v>
      </c>
      <c r="AO37" s="500"/>
      <c r="AP37" s="451"/>
      <c r="AQ37" s="452"/>
      <c r="AR37" s="451"/>
    </row>
    <row r="38" spans="1:44" s="484" customFormat="1" ht="13.5" hidden="1" customHeight="1">
      <c r="A38" s="484">
        <v>34</v>
      </c>
      <c r="B38" s="483" t="str">
        <f>IFERROR(VLOOKUP(C38,[1]Sheet1!$B$6:$C$52,2,0),"")</f>
        <v/>
      </c>
      <c r="C38" s="496"/>
      <c r="D38" s="495"/>
      <c r="E38" s="494"/>
      <c r="F38" s="495"/>
      <c r="G38" s="494"/>
      <c r="H38" s="480"/>
      <c r="I38" s="480"/>
      <c r="J38" s="573"/>
      <c r="K38" s="494"/>
      <c r="L38" s="495"/>
      <c r="M38" s="494"/>
      <c r="N38" s="480"/>
      <c r="O38" s="493"/>
      <c r="P38" s="454"/>
      <c r="Q38" s="454"/>
      <c r="R38" s="451"/>
      <c r="S38" s="451"/>
      <c r="T38" s="451"/>
      <c r="U38" s="451"/>
      <c r="V38" s="451"/>
      <c r="W38" s="451"/>
      <c r="X38" s="451"/>
      <c r="Y38" s="451"/>
      <c r="Z38" s="451"/>
      <c r="AA38" s="451"/>
      <c r="AB38" s="451"/>
      <c r="AC38" s="451"/>
      <c r="AD38" s="451"/>
      <c r="AE38" s="451"/>
      <c r="AF38" s="501"/>
      <c r="AG38" s="492"/>
      <c r="AH38" s="489">
        <f t="shared" si="0"/>
        <v>0</v>
      </c>
      <c r="AI38" s="491"/>
      <c r="AJ38" s="490"/>
      <c r="AK38" s="489">
        <f t="shared" si="1"/>
        <v>0</v>
      </c>
      <c r="AL38" s="489">
        <f t="shared" si="2"/>
        <v>0</v>
      </c>
      <c r="AM38" s="488">
        <f t="shared" si="4"/>
        <v>0</v>
      </c>
      <c r="AN38" s="500">
        <f t="shared" si="3"/>
        <v>0</v>
      </c>
      <c r="AO38" s="500"/>
      <c r="AP38" s="451"/>
      <c r="AQ38" s="452"/>
      <c r="AR38" s="451"/>
    </row>
    <row r="39" spans="1:44" s="484" customFormat="1" ht="13.5" hidden="1" customHeight="1">
      <c r="A39" s="484">
        <v>35</v>
      </c>
      <c r="B39" s="483" t="str">
        <f>IFERROR(VLOOKUP(C39,[1]Sheet1!$B$6:$C$52,2,0),"")</f>
        <v/>
      </c>
      <c r="C39" s="496"/>
      <c r="D39" s="495"/>
      <c r="E39" s="494"/>
      <c r="F39" s="495"/>
      <c r="G39" s="494"/>
      <c r="H39" s="480"/>
      <c r="I39" s="480"/>
      <c r="J39" s="573"/>
      <c r="K39" s="494"/>
      <c r="L39" s="495"/>
      <c r="M39" s="494"/>
      <c r="N39" s="480"/>
      <c r="O39" s="493"/>
      <c r="P39" s="454"/>
      <c r="Q39" s="454"/>
      <c r="R39" s="451"/>
      <c r="S39" s="451"/>
      <c r="T39" s="451"/>
      <c r="U39" s="451"/>
      <c r="V39" s="451"/>
      <c r="W39" s="451"/>
      <c r="X39" s="451"/>
      <c r="Y39" s="451"/>
      <c r="Z39" s="451"/>
      <c r="AA39" s="451"/>
      <c r="AB39" s="451"/>
      <c r="AC39" s="451"/>
      <c r="AD39" s="451"/>
      <c r="AE39" s="451"/>
      <c r="AF39" s="501"/>
      <c r="AG39" s="492"/>
      <c r="AH39" s="489">
        <f t="shared" si="0"/>
        <v>0</v>
      </c>
      <c r="AI39" s="491"/>
      <c r="AJ39" s="490"/>
      <c r="AK39" s="489">
        <f t="shared" si="1"/>
        <v>0</v>
      </c>
      <c r="AL39" s="489">
        <f t="shared" si="2"/>
        <v>0</v>
      </c>
      <c r="AM39" s="488">
        <f t="shared" si="4"/>
        <v>0</v>
      </c>
      <c r="AN39" s="500">
        <f t="shared" si="3"/>
        <v>0</v>
      </c>
      <c r="AO39" s="500"/>
      <c r="AP39" s="451"/>
      <c r="AQ39" s="452"/>
      <c r="AR39" s="451"/>
    </row>
    <row r="40" spans="1:44" s="484" customFormat="1" ht="13.5" hidden="1" customHeight="1">
      <c r="A40" s="484">
        <v>36</v>
      </c>
      <c r="B40" s="483" t="str">
        <f>IFERROR(VLOOKUP(C40,[1]Sheet1!$B$6:$C$52,2,0),"")</f>
        <v/>
      </c>
      <c r="C40" s="496"/>
      <c r="D40" s="495"/>
      <c r="E40" s="494"/>
      <c r="F40" s="495"/>
      <c r="G40" s="494"/>
      <c r="H40" s="480"/>
      <c r="I40" s="480"/>
      <c r="J40" s="573"/>
      <c r="K40" s="494"/>
      <c r="L40" s="495"/>
      <c r="M40" s="494"/>
      <c r="N40" s="480"/>
      <c r="O40" s="493"/>
      <c r="P40" s="454"/>
      <c r="Q40" s="454"/>
      <c r="R40" s="451"/>
      <c r="S40" s="451"/>
      <c r="T40" s="451"/>
      <c r="U40" s="451"/>
      <c r="V40" s="451"/>
      <c r="W40" s="451"/>
      <c r="X40" s="451"/>
      <c r="Y40" s="451"/>
      <c r="Z40" s="451"/>
      <c r="AA40" s="451"/>
      <c r="AB40" s="451"/>
      <c r="AC40" s="451"/>
      <c r="AD40" s="451"/>
      <c r="AE40" s="451"/>
      <c r="AF40" s="501"/>
      <c r="AG40" s="492"/>
      <c r="AH40" s="489">
        <f t="shared" si="0"/>
        <v>0</v>
      </c>
      <c r="AI40" s="491"/>
      <c r="AJ40" s="490"/>
      <c r="AK40" s="489">
        <f t="shared" si="1"/>
        <v>0</v>
      </c>
      <c r="AL40" s="489">
        <f t="shared" si="2"/>
        <v>0</v>
      </c>
      <c r="AM40" s="488">
        <f t="shared" si="4"/>
        <v>0</v>
      </c>
      <c r="AN40" s="500">
        <f t="shared" si="3"/>
        <v>0</v>
      </c>
      <c r="AO40" s="500"/>
      <c r="AP40" s="451"/>
      <c r="AQ40" s="452"/>
      <c r="AR40" s="451"/>
    </row>
    <row r="41" spans="1:44" s="484" customFormat="1" ht="13.5" hidden="1" customHeight="1">
      <c r="A41" s="484">
        <v>37</v>
      </c>
      <c r="B41" s="483" t="str">
        <f>IFERROR(VLOOKUP(C41,[1]Sheet1!$B$6:$C$52,2,0),"")</f>
        <v/>
      </c>
      <c r="C41" s="496"/>
      <c r="D41" s="495"/>
      <c r="E41" s="494"/>
      <c r="F41" s="495"/>
      <c r="G41" s="494"/>
      <c r="H41" s="480"/>
      <c r="I41" s="480"/>
      <c r="J41" s="573"/>
      <c r="K41" s="494"/>
      <c r="L41" s="495"/>
      <c r="M41" s="494"/>
      <c r="N41" s="480"/>
      <c r="O41" s="493"/>
      <c r="P41" s="454"/>
      <c r="Q41" s="454"/>
      <c r="R41" s="451"/>
      <c r="S41" s="451"/>
      <c r="T41" s="451"/>
      <c r="U41" s="451"/>
      <c r="V41" s="451"/>
      <c r="W41" s="451"/>
      <c r="X41" s="451"/>
      <c r="Y41" s="451"/>
      <c r="Z41" s="451"/>
      <c r="AA41" s="451"/>
      <c r="AB41" s="451"/>
      <c r="AC41" s="451"/>
      <c r="AD41" s="451"/>
      <c r="AE41" s="451"/>
      <c r="AF41" s="501"/>
      <c r="AG41" s="492"/>
      <c r="AH41" s="489">
        <f t="shared" si="0"/>
        <v>0</v>
      </c>
      <c r="AI41" s="491"/>
      <c r="AJ41" s="490"/>
      <c r="AK41" s="489">
        <f t="shared" si="1"/>
        <v>0</v>
      </c>
      <c r="AL41" s="489">
        <f t="shared" si="2"/>
        <v>0</v>
      </c>
      <c r="AM41" s="488">
        <f t="shared" si="4"/>
        <v>0</v>
      </c>
      <c r="AN41" s="500">
        <f t="shared" si="3"/>
        <v>0</v>
      </c>
      <c r="AO41" s="500"/>
      <c r="AP41" s="451"/>
      <c r="AQ41" s="452"/>
      <c r="AR41" s="451"/>
    </row>
    <row r="42" spans="1:44" s="484" customFormat="1" ht="13.5" hidden="1" customHeight="1">
      <c r="A42" s="484">
        <v>38</v>
      </c>
      <c r="B42" s="483" t="str">
        <f>IFERROR(VLOOKUP(C42,[1]Sheet1!$B$6:$C$52,2,0),"")</f>
        <v/>
      </c>
      <c r="C42" s="496"/>
      <c r="D42" s="495"/>
      <c r="E42" s="494"/>
      <c r="F42" s="495"/>
      <c r="G42" s="494"/>
      <c r="H42" s="480"/>
      <c r="I42" s="480"/>
      <c r="J42" s="573"/>
      <c r="K42" s="494"/>
      <c r="L42" s="495"/>
      <c r="M42" s="494"/>
      <c r="N42" s="480"/>
      <c r="O42" s="493"/>
      <c r="P42" s="454"/>
      <c r="Q42" s="454"/>
      <c r="R42" s="451"/>
      <c r="S42" s="451"/>
      <c r="T42" s="451"/>
      <c r="U42" s="451"/>
      <c r="V42" s="451"/>
      <c r="W42" s="451"/>
      <c r="X42" s="451"/>
      <c r="Y42" s="451"/>
      <c r="Z42" s="451"/>
      <c r="AA42" s="451"/>
      <c r="AB42" s="451"/>
      <c r="AC42" s="451"/>
      <c r="AD42" s="451"/>
      <c r="AE42" s="451"/>
      <c r="AF42" s="501"/>
      <c r="AG42" s="492"/>
      <c r="AH42" s="489">
        <f t="shared" si="0"/>
        <v>0</v>
      </c>
      <c r="AI42" s="491"/>
      <c r="AJ42" s="490"/>
      <c r="AK42" s="489">
        <f t="shared" si="1"/>
        <v>0</v>
      </c>
      <c r="AL42" s="489">
        <f t="shared" si="2"/>
        <v>0</v>
      </c>
      <c r="AM42" s="488">
        <f t="shared" si="4"/>
        <v>0</v>
      </c>
      <c r="AN42" s="500">
        <f t="shared" si="3"/>
        <v>0</v>
      </c>
      <c r="AO42" s="500"/>
      <c r="AP42" s="451"/>
      <c r="AQ42" s="452"/>
      <c r="AR42" s="451"/>
    </row>
    <row r="43" spans="1:44" s="484" customFormat="1" ht="13.5" hidden="1" customHeight="1">
      <c r="A43" s="484">
        <v>39</v>
      </c>
      <c r="B43" s="483" t="str">
        <f>IFERROR(VLOOKUP(C43,[1]Sheet1!$B$6:$C$52,2,0),"")</f>
        <v/>
      </c>
      <c r="C43" s="496"/>
      <c r="D43" s="495"/>
      <c r="E43" s="494"/>
      <c r="F43" s="495"/>
      <c r="G43" s="494"/>
      <c r="H43" s="480"/>
      <c r="I43" s="480"/>
      <c r="J43" s="573"/>
      <c r="K43" s="494"/>
      <c r="L43" s="495"/>
      <c r="M43" s="494"/>
      <c r="N43" s="480"/>
      <c r="O43" s="493"/>
      <c r="P43" s="454"/>
      <c r="Q43" s="454"/>
      <c r="R43" s="451"/>
      <c r="S43" s="451"/>
      <c r="T43" s="451"/>
      <c r="U43" s="451"/>
      <c r="V43" s="451"/>
      <c r="W43" s="451"/>
      <c r="X43" s="451"/>
      <c r="Y43" s="451"/>
      <c r="Z43" s="451"/>
      <c r="AA43" s="451"/>
      <c r="AB43" s="451"/>
      <c r="AC43" s="451"/>
      <c r="AD43" s="451"/>
      <c r="AE43" s="451"/>
      <c r="AF43" s="501"/>
      <c r="AG43" s="492"/>
      <c r="AH43" s="489">
        <f t="shared" si="0"/>
        <v>0</v>
      </c>
      <c r="AI43" s="491"/>
      <c r="AJ43" s="490"/>
      <c r="AK43" s="489">
        <f t="shared" si="1"/>
        <v>0</v>
      </c>
      <c r="AL43" s="489">
        <f t="shared" si="2"/>
        <v>0</v>
      </c>
      <c r="AM43" s="488">
        <f t="shared" si="4"/>
        <v>0</v>
      </c>
      <c r="AN43" s="500">
        <f t="shared" si="3"/>
        <v>0</v>
      </c>
      <c r="AO43" s="500"/>
      <c r="AP43" s="451"/>
      <c r="AQ43" s="452"/>
      <c r="AR43" s="451"/>
    </row>
    <row r="44" spans="1:44" s="484" customFormat="1" ht="13.5" hidden="1" customHeight="1">
      <c r="A44" s="484">
        <v>40</v>
      </c>
      <c r="B44" s="483" t="str">
        <f>IFERROR(VLOOKUP(C44,[1]Sheet1!$B$6:$C$52,2,0),"")</f>
        <v/>
      </c>
      <c r="C44" s="496"/>
      <c r="D44" s="495"/>
      <c r="E44" s="494"/>
      <c r="F44" s="495"/>
      <c r="G44" s="494"/>
      <c r="H44" s="480"/>
      <c r="I44" s="480"/>
      <c r="J44" s="573"/>
      <c r="K44" s="494"/>
      <c r="L44" s="495"/>
      <c r="M44" s="494"/>
      <c r="N44" s="480"/>
      <c r="O44" s="493"/>
      <c r="P44" s="454"/>
      <c r="Q44" s="454"/>
      <c r="R44" s="451"/>
      <c r="S44" s="451"/>
      <c r="T44" s="451"/>
      <c r="U44" s="451"/>
      <c r="V44" s="451"/>
      <c r="W44" s="451"/>
      <c r="X44" s="451"/>
      <c r="Y44" s="451"/>
      <c r="Z44" s="451"/>
      <c r="AA44" s="451"/>
      <c r="AB44" s="451"/>
      <c r="AC44" s="451"/>
      <c r="AD44" s="451"/>
      <c r="AE44" s="451"/>
      <c r="AF44" s="501"/>
      <c r="AG44" s="492"/>
      <c r="AH44" s="489">
        <f t="shared" si="0"/>
        <v>0</v>
      </c>
      <c r="AI44" s="491"/>
      <c r="AJ44" s="490"/>
      <c r="AK44" s="489">
        <f t="shared" si="1"/>
        <v>0</v>
      </c>
      <c r="AL44" s="489">
        <f t="shared" si="2"/>
        <v>0</v>
      </c>
      <c r="AM44" s="488">
        <f t="shared" si="4"/>
        <v>0</v>
      </c>
      <c r="AN44" s="500">
        <f t="shared" si="3"/>
        <v>0</v>
      </c>
      <c r="AO44" s="500"/>
      <c r="AP44" s="451"/>
      <c r="AQ44" s="452"/>
      <c r="AR44" s="451"/>
    </row>
    <row r="45" spans="1:44" s="484" customFormat="1" ht="13.5" hidden="1" customHeight="1">
      <c r="A45" s="484">
        <v>41</v>
      </c>
      <c r="B45" s="483" t="str">
        <f>IFERROR(VLOOKUP(C45,[1]Sheet1!$B$6:$C$52,2,0),"")</f>
        <v/>
      </c>
      <c r="C45" s="496"/>
      <c r="D45" s="495"/>
      <c r="E45" s="494"/>
      <c r="F45" s="495"/>
      <c r="G45" s="494"/>
      <c r="H45" s="480"/>
      <c r="I45" s="480"/>
      <c r="J45" s="573"/>
      <c r="K45" s="494"/>
      <c r="L45" s="495"/>
      <c r="M45" s="494"/>
      <c r="N45" s="480"/>
      <c r="O45" s="493"/>
      <c r="P45" s="454"/>
      <c r="Q45" s="454"/>
      <c r="R45" s="451"/>
      <c r="S45" s="451"/>
      <c r="T45" s="451"/>
      <c r="U45" s="451"/>
      <c r="V45" s="451"/>
      <c r="W45" s="451"/>
      <c r="X45" s="451"/>
      <c r="Y45" s="451"/>
      <c r="Z45" s="451"/>
      <c r="AA45" s="451"/>
      <c r="AB45" s="451"/>
      <c r="AC45" s="451"/>
      <c r="AD45" s="451"/>
      <c r="AE45" s="451"/>
      <c r="AF45" s="501"/>
      <c r="AG45" s="492"/>
      <c r="AH45" s="489">
        <f t="shared" si="0"/>
        <v>0</v>
      </c>
      <c r="AI45" s="491"/>
      <c r="AJ45" s="490"/>
      <c r="AK45" s="489">
        <f t="shared" si="1"/>
        <v>0</v>
      </c>
      <c r="AL45" s="489">
        <f t="shared" si="2"/>
        <v>0</v>
      </c>
      <c r="AM45" s="488">
        <f t="shared" si="4"/>
        <v>0</v>
      </c>
      <c r="AN45" s="500">
        <f t="shared" si="3"/>
        <v>0</v>
      </c>
      <c r="AO45" s="500"/>
      <c r="AP45" s="451"/>
      <c r="AQ45" s="452"/>
      <c r="AR45" s="451"/>
    </row>
    <row r="46" spans="1:44" s="484" customFormat="1" ht="13.5" hidden="1" customHeight="1">
      <c r="A46" s="484">
        <v>42</v>
      </c>
      <c r="B46" s="483" t="str">
        <f>IFERROR(VLOOKUP(C46,[1]Sheet1!$B$6:$C$52,2,0),"")</f>
        <v/>
      </c>
      <c r="C46" s="496"/>
      <c r="D46" s="495"/>
      <c r="E46" s="494"/>
      <c r="F46" s="495"/>
      <c r="G46" s="494"/>
      <c r="H46" s="480"/>
      <c r="I46" s="480"/>
      <c r="J46" s="573"/>
      <c r="K46" s="494"/>
      <c r="L46" s="495"/>
      <c r="M46" s="494"/>
      <c r="N46" s="480"/>
      <c r="O46" s="493"/>
      <c r="P46" s="454"/>
      <c r="Q46" s="454"/>
      <c r="R46" s="451"/>
      <c r="S46" s="451"/>
      <c r="T46" s="451"/>
      <c r="U46" s="451"/>
      <c r="V46" s="451"/>
      <c r="W46" s="451"/>
      <c r="X46" s="451"/>
      <c r="Y46" s="451"/>
      <c r="Z46" s="451"/>
      <c r="AA46" s="451"/>
      <c r="AB46" s="451"/>
      <c r="AC46" s="451"/>
      <c r="AD46" s="451"/>
      <c r="AE46" s="451"/>
      <c r="AF46" s="501"/>
      <c r="AG46" s="492"/>
      <c r="AH46" s="489">
        <f t="shared" si="0"/>
        <v>0</v>
      </c>
      <c r="AI46" s="491"/>
      <c r="AJ46" s="490"/>
      <c r="AK46" s="489">
        <f t="shared" si="1"/>
        <v>0</v>
      </c>
      <c r="AL46" s="489">
        <f t="shared" si="2"/>
        <v>0</v>
      </c>
      <c r="AM46" s="488">
        <f t="shared" si="4"/>
        <v>0</v>
      </c>
      <c r="AN46" s="500">
        <f t="shared" si="3"/>
        <v>0</v>
      </c>
      <c r="AO46" s="500"/>
      <c r="AP46" s="451"/>
      <c r="AQ46" s="452"/>
      <c r="AR46" s="451"/>
    </row>
    <row r="47" spans="1:44" s="484" customFormat="1" ht="13.5" hidden="1" customHeight="1">
      <c r="A47" s="484">
        <v>43</v>
      </c>
      <c r="B47" s="483" t="str">
        <f>IFERROR(VLOOKUP(C47,[1]Sheet1!$B$6:$C$52,2,0),"")</f>
        <v/>
      </c>
      <c r="C47" s="496"/>
      <c r="D47" s="495"/>
      <c r="E47" s="494"/>
      <c r="F47" s="495"/>
      <c r="G47" s="494"/>
      <c r="H47" s="480"/>
      <c r="I47" s="480"/>
      <c r="J47" s="573"/>
      <c r="K47" s="494"/>
      <c r="L47" s="495"/>
      <c r="M47" s="494"/>
      <c r="N47" s="480"/>
      <c r="O47" s="493"/>
      <c r="P47" s="454"/>
      <c r="Q47" s="454"/>
      <c r="R47" s="451"/>
      <c r="S47" s="451"/>
      <c r="T47" s="451"/>
      <c r="U47" s="451"/>
      <c r="V47" s="451"/>
      <c r="W47" s="451"/>
      <c r="X47" s="451"/>
      <c r="Y47" s="451"/>
      <c r="Z47" s="451"/>
      <c r="AA47" s="451"/>
      <c r="AB47" s="451"/>
      <c r="AC47" s="451"/>
      <c r="AD47" s="451"/>
      <c r="AE47" s="451"/>
      <c r="AF47" s="501"/>
      <c r="AG47" s="492"/>
      <c r="AH47" s="489">
        <f t="shared" si="0"/>
        <v>0</v>
      </c>
      <c r="AI47" s="491"/>
      <c r="AJ47" s="490"/>
      <c r="AK47" s="489">
        <f t="shared" si="1"/>
        <v>0</v>
      </c>
      <c r="AL47" s="489">
        <f t="shared" si="2"/>
        <v>0</v>
      </c>
      <c r="AM47" s="488">
        <f t="shared" si="4"/>
        <v>0</v>
      </c>
      <c r="AN47" s="500">
        <f t="shared" si="3"/>
        <v>0</v>
      </c>
      <c r="AO47" s="500"/>
      <c r="AP47" s="451"/>
      <c r="AQ47" s="452"/>
      <c r="AR47" s="451"/>
    </row>
    <row r="48" spans="1:44" s="484" customFormat="1" ht="13.5" hidden="1" customHeight="1">
      <c r="A48" s="484">
        <v>44</v>
      </c>
      <c r="B48" s="483" t="str">
        <f>IFERROR(VLOOKUP(C48,[1]Sheet1!$B$6:$C$52,2,0),"")</f>
        <v/>
      </c>
      <c r="C48" s="496"/>
      <c r="D48" s="495"/>
      <c r="E48" s="494"/>
      <c r="F48" s="495"/>
      <c r="G48" s="494"/>
      <c r="H48" s="480"/>
      <c r="I48" s="480"/>
      <c r="J48" s="573"/>
      <c r="K48" s="494"/>
      <c r="L48" s="495"/>
      <c r="M48" s="494"/>
      <c r="N48" s="480"/>
      <c r="O48" s="493"/>
      <c r="P48" s="454"/>
      <c r="Q48" s="454"/>
      <c r="R48" s="451"/>
      <c r="S48" s="451"/>
      <c r="T48" s="451"/>
      <c r="U48" s="451"/>
      <c r="V48" s="451"/>
      <c r="W48" s="451"/>
      <c r="X48" s="451"/>
      <c r="Y48" s="451"/>
      <c r="Z48" s="451"/>
      <c r="AA48" s="451"/>
      <c r="AB48" s="451"/>
      <c r="AC48" s="451"/>
      <c r="AD48" s="451"/>
      <c r="AE48" s="451"/>
      <c r="AF48" s="501"/>
      <c r="AG48" s="492"/>
      <c r="AH48" s="489">
        <f t="shared" si="0"/>
        <v>0</v>
      </c>
      <c r="AI48" s="491"/>
      <c r="AJ48" s="490"/>
      <c r="AK48" s="489">
        <f t="shared" si="1"/>
        <v>0</v>
      </c>
      <c r="AL48" s="489">
        <f t="shared" si="2"/>
        <v>0</v>
      </c>
      <c r="AM48" s="488">
        <f t="shared" si="4"/>
        <v>0</v>
      </c>
      <c r="AN48" s="500">
        <f t="shared" si="3"/>
        <v>0</v>
      </c>
      <c r="AO48" s="500"/>
      <c r="AP48" s="451"/>
      <c r="AQ48" s="452"/>
      <c r="AR48" s="451"/>
    </row>
    <row r="49" spans="1:44" s="484" customFormat="1" ht="13.5" hidden="1" customHeight="1">
      <c r="A49" s="484">
        <v>45</v>
      </c>
      <c r="B49" s="483" t="str">
        <f>IFERROR(VLOOKUP(C49,[1]Sheet1!$B$6:$C$52,2,0),"")</f>
        <v/>
      </c>
      <c r="C49" s="496"/>
      <c r="D49" s="495"/>
      <c r="E49" s="494"/>
      <c r="F49" s="495"/>
      <c r="G49" s="494"/>
      <c r="H49" s="480"/>
      <c r="I49" s="480"/>
      <c r="J49" s="573"/>
      <c r="K49" s="494"/>
      <c r="L49" s="495"/>
      <c r="M49" s="494"/>
      <c r="N49" s="480"/>
      <c r="O49" s="493"/>
      <c r="P49" s="454"/>
      <c r="Q49" s="454"/>
      <c r="R49" s="451"/>
      <c r="S49" s="451"/>
      <c r="T49" s="451"/>
      <c r="U49" s="451"/>
      <c r="V49" s="451"/>
      <c r="W49" s="451"/>
      <c r="X49" s="451"/>
      <c r="Y49" s="451"/>
      <c r="Z49" s="451"/>
      <c r="AA49" s="451"/>
      <c r="AB49" s="451"/>
      <c r="AC49" s="451"/>
      <c r="AD49" s="451"/>
      <c r="AE49" s="451"/>
      <c r="AF49" s="501"/>
      <c r="AG49" s="492"/>
      <c r="AH49" s="489">
        <f t="shared" si="0"/>
        <v>0</v>
      </c>
      <c r="AI49" s="491"/>
      <c r="AJ49" s="490"/>
      <c r="AK49" s="489">
        <f t="shared" si="1"/>
        <v>0</v>
      </c>
      <c r="AL49" s="489">
        <f t="shared" si="2"/>
        <v>0</v>
      </c>
      <c r="AM49" s="488">
        <f t="shared" si="4"/>
        <v>0</v>
      </c>
      <c r="AN49" s="500">
        <f t="shared" si="3"/>
        <v>0</v>
      </c>
      <c r="AO49" s="500"/>
      <c r="AP49" s="451"/>
      <c r="AQ49" s="452"/>
      <c r="AR49" s="451"/>
    </row>
    <row r="50" spans="1:44" s="484" customFormat="1" ht="13.5" hidden="1" customHeight="1">
      <c r="A50" s="484">
        <v>46</v>
      </c>
      <c r="B50" s="483" t="str">
        <f>IFERROR(VLOOKUP(C50,[1]Sheet1!$B$6:$C$52,2,0),"")</f>
        <v/>
      </c>
      <c r="C50" s="496"/>
      <c r="D50" s="495"/>
      <c r="E50" s="494"/>
      <c r="F50" s="495"/>
      <c r="G50" s="494"/>
      <c r="H50" s="480"/>
      <c r="I50" s="480"/>
      <c r="J50" s="573"/>
      <c r="K50" s="494"/>
      <c r="L50" s="495"/>
      <c r="M50" s="494"/>
      <c r="N50" s="480"/>
      <c r="O50" s="493"/>
      <c r="P50" s="454"/>
      <c r="Q50" s="454"/>
      <c r="R50" s="451"/>
      <c r="S50" s="451"/>
      <c r="T50" s="451"/>
      <c r="U50" s="451"/>
      <c r="V50" s="451"/>
      <c r="W50" s="451"/>
      <c r="X50" s="451"/>
      <c r="Y50" s="451"/>
      <c r="Z50" s="451"/>
      <c r="AA50" s="451"/>
      <c r="AB50" s="451"/>
      <c r="AC50" s="451"/>
      <c r="AD50" s="451"/>
      <c r="AE50" s="451"/>
      <c r="AF50" s="501"/>
      <c r="AG50" s="492"/>
      <c r="AH50" s="489">
        <f t="shared" si="0"/>
        <v>0</v>
      </c>
      <c r="AI50" s="491"/>
      <c r="AJ50" s="490"/>
      <c r="AK50" s="489">
        <f t="shared" si="1"/>
        <v>0</v>
      </c>
      <c r="AL50" s="489">
        <f t="shared" si="2"/>
        <v>0</v>
      </c>
      <c r="AM50" s="488">
        <f t="shared" si="4"/>
        <v>0</v>
      </c>
      <c r="AN50" s="500">
        <f t="shared" si="3"/>
        <v>0</v>
      </c>
      <c r="AO50" s="500"/>
      <c r="AP50" s="451"/>
      <c r="AQ50" s="452"/>
      <c r="AR50" s="451"/>
    </row>
    <row r="51" spans="1:44" s="484" customFormat="1" ht="13.5" hidden="1" customHeight="1">
      <c r="A51" s="484">
        <v>47</v>
      </c>
      <c r="B51" s="483" t="str">
        <f>IFERROR(VLOOKUP(C51,[1]Sheet1!$B$6:$C$52,2,0),"")</f>
        <v/>
      </c>
      <c r="C51" s="496"/>
      <c r="D51" s="495"/>
      <c r="E51" s="494"/>
      <c r="F51" s="495"/>
      <c r="G51" s="494"/>
      <c r="H51" s="480"/>
      <c r="I51" s="480"/>
      <c r="J51" s="573"/>
      <c r="K51" s="494"/>
      <c r="L51" s="495"/>
      <c r="M51" s="494"/>
      <c r="N51" s="480"/>
      <c r="O51" s="493"/>
      <c r="P51" s="454"/>
      <c r="Q51" s="454"/>
      <c r="R51" s="451"/>
      <c r="S51" s="451"/>
      <c r="T51" s="451"/>
      <c r="U51" s="451"/>
      <c r="V51" s="451"/>
      <c r="W51" s="451"/>
      <c r="X51" s="451"/>
      <c r="Y51" s="451"/>
      <c r="Z51" s="451"/>
      <c r="AA51" s="451"/>
      <c r="AB51" s="451"/>
      <c r="AC51" s="451"/>
      <c r="AD51" s="451"/>
      <c r="AE51" s="451"/>
      <c r="AF51" s="501"/>
      <c r="AG51" s="492"/>
      <c r="AH51" s="489">
        <f t="shared" si="0"/>
        <v>0</v>
      </c>
      <c r="AI51" s="491"/>
      <c r="AJ51" s="490"/>
      <c r="AK51" s="489">
        <f t="shared" si="1"/>
        <v>0</v>
      </c>
      <c r="AL51" s="489">
        <f t="shared" si="2"/>
        <v>0</v>
      </c>
      <c r="AM51" s="488">
        <f t="shared" si="4"/>
        <v>0</v>
      </c>
      <c r="AN51" s="500">
        <f t="shared" si="3"/>
        <v>0</v>
      </c>
      <c r="AO51" s="500"/>
      <c r="AP51" s="451"/>
      <c r="AQ51" s="452"/>
      <c r="AR51" s="451"/>
    </row>
    <row r="52" spans="1:44" s="484" customFormat="1" ht="13.5" hidden="1" customHeight="1">
      <c r="A52" s="484">
        <v>48</v>
      </c>
      <c r="B52" s="483" t="str">
        <f>IFERROR(VLOOKUP(C52,[1]Sheet1!$B$6:$C$52,2,0),"")</f>
        <v/>
      </c>
      <c r="C52" s="496"/>
      <c r="D52" s="495"/>
      <c r="E52" s="494"/>
      <c r="F52" s="495"/>
      <c r="G52" s="494"/>
      <c r="H52" s="480"/>
      <c r="I52" s="480"/>
      <c r="J52" s="573"/>
      <c r="K52" s="494"/>
      <c r="L52" s="495"/>
      <c r="M52" s="494"/>
      <c r="N52" s="480"/>
      <c r="O52" s="493"/>
      <c r="P52" s="454"/>
      <c r="Q52" s="454"/>
      <c r="R52" s="451"/>
      <c r="S52" s="451"/>
      <c r="T52" s="451"/>
      <c r="U52" s="451"/>
      <c r="V52" s="451"/>
      <c r="W52" s="451"/>
      <c r="X52" s="451"/>
      <c r="Y52" s="451"/>
      <c r="Z52" s="451"/>
      <c r="AA52" s="451"/>
      <c r="AB52" s="451"/>
      <c r="AC52" s="451"/>
      <c r="AD52" s="451"/>
      <c r="AE52" s="451"/>
      <c r="AF52" s="501"/>
      <c r="AG52" s="492"/>
      <c r="AH52" s="489">
        <f t="shared" si="0"/>
        <v>0</v>
      </c>
      <c r="AI52" s="491"/>
      <c r="AJ52" s="490"/>
      <c r="AK52" s="489">
        <f t="shared" si="1"/>
        <v>0</v>
      </c>
      <c r="AL52" s="489">
        <f t="shared" si="2"/>
        <v>0</v>
      </c>
      <c r="AM52" s="488">
        <f t="shared" si="4"/>
        <v>0</v>
      </c>
      <c r="AN52" s="500">
        <f t="shared" si="3"/>
        <v>0</v>
      </c>
      <c r="AO52" s="500"/>
      <c r="AP52" s="451"/>
      <c r="AQ52" s="452"/>
      <c r="AR52" s="451"/>
    </row>
    <row r="53" spans="1:44" s="484" customFormat="1" ht="13.5" hidden="1" customHeight="1">
      <c r="A53" s="484">
        <v>49</v>
      </c>
      <c r="B53" s="483" t="str">
        <f>IFERROR(VLOOKUP(C53,[1]Sheet1!$B$6:$C$52,2,0),"")</f>
        <v/>
      </c>
      <c r="C53" s="496"/>
      <c r="D53" s="495"/>
      <c r="E53" s="494"/>
      <c r="F53" s="495"/>
      <c r="G53" s="494"/>
      <c r="H53" s="480"/>
      <c r="I53" s="480"/>
      <c r="J53" s="573"/>
      <c r="K53" s="494"/>
      <c r="L53" s="495"/>
      <c r="M53" s="494"/>
      <c r="N53" s="480"/>
      <c r="O53" s="493"/>
      <c r="P53" s="454"/>
      <c r="Q53" s="454"/>
      <c r="R53" s="451"/>
      <c r="S53" s="451"/>
      <c r="T53" s="451"/>
      <c r="U53" s="451"/>
      <c r="V53" s="451"/>
      <c r="W53" s="451"/>
      <c r="X53" s="451"/>
      <c r="Y53" s="451"/>
      <c r="Z53" s="451"/>
      <c r="AA53" s="451"/>
      <c r="AB53" s="451"/>
      <c r="AC53" s="451"/>
      <c r="AD53" s="451"/>
      <c r="AE53" s="451"/>
      <c r="AF53" s="501"/>
      <c r="AG53" s="492"/>
      <c r="AH53" s="489">
        <f t="shared" si="0"/>
        <v>0</v>
      </c>
      <c r="AI53" s="491"/>
      <c r="AJ53" s="490"/>
      <c r="AK53" s="489">
        <f t="shared" si="1"/>
        <v>0</v>
      </c>
      <c r="AL53" s="489">
        <f t="shared" si="2"/>
        <v>0</v>
      </c>
      <c r="AM53" s="488">
        <f t="shared" si="4"/>
        <v>0</v>
      </c>
      <c r="AN53" s="500">
        <f t="shared" si="3"/>
        <v>0</v>
      </c>
      <c r="AO53" s="500"/>
      <c r="AP53" s="451"/>
      <c r="AQ53" s="452"/>
      <c r="AR53" s="451"/>
    </row>
    <row r="54" spans="1:44" s="484" customFormat="1" ht="13.5" hidden="1" customHeight="1">
      <c r="A54" s="484">
        <v>50</v>
      </c>
      <c r="B54" s="483" t="str">
        <f>IFERROR(VLOOKUP(C54,[1]Sheet1!$B$6:$C$52,2,0),"")</f>
        <v/>
      </c>
      <c r="C54" s="496"/>
      <c r="D54" s="495"/>
      <c r="E54" s="494"/>
      <c r="F54" s="495"/>
      <c r="G54" s="494"/>
      <c r="H54" s="480"/>
      <c r="I54" s="480"/>
      <c r="J54" s="573"/>
      <c r="K54" s="494"/>
      <c r="L54" s="495"/>
      <c r="M54" s="494"/>
      <c r="N54" s="480"/>
      <c r="O54" s="493"/>
      <c r="P54" s="454"/>
      <c r="Q54" s="454"/>
      <c r="R54" s="451"/>
      <c r="S54" s="451"/>
      <c r="T54" s="451"/>
      <c r="U54" s="451"/>
      <c r="V54" s="451"/>
      <c r="W54" s="451"/>
      <c r="X54" s="451"/>
      <c r="Y54" s="451"/>
      <c r="Z54" s="451"/>
      <c r="AA54" s="451"/>
      <c r="AB54" s="451"/>
      <c r="AC54" s="451"/>
      <c r="AD54" s="451"/>
      <c r="AE54" s="451"/>
      <c r="AF54" s="501"/>
      <c r="AG54" s="492"/>
      <c r="AH54" s="489">
        <f t="shared" si="0"/>
        <v>0</v>
      </c>
      <c r="AI54" s="491"/>
      <c r="AJ54" s="490"/>
      <c r="AK54" s="489">
        <f t="shared" si="1"/>
        <v>0</v>
      </c>
      <c r="AL54" s="489">
        <f t="shared" si="2"/>
        <v>0</v>
      </c>
      <c r="AM54" s="488">
        <f t="shared" si="4"/>
        <v>0</v>
      </c>
      <c r="AN54" s="500">
        <f t="shared" si="3"/>
        <v>0</v>
      </c>
      <c r="AO54" s="500"/>
      <c r="AP54" s="451"/>
      <c r="AQ54" s="452"/>
      <c r="AR54" s="451"/>
    </row>
    <row r="55" spans="1:44" s="484" customFormat="1" ht="13.5" hidden="1" customHeight="1">
      <c r="A55" s="484">
        <v>51</v>
      </c>
      <c r="B55" s="483" t="str">
        <f>IFERROR(VLOOKUP(C55,[1]Sheet1!$B$6:$C$52,2,0),"")</f>
        <v/>
      </c>
      <c r="C55" s="496"/>
      <c r="D55" s="495"/>
      <c r="E55" s="494"/>
      <c r="F55" s="495"/>
      <c r="G55" s="494"/>
      <c r="H55" s="480"/>
      <c r="I55" s="480"/>
      <c r="J55" s="573"/>
      <c r="K55" s="494"/>
      <c r="L55" s="495"/>
      <c r="M55" s="494"/>
      <c r="N55" s="480"/>
      <c r="O55" s="493"/>
      <c r="P55" s="454"/>
      <c r="Q55" s="454"/>
      <c r="R55" s="451"/>
      <c r="S55" s="451"/>
      <c r="T55" s="451"/>
      <c r="U55" s="451"/>
      <c r="V55" s="451"/>
      <c r="W55" s="451"/>
      <c r="X55" s="451"/>
      <c r="Y55" s="451"/>
      <c r="Z55" s="451"/>
      <c r="AA55" s="451"/>
      <c r="AB55" s="451"/>
      <c r="AC55" s="451"/>
      <c r="AD55" s="451"/>
      <c r="AE55" s="451"/>
      <c r="AF55" s="501"/>
      <c r="AG55" s="492"/>
      <c r="AH55" s="489">
        <f t="shared" si="0"/>
        <v>0</v>
      </c>
      <c r="AI55" s="491"/>
      <c r="AJ55" s="490"/>
      <c r="AK55" s="489">
        <f t="shared" si="1"/>
        <v>0</v>
      </c>
      <c r="AL55" s="489">
        <f t="shared" si="2"/>
        <v>0</v>
      </c>
      <c r="AM55" s="488">
        <f t="shared" si="4"/>
        <v>0</v>
      </c>
      <c r="AN55" s="500">
        <f t="shared" si="3"/>
        <v>0</v>
      </c>
      <c r="AO55" s="500"/>
      <c r="AP55" s="451"/>
      <c r="AQ55" s="452"/>
      <c r="AR55" s="451"/>
    </row>
    <row r="56" spans="1:44" s="484" customFormat="1" ht="13.5" hidden="1" customHeight="1">
      <c r="A56" s="484">
        <v>52</v>
      </c>
      <c r="B56" s="483" t="str">
        <f>IFERROR(VLOOKUP(C56,[1]Sheet1!$B$6:$C$52,2,0),"")</f>
        <v/>
      </c>
      <c r="C56" s="496"/>
      <c r="D56" s="495"/>
      <c r="E56" s="494"/>
      <c r="F56" s="495"/>
      <c r="G56" s="494"/>
      <c r="H56" s="480"/>
      <c r="I56" s="480"/>
      <c r="J56" s="573"/>
      <c r="K56" s="494"/>
      <c r="L56" s="495"/>
      <c r="M56" s="494"/>
      <c r="N56" s="480"/>
      <c r="O56" s="493"/>
      <c r="P56" s="454"/>
      <c r="Q56" s="454"/>
      <c r="R56" s="451"/>
      <c r="S56" s="451"/>
      <c r="T56" s="451"/>
      <c r="U56" s="451"/>
      <c r="V56" s="451"/>
      <c r="W56" s="451"/>
      <c r="X56" s="451"/>
      <c r="Y56" s="451"/>
      <c r="Z56" s="451"/>
      <c r="AA56" s="451"/>
      <c r="AB56" s="451"/>
      <c r="AC56" s="451"/>
      <c r="AD56" s="451"/>
      <c r="AE56" s="451"/>
      <c r="AF56" s="501"/>
      <c r="AG56" s="492"/>
      <c r="AH56" s="489">
        <f t="shared" si="0"/>
        <v>0</v>
      </c>
      <c r="AI56" s="491"/>
      <c r="AJ56" s="490"/>
      <c r="AK56" s="489">
        <f t="shared" si="1"/>
        <v>0</v>
      </c>
      <c r="AL56" s="489">
        <f t="shared" si="2"/>
        <v>0</v>
      </c>
      <c r="AM56" s="488">
        <f t="shared" si="4"/>
        <v>0</v>
      </c>
      <c r="AN56" s="500">
        <f t="shared" si="3"/>
        <v>0</v>
      </c>
      <c r="AO56" s="500"/>
      <c r="AP56" s="451"/>
      <c r="AQ56" s="452"/>
      <c r="AR56" s="451"/>
    </row>
    <row r="57" spans="1:44" s="484" customFormat="1" ht="13.5" hidden="1" customHeight="1">
      <c r="A57" s="484">
        <v>53</v>
      </c>
      <c r="B57" s="483" t="str">
        <f>IFERROR(VLOOKUP(C57,[1]Sheet1!$B$6:$C$52,2,0),"")</f>
        <v/>
      </c>
      <c r="C57" s="496"/>
      <c r="D57" s="495"/>
      <c r="E57" s="494"/>
      <c r="F57" s="495"/>
      <c r="G57" s="494"/>
      <c r="H57" s="480"/>
      <c r="I57" s="480"/>
      <c r="J57" s="573"/>
      <c r="K57" s="494"/>
      <c r="L57" s="495"/>
      <c r="M57" s="494"/>
      <c r="N57" s="480"/>
      <c r="O57" s="493"/>
      <c r="P57" s="454"/>
      <c r="Q57" s="454"/>
      <c r="R57" s="451"/>
      <c r="S57" s="451"/>
      <c r="T57" s="451"/>
      <c r="U57" s="451"/>
      <c r="V57" s="451"/>
      <c r="W57" s="451"/>
      <c r="X57" s="451"/>
      <c r="Y57" s="451"/>
      <c r="Z57" s="451"/>
      <c r="AA57" s="451"/>
      <c r="AB57" s="451"/>
      <c r="AC57" s="451"/>
      <c r="AD57" s="451"/>
      <c r="AE57" s="451"/>
      <c r="AF57" s="501"/>
      <c r="AG57" s="492"/>
      <c r="AH57" s="489">
        <f t="shared" si="0"/>
        <v>0</v>
      </c>
      <c r="AI57" s="491"/>
      <c r="AJ57" s="490"/>
      <c r="AK57" s="489">
        <f t="shared" si="1"/>
        <v>0</v>
      </c>
      <c r="AL57" s="489">
        <f t="shared" si="2"/>
        <v>0</v>
      </c>
      <c r="AM57" s="488">
        <f t="shared" si="4"/>
        <v>0</v>
      </c>
      <c r="AN57" s="500">
        <f t="shared" si="3"/>
        <v>0</v>
      </c>
      <c r="AO57" s="500"/>
      <c r="AP57" s="451"/>
      <c r="AQ57" s="452"/>
      <c r="AR57" s="451"/>
    </row>
    <row r="58" spans="1:44" s="484" customFormat="1" ht="13.5" hidden="1" customHeight="1">
      <c r="A58" s="484">
        <v>54</v>
      </c>
      <c r="B58" s="483" t="str">
        <f>IFERROR(VLOOKUP(C58,[1]Sheet1!$B$6:$C$52,2,0),"")</f>
        <v/>
      </c>
      <c r="C58" s="496"/>
      <c r="D58" s="495"/>
      <c r="E58" s="494"/>
      <c r="F58" s="495"/>
      <c r="G58" s="494"/>
      <c r="H58" s="480"/>
      <c r="I58" s="480"/>
      <c r="J58" s="573"/>
      <c r="K58" s="494"/>
      <c r="L58" s="495"/>
      <c r="M58" s="494"/>
      <c r="N58" s="480"/>
      <c r="O58" s="493"/>
      <c r="P58" s="454"/>
      <c r="Q58" s="454"/>
      <c r="R58" s="451"/>
      <c r="S58" s="451"/>
      <c r="T58" s="451"/>
      <c r="U58" s="451"/>
      <c r="V58" s="451"/>
      <c r="W58" s="451"/>
      <c r="X58" s="451"/>
      <c r="Y58" s="451"/>
      <c r="Z58" s="451"/>
      <c r="AA58" s="451"/>
      <c r="AB58" s="451"/>
      <c r="AC58" s="451"/>
      <c r="AD58" s="451"/>
      <c r="AE58" s="451"/>
      <c r="AF58" s="501"/>
      <c r="AG58" s="492"/>
      <c r="AH58" s="489">
        <f t="shared" si="0"/>
        <v>0</v>
      </c>
      <c r="AI58" s="491"/>
      <c r="AJ58" s="490"/>
      <c r="AK58" s="489">
        <f t="shared" si="1"/>
        <v>0</v>
      </c>
      <c r="AL58" s="489">
        <f t="shared" si="2"/>
        <v>0</v>
      </c>
      <c r="AM58" s="488">
        <f t="shared" si="4"/>
        <v>0</v>
      </c>
      <c r="AN58" s="500">
        <f t="shared" si="3"/>
        <v>0</v>
      </c>
      <c r="AO58" s="500"/>
      <c r="AP58" s="451"/>
      <c r="AQ58" s="452"/>
      <c r="AR58" s="451"/>
    </row>
    <row r="59" spans="1:44" s="484" customFormat="1" ht="13.5" hidden="1" customHeight="1">
      <c r="A59" s="484">
        <v>55</v>
      </c>
      <c r="B59" s="483" t="str">
        <f>IFERROR(VLOOKUP(C59,[1]Sheet1!$B$6:$C$52,2,0),"")</f>
        <v/>
      </c>
      <c r="C59" s="496"/>
      <c r="D59" s="495"/>
      <c r="E59" s="494"/>
      <c r="F59" s="495"/>
      <c r="G59" s="494"/>
      <c r="H59" s="480"/>
      <c r="I59" s="480"/>
      <c r="J59" s="573"/>
      <c r="K59" s="494"/>
      <c r="L59" s="495"/>
      <c r="M59" s="494"/>
      <c r="N59" s="480"/>
      <c r="O59" s="493"/>
      <c r="P59" s="454"/>
      <c r="Q59" s="454"/>
      <c r="R59" s="451"/>
      <c r="S59" s="451"/>
      <c r="T59" s="451"/>
      <c r="U59" s="451"/>
      <c r="V59" s="451"/>
      <c r="W59" s="451"/>
      <c r="X59" s="451"/>
      <c r="Y59" s="451"/>
      <c r="Z59" s="451"/>
      <c r="AA59" s="451"/>
      <c r="AB59" s="451"/>
      <c r="AC59" s="451"/>
      <c r="AD59" s="451"/>
      <c r="AE59" s="451"/>
      <c r="AF59" s="501"/>
      <c r="AG59" s="492"/>
      <c r="AH59" s="489">
        <f t="shared" si="0"/>
        <v>0</v>
      </c>
      <c r="AI59" s="491"/>
      <c r="AJ59" s="490"/>
      <c r="AK59" s="489">
        <f t="shared" si="1"/>
        <v>0</v>
      </c>
      <c r="AL59" s="489">
        <f t="shared" si="2"/>
        <v>0</v>
      </c>
      <c r="AM59" s="488">
        <f t="shared" si="4"/>
        <v>0</v>
      </c>
      <c r="AN59" s="500">
        <f t="shared" si="3"/>
        <v>0</v>
      </c>
      <c r="AO59" s="500"/>
      <c r="AP59" s="451"/>
      <c r="AQ59" s="452"/>
      <c r="AR59" s="451"/>
    </row>
    <row r="60" spans="1:44" s="484" customFormat="1" ht="13.5" hidden="1" customHeight="1">
      <c r="A60" s="484">
        <v>56</v>
      </c>
      <c r="B60" s="483" t="str">
        <f>IFERROR(VLOOKUP(C60,[1]Sheet1!$B$6:$C$52,2,0),"")</f>
        <v/>
      </c>
      <c r="C60" s="496"/>
      <c r="D60" s="495"/>
      <c r="E60" s="494"/>
      <c r="F60" s="495"/>
      <c r="G60" s="494"/>
      <c r="H60" s="480"/>
      <c r="I60" s="480"/>
      <c r="J60" s="573"/>
      <c r="K60" s="494"/>
      <c r="L60" s="495"/>
      <c r="M60" s="494"/>
      <c r="N60" s="480"/>
      <c r="O60" s="493"/>
      <c r="P60" s="454"/>
      <c r="Q60" s="454"/>
      <c r="R60" s="451"/>
      <c r="S60" s="451"/>
      <c r="T60" s="451"/>
      <c r="U60" s="451"/>
      <c r="V60" s="451"/>
      <c r="W60" s="451"/>
      <c r="X60" s="451"/>
      <c r="Y60" s="451"/>
      <c r="Z60" s="451"/>
      <c r="AA60" s="451"/>
      <c r="AB60" s="451"/>
      <c r="AC60" s="451"/>
      <c r="AD60" s="451"/>
      <c r="AE60" s="451"/>
      <c r="AF60" s="501"/>
      <c r="AG60" s="492"/>
      <c r="AH60" s="489">
        <f t="shared" si="0"/>
        <v>0</v>
      </c>
      <c r="AI60" s="491"/>
      <c r="AJ60" s="490"/>
      <c r="AK60" s="489">
        <f t="shared" si="1"/>
        <v>0</v>
      </c>
      <c r="AL60" s="489">
        <f t="shared" si="2"/>
        <v>0</v>
      </c>
      <c r="AM60" s="488">
        <f t="shared" si="4"/>
        <v>0</v>
      </c>
      <c r="AN60" s="500">
        <f t="shared" si="3"/>
        <v>0</v>
      </c>
      <c r="AO60" s="500"/>
      <c r="AP60" s="451"/>
      <c r="AQ60" s="452"/>
      <c r="AR60" s="451"/>
    </row>
    <row r="61" spans="1:44" s="484" customFormat="1" ht="13.5" hidden="1" customHeight="1">
      <c r="A61" s="484">
        <v>57</v>
      </c>
      <c r="B61" s="483" t="str">
        <f>IFERROR(VLOOKUP(C61,[1]Sheet1!$B$6:$C$52,2,0),"")</f>
        <v/>
      </c>
      <c r="C61" s="496"/>
      <c r="D61" s="495"/>
      <c r="E61" s="494"/>
      <c r="F61" s="495"/>
      <c r="G61" s="494"/>
      <c r="H61" s="480"/>
      <c r="I61" s="480"/>
      <c r="J61" s="573"/>
      <c r="K61" s="494"/>
      <c r="L61" s="495"/>
      <c r="M61" s="494"/>
      <c r="N61" s="480"/>
      <c r="O61" s="493"/>
      <c r="P61" s="454"/>
      <c r="Q61" s="454"/>
      <c r="R61" s="451"/>
      <c r="S61" s="451"/>
      <c r="T61" s="451"/>
      <c r="U61" s="451"/>
      <c r="V61" s="451"/>
      <c r="W61" s="451"/>
      <c r="X61" s="451"/>
      <c r="Y61" s="451"/>
      <c r="Z61" s="451"/>
      <c r="AA61" s="451"/>
      <c r="AB61" s="451"/>
      <c r="AC61" s="451"/>
      <c r="AD61" s="451"/>
      <c r="AE61" s="451"/>
      <c r="AF61" s="501"/>
      <c r="AG61" s="492"/>
      <c r="AH61" s="489">
        <f t="shared" si="0"/>
        <v>0</v>
      </c>
      <c r="AI61" s="491"/>
      <c r="AJ61" s="490"/>
      <c r="AK61" s="489">
        <f t="shared" si="1"/>
        <v>0</v>
      </c>
      <c r="AL61" s="489">
        <f t="shared" si="2"/>
        <v>0</v>
      </c>
      <c r="AM61" s="488">
        <f t="shared" si="4"/>
        <v>0</v>
      </c>
      <c r="AN61" s="500">
        <f t="shared" si="3"/>
        <v>0</v>
      </c>
      <c r="AO61" s="500"/>
      <c r="AP61" s="451"/>
      <c r="AQ61" s="452"/>
      <c r="AR61" s="451"/>
    </row>
    <row r="62" spans="1:44" s="484" customFormat="1" ht="13.5" hidden="1" customHeight="1">
      <c r="A62" s="484">
        <v>58</v>
      </c>
      <c r="B62" s="483" t="str">
        <f>IFERROR(VLOOKUP(C62,[1]Sheet1!$B$6:$C$52,2,0),"")</f>
        <v/>
      </c>
      <c r="C62" s="496"/>
      <c r="D62" s="495"/>
      <c r="E62" s="494"/>
      <c r="F62" s="495"/>
      <c r="G62" s="494"/>
      <c r="H62" s="480"/>
      <c r="I62" s="480"/>
      <c r="J62" s="573"/>
      <c r="K62" s="494"/>
      <c r="L62" s="495"/>
      <c r="M62" s="494"/>
      <c r="N62" s="480"/>
      <c r="O62" s="493"/>
      <c r="P62" s="454"/>
      <c r="Q62" s="454"/>
      <c r="R62" s="451"/>
      <c r="S62" s="451"/>
      <c r="T62" s="451"/>
      <c r="U62" s="451"/>
      <c r="V62" s="451"/>
      <c r="W62" s="451"/>
      <c r="X62" s="451"/>
      <c r="Y62" s="451"/>
      <c r="Z62" s="451"/>
      <c r="AA62" s="451"/>
      <c r="AB62" s="451"/>
      <c r="AC62" s="451"/>
      <c r="AD62" s="451"/>
      <c r="AE62" s="451"/>
      <c r="AF62" s="501"/>
      <c r="AG62" s="492"/>
      <c r="AH62" s="489">
        <f t="shared" si="0"/>
        <v>0</v>
      </c>
      <c r="AI62" s="491"/>
      <c r="AJ62" s="490"/>
      <c r="AK62" s="489">
        <f t="shared" si="1"/>
        <v>0</v>
      </c>
      <c r="AL62" s="489">
        <f t="shared" si="2"/>
        <v>0</v>
      </c>
      <c r="AM62" s="488">
        <f t="shared" si="4"/>
        <v>0</v>
      </c>
      <c r="AN62" s="500">
        <f t="shared" si="3"/>
        <v>0</v>
      </c>
      <c r="AO62" s="500"/>
      <c r="AP62" s="451"/>
      <c r="AQ62" s="452"/>
      <c r="AR62" s="451"/>
    </row>
    <row r="63" spans="1:44" s="484" customFormat="1" ht="13.5" hidden="1" customHeight="1">
      <c r="A63" s="484">
        <v>59</v>
      </c>
      <c r="B63" s="483" t="str">
        <f>IFERROR(VLOOKUP(C63,[1]Sheet1!$B$6:$C$52,2,0),"")</f>
        <v/>
      </c>
      <c r="C63" s="496"/>
      <c r="D63" s="495"/>
      <c r="E63" s="494"/>
      <c r="F63" s="495"/>
      <c r="G63" s="494"/>
      <c r="H63" s="480"/>
      <c r="I63" s="480"/>
      <c r="J63" s="573"/>
      <c r="K63" s="494"/>
      <c r="L63" s="495"/>
      <c r="M63" s="494"/>
      <c r="N63" s="480"/>
      <c r="O63" s="493"/>
      <c r="P63" s="454"/>
      <c r="Q63" s="454"/>
      <c r="R63" s="451"/>
      <c r="S63" s="451"/>
      <c r="T63" s="451"/>
      <c r="U63" s="451"/>
      <c r="V63" s="451"/>
      <c r="W63" s="451"/>
      <c r="X63" s="451"/>
      <c r="Y63" s="451"/>
      <c r="Z63" s="451"/>
      <c r="AA63" s="451"/>
      <c r="AB63" s="451"/>
      <c r="AC63" s="451"/>
      <c r="AD63" s="451"/>
      <c r="AE63" s="451"/>
      <c r="AF63" s="501"/>
      <c r="AG63" s="492"/>
      <c r="AH63" s="489">
        <f t="shared" si="0"/>
        <v>0</v>
      </c>
      <c r="AI63" s="491"/>
      <c r="AJ63" s="490"/>
      <c r="AK63" s="489">
        <f t="shared" si="1"/>
        <v>0</v>
      </c>
      <c r="AL63" s="489">
        <f t="shared" si="2"/>
        <v>0</v>
      </c>
      <c r="AM63" s="488">
        <f t="shared" si="4"/>
        <v>0</v>
      </c>
      <c r="AN63" s="500">
        <f t="shared" si="3"/>
        <v>0</v>
      </c>
      <c r="AO63" s="500"/>
      <c r="AP63" s="451"/>
      <c r="AQ63" s="452"/>
      <c r="AR63" s="451"/>
    </row>
    <row r="64" spans="1:44" s="484" customFormat="1" ht="13.5" hidden="1" customHeight="1">
      <c r="A64" s="484">
        <v>60</v>
      </c>
      <c r="B64" s="483" t="str">
        <f>IFERROR(VLOOKUP(C64,[1]Sheet1!$B$6:$C$52,2,0),"")</f>
        <v/>
      </c>
      <c r="C64" s="496"/>
      <c r="D64" s="495"/>
      <c r="E64" s="494"/>
      <c r="F64" s="495"/>
      <c r="G64" s="494"/>
      <c r="H64" s="480"/>
      <c r="I64" s="480"/>
      <c r="J64" s="573"/>
      <c r="K64" s="494"/>
      <c r="L64" s="495"/>
      <c r="M64" s="494"/>
      <c r="N64" s="480"/>
      <c r="O64" s="493"/>
      <c r="P64" s="454"/>
      <c r="Q64" s="454"/>
      <c r="R64" s="451"/>
      <c r="S64" s="451"/>
      <c r="T64" s="451"/>
      <c r="U64" s="451"/>
      <c r="V64" s="451"/>
      <c r="W64" s="451"/>
      <c r="X64" s="451"/>
      <c r="Y64" s="451"/>
      <c r="Z64" s="451"/>
      <c r="AA64" s="451"/>
      <c r="AB64" s="451"/>
      <c r="AC64" s="451"/>
      <c r="AD64" s="451"/>
      <c r="AE64" s="451"/>
      <c r="AF64" s="501"/>
      <c r="AG64" s="492"/>
      <c r="AH64" s="489">
        <f t="shared" si="0"/>
        <v>0</v>
      </c>
      <c r="AI64" s="491"/>
      <c r="AJ64" s="490"/>
      <c r="AK64" s="489">
        <f t="shared" si="1"/>
        <v>0</v>
      </c>
      <c r="AL64" s="489">
        <f t="shared" si="2"/>
        <v>0</v>
      </c>
      <c r="AM64" s="488">
        <f t="shared" si="4"/>
        <v>0</v>
      </c>
      <c r="AN64" s="500">
        <f t="shared" si="3"/>
        <v>0</v>
      </c>
      <c r="AO64" s="500"/>
      <c r="AP64" s="451"/>
      <c r="AQ64" s="452"/>
      <c r="AR64" s="451"/>
    </row>
    <row r="65" spans="1:44" s="484" customFormat="1" ht="13.5" hidden="1" customHeight="1">
      <c r="A65" s="484">
        <v>61</v>
      </c>
      <c r="B65" s="483" t="str">
        <f>IFERROR(VLOOKUP(C65,[1]Sheet1!$B$6:$C$52,2,0),"")</f>
        <v/>
      </c>
      <c r="C65" s="496"/>
      <c r="D65" s="495"/>
      <c r="E65" s="494"/>
      <c r="F65" s="495"/>
      <c r="G65" s="494"/>
      <c r="H65" s="480"/>
      <c r="I65" s="480"/>
      <c r="J65" s="573"/>
      <c r="K65" s="494"/>
      <c r="L65" s="495"/>
      <c r="M65" s="494"/>
      <c r="N65" s="480"/>
      <c r="O65" s="493"/>
      <c r="P65" s="454"/>
      <c r="Q65" s="454"/>
      <c r="R65" s="451"/>
      <c r="S65" s="451"/>
      <c r="T65" s="451"/>
      <c r="U65" s="451"/>
      <c r="V65" s="451"/>
      <c r="W65" s="451"/>
      <c r="X65" s="451"/>
      <c r="Y65" s="451"/>
      <c r="Z65" s="451"/>
      <c r="AA65" s="451"/>
      <c r="AB65" s="451"/>
      <c r="AC65" s="451"/>
      <c r="AD65" s="451"/>
      <c r="AE65" s="451"/>
      <c r="AF65" s="501"/>
      <c r="AG65" s="492"/>
      <c r="AH65" s="489">
        <f t="shared" si="0"/>
        <v>0</v>
      </c>
      <c r="AI65" s="491"/>
      <c r="AJ65" s="490"/>
      <c r="AK65" s="489">
        <f t="shared" si="1"/>
        <v>0</v>
      </c>
      <c r="AL65" s="489">
        <f t="shared" si="2"/>
        <v>0</v>
      </c>
      <c r="AM65" s="488">
        <f t="shared" si="4"/>
        <v>0</v>
      </c>
      <c r="AN65" s="500">
        <f t="shared" si="3"/>
        <v>0</v>
      </c>
      <c r="AO65" s="500"/>
      <c r="AP65" s="451"/>
      <c r="AQ65" s="452"/>
      <c r="AR65" s="451"/>
    </row>
    <row r="66" spans="1:44" s="484" customFormat="1" ht="13.5" hidden="1" customHeight="1">
      <c r="A66" s="484">
        <v>62</v>
      </c>
      <c r="B66" s="483" t="str">
        <f>IFERROR(VLOOKUP(C66,[1]Sheet1!$B$6:$C$52,2,0),"")</f>
        <v/>
      </c>
      <c r="C66" s="496"/>
      <c r="D66" s="495"/>
      <c r="E66" s="494"/>
      <c r="F66" s="495"/>
      <c r="G66" s="494"/>
      <c r="H66" s="480"/>
      <c r="I66" s="480"/>
      <c r="J66" s="573"/>
      <c r="K66" s="494"/>
      <c r="L66" s="495"/>
      <c r="M66" s="494"/>
      <c r="N66" s="480"/>
      <c r="O66" s="493"/>
      <c r="P66" s="454"/>
      <c r="Q66" s="454"/>
      <c r="R66" s="451"/>
      <c r="S66" s="451"/>
      <c r="T66" s="451"/>
      <c r="U66" s="451"/>
      <c r="V66" s="451"/>
      <c r="W66" s="451"/>
      <c r="X66" s="451"/>
      <c r="Y66" s="451"/>
      <c r="Z66" s="451"/>
      <c r="AA66" s="451"/>
      <c r="AB66" s="451"/>
      <c r="AC66" s="451"/>
      <c r="AD66" s="451"/>
      <c r="AE66" s="451"/>
      <c r="AF66" s="501"/>
      <c r="AG66" s="492"/>
      <c r="AH66" s="489">
        <f t="shared" si="0"/>
        <v>0</v>
      </c>
      <c r="AI66" s="491"/>
      <c r="AJ66" s="490"/>
      <c r="AK66" s="489">
        <f t="shared" si="1"/>
        <v>0</v>
      </c>
      <c r="AL66" s="489">
        <f t="shared" si="2"/>
        <v>0</v>
      </c>
      <c r="AM66" s="488">
        <f t="shared" si="4"/>
        <v>0</v>
      </c>
      <c r="AN66" s="500">
        <f t="shared" si="3"/>
        <v>0</v>
      </c>
      <c r="AO66" s="500"/>
      <c r="AP66" s="451"/>
      <c r="AQ66" s="452"/>
      <c r="AR66" s="451"/>
    </row>
    <row r="67" spans="1:44" s="484" customFormat="1" ht="13.5" hidden="1" customHeight="1">
      <c r="A67" s="484">
        <v>63</v>
      </c>
      <c r="B67" s="483" t="str">
        <f>IFERROR(VLOOKUP(C67,[1]Sheet1!$B$6:$C$52,2,0),"")</f>
        <v/>
      </c>
      <c r="C67" s="496"/>
      <c r="D67" s="495"/>
      <c r="E67" s="494"/>
      <c r="F67" s="495"/>
      <c r="G67" s="494"/>
      <c r="H67" s="480"/>
      <c r="I67" s="480"/>
      <c r="J67" s="573"/>
      <c r="K67" s="494"/>
      <c r="L67" s="495"/>
      <c r="M67" s="494"/>
      <c r="N67" s="480"/>
      <c r="O67" s="493"/>
      <c r="P67" s="454"/>
      <c r="Q67" s="454"/>
      <c r="R67" s="451"/>
      <c r="S67" s="451"/>
      <c r="T67" s="451"/>
      <c r="U67" s="451"/>
      <c r="V67" s="451"/>
      <c r="W67" s="451"/>
      <c r="X67" s="451"/>
      <c r="Y67" s="451"/>
      <c r="Z67" s="451"/>
      <c r="AA67" s="451"/>
      <c r="AB67" s="451"/>
      <c r="AC67" s="451"/>
      <c r="AD67" s="451"/>
      <c r="AE67" s="451"/>
      <c r="AF67" s="501"/>
      <c r="AG67" s="492"/>
      <c r="AH67" s="489">
        <f t="shared" si="0"/>
        <v>0</v>
      </c>
      <c r="AI67" s="491"/>
      <c r="AJ67" s="490"/>
      <c r="AK67" s="489">
        <f t="shared" si="1"/>
        <v>0</v>
      </c>
      <c r="AL67" s="489">
        <f t="shared" si="2"/>
        <v>0</v>
      </c>
      <c r="AM67" s="488">
        <f t="shared" si="4"/>
        <v>0</v>
      </c>
      <c r="AN67" s="500">
        <f t="shared" si="3"/>
        <v>0</v>
      </c>
      <c r="AO67" s="500"/>
      <c r="AP67" s="451"/>
      <c r="AQ67" s="452"/>
      <c r="AR67" s="451"/>
    </row>
    <row r="68" spans="1:44" s="484" customFormat="1" ht="13.5" hidden="1" customHeight="1">
      <c r="A68" s="484">
        <v>64</v>
      </c>
      <c r="B68" s="483" t="str">
        <f>IFERROR(VLOOKUP(C68,[1]Sheet1!$B$6:$C$52,2,0),"")</f>
        <v/>
      </c>
      <c r="C68" s="496"/>
      <c r="D68" s="495"/>
      <c r="E68" s="494"/>
      <c r="F68" s="495"/>
      <c r="G68" s="494"/>
      <c r="H68" s="480"/>
      <c r="I68" s="480"/>
      <c r="J68" s="573"/>
      <c r="K68" s="494"/>
      <c r="L68" s="495"/>
      <c r="M68" s="494"/>
      <c r="N68" s="480"/>
      <c r="O68" s="493"/>
      <c r="P68" s="454"/>
      <c r="Q68" s="454"/>
      <c r="R68" s="451"/>
      <c r="S68" s="451"/>
      <c r="T68" s="451"/>
      <c r="U68" s="451"/>
      <c r="V68" s="451"/>
      <c r="W68" s="451"/>
      <c r="X68" s="451"/>
      <c r="Y68" s="451"/>
      <c r="Z68" s="451"/>
      <c r="AA68" s="451"/>
      <c r="AB68" s="451"/>
      <c r="AC68" s="451"/>
      <c r="AD68" s="451"/>
      <c r="AE68" s="451"/>
      <c r="AF68" s="501"/>
      <c r="AG68" s="492"/>
      <c r="AH68" s="489">
        <f t="shared" si="0"/>
        <v>0</v>
      </c>
      <c r="AI68" s="491"/>
      <c r="AJ68" s="490"/>
      <c r="AK68" s="489">
        <f t="shared" si="1"/>
        <v>0</v>
      </c>
      <c r="AL68" s="489">
        <f t="shared" si="2"/>
        <v>0</v>
      </c>
      <c r="AM68" s="488">
        <f t="shared" si="4"/>
        <v>0</v>
      </c>
      <c r="AN68" s="500">
        <f t="shared" si="3"/>
        <v>0</v>
      </c>
      <c r="AO68" s="500"/>
      <c r="AP68" s="451"/>
      <c r="AQ68" s="452"/>
      <c r="AR68" s="451"/>
    </row>
    <row r="69" spans="1:44" s="484" customFormat="1" ht="13.5" hidden="1" customHeight="1">
      <c r="A69" s="484">
        <v>65</v>
      </c>
      <c r="B69" s="483" t="str">
        <f>IFERROR(VLOOKUP(C69,[1]Sheet1!$B$6:$C$52,2,0),"")</f>
        <v/>
      </c>
      <c r="C69" s="496"/>
      <c r="D69" s="495"/>
      <c r="E69" s="494"/>
      <c r="F69" s="495"/>
      <c r="G69" s="494"/>
      <c r="H69" s="480"/>
      <c r="I69" s="480"/>
      <c r="J69" s="573"/>
      <c r="K69" s="494"/>
      <c r="L69" s="495"/>
      <c r="M69" s="494"/>
      <c r="N69" s="480"/>
      <c r="O69" s="493"/>
      <c r="P69" s="454"/>
      <c r="Q69" s="454"/>
      <c r="R69" s="451"/>
      <c r="S69" s="451"/>
      <c r="T69" s="451"/>
      <c r="U69" s="451"/>
      <c r="V69" s="451"/>
      <c r="W69" s="451"/>
      <c r="X69" s="451"/>
      <c r="Y69" s="451"/>
      <c r="Z69" s="451"/>
      <c r="AA69" s="451"/>
      <c r="AB69" s="451"/>
      <c r="AC69" s="451"/>
      <c r="AD69" s="451"/>
      <c r="AE69" s="451"/>
      <c r="AF69" s="501"/>
      <c r="AG69" s="492"/>
      <c r="AH69" s="489">
        <f t="shared" ref="AH69:AH132" si="5">AF69-AG69</f>
        <v>0</v>
      </c>
      <c r="AI69" s="491"/>
      <c r="AJ69" s="490"/>
      <c r="AK69" s="489">
        <f t="shared" ref="AK69:AK132" si="6">MIN(AI69,AJ69)</f>
        <v>0</v>
      </c>
      <c r="AL69" s="489">
        <f t="shared" ref="AL69:AL132" si="7">MIN(AH69,AK69)</f>
        <v>0</v>
      </c>
      <c r="AM69" s="488">
        <f t="shared" si="4"/>
        <v>0</v>
      </c>
      <c r="AN69" s="500">
        <f t="shared" ref="AN69:AN132" si="8">ROUNDUP(AM69*$AM$261,-3)</f>
        <v>0</v>
      </c>
      <c r="AO69" s="500"/>
      <c r="AP69" s="451"/>
      <c r="AQ69" s="452"/>
      <c r="AR69" s="451"/>
    </row>
    <row r="70" spans="1:44" s="484" customFormat="1" ht="13.5" hidden="1" customHeight="1">
      <c r="A70" s="484">
        <v>66</v>
      </c>
      <c r="B70" s="483" t="str">
        <f>IFERROR(VLOOKUP(C70,[1]Sheet1!$B$6:$C$52,2,0),"")</f>
        <v/>
      </c>
      <c r="C70" s="496"/>
      <c r="D70" s="495"/>
      <c r="E70" s="494"/>
      <c r="F70" s="495"/>
      <c r="G70" s="494"/>
      <c r="H70" s="480"/>
      <c r="I70" s="480"/>
      <c r="J70" s="573"/>
      <c r="K70" s="494"/>
      <c r="L70" s="495"/>
      <c r="M70" s="494"/>
      <c r="N70" s="480"/>
      <c r="O70" s="493"/>
      <c r="P70" s="454"/>
      <c r="Q70" s="454"/>
      <c r="R70" s="451"/>
      <c r="S70" s="451"/>
      <c r="T70" s="451"/>
      <c r="U70" s="451"/>
      <c r="V70" s="451"/>
      <c r="W70" s="451"/>
      <c r="X70" s="451"/>
      <c r="Y70" s="451"/>
      <c r="Z70" s="451"/>
      <c r="AA70" s="451"/>
      <c r="AB70" s="451"/>
      <c r="AC70" s="451"/>
      <c r="AD70" s="451"/>
      <c r="AE70" s="451"/>
      <c r="AF70" s="501"/>
      <c r="AG70" s="492"/>
      <c r="AH70" s="489">
        <f t="shared" si="5"/>
        <v>0</v>
      </c>
      <c r="AI70" s="491"/>
      <c r="AJ70" s="490"/>
      <c r="AK70" s="489">
        <f t="shared" si="6"/>
        <v>0</v>
      </c>
      <c r="AL70" s="489">
        <f t="shared" si="7"/>
        <v>0</v>
      </c>
      <c r="AM70" s="488">
        <f t="shared" ref="AM70:AM137" si="9">ROUNDDOWN(AL70,-3)</f>
        <v>0</v>
      </c>
      <c r="AN70" s="500">
        <f t="shared" si="8"/>
        <v>0</v>
      </c>
      <c r="AO70" s="500"/>
      <c r="AP70" s="451"/>
      <c r="AQ70" s="452"/>
      <c r="AR70" s="451"/>
    </row>
    <row r="71" spans="1:44" s="484" customFormat="1" ht="13.5" hidden="1" customHeight="1">
      <c r="A71" s="484">
        <v>67</v>
      </c>
      <c r="B71" s="483" t="str">
        <f>IFERROR(VLOOKUP(C71,[1]Sheet1!$B$6:$C$52,2,0),"")</f>
        <v/>
      </c>
      <c r="C71" s="496"/>
      <c r="D71" s="495"/>
      <c r="E71" s="494"/>
      <c r="F71" s="495"/>
      <c r="G71" s="494"/>
      <c r="H71" s="480"/>
      <c r="I71" s="480"/>
      <c r="J71" s="573"/>
      <c r="K71" s="494"/>
      <c r="L71" s="495"/>
      <c r="M71" s="494"/>
      <c r="N71" s="480"/>
      <c r="O71" s="493"/>
      <c r="P71" s="454"/>
      <c r="Q71" s="454"/>
      <c r="R71" s="451"/>
      <c r="S71" s="451"/>
      <c r="T71" s="451"/>
      <c r="U71" s="451"/>
      <c r="V71" s="451"/>
      <c r="W71" s="451"/>
      <c r="X71" s="451"/>
      <c r="Y71" s="451"/>
      <c r="Z71" s="451"/>
      <c r="AA71" s="451"/>
      <c r="AB71" s="451"/>
      <c r="AC71" s="451"/>
      <c r="AD71" s="451"/>
      <c r="AE71" s="451"/>
      <c r="AF71" s="501"/>
      <c r="AG71" s="492"/>
      <c r="AH71" s="489">
        <f t="shared" si="5"/>
        <v>0</v>
      </c>
      <c r="AI71" s="491"/>
      <c r="AJ71" s="490"/>
      <c r="AK71" s="489">
        <f t="shared" si="6"/>
        <v>0</v>
      </c>
      <c r="AL71" s="489">
        <f t="shared" si="7"/>
        <v>0</v>
      </c>
      <c r="AM71" s="488">
        <f t="shared" si="9"/>
        <v>0</v>
      </c>
      <c r="AN71" s="500">
        <f t="shared" si="8"/>
        <v>0</v>
      </c>
      <c r="AO71" s="500"/>
      <c r="AP71" s="451"/>
      <c r="AQ71" s="452"/>
      <c r="AR71" s="451"/>
    </row>
    <row r="72" spans="1:44" s="574" customFormat="1" ht="13.5" hidden="1" customHeight="1">
      <c r="A72" s="484">
        <v>68</v>
      </c>
      <c r="B72" s="483" t="str">
        <f>IFERROR(VLOOKUP(C72,[1]Sheet1!$B$6:$C$52,2,0),"")</f>
        <v/>
      </c>
      <c r="C72" s="496"/>
      <c r="D72" s="495"/>
      <c r="E72" s="494"/>
      <c r="F72" s="495"/>
      <c r="G72" s="494"/>
      <c r="H72" s="480"/>
      <c r="I72" s="480"/>
      <c r="J72" s="573"/>
      <c r="K72" s="494"/>
      <c r="L72" s="495"/>
      <c r="M72" s="494"/>
      <c r="N72" s="480"/>
      <c r="O72" s="493"/>
      <c r="P72" s="454"/>
      <c r="Q72" s="454"/>
      <c r="R72" s="451"/>
      <c r="S72" s="451"/>
      <c r="T72" s="451"/>
      <c r="U72" s="451"/>
      <c r="V72" s="451"/>
      <c r="W72" s="451"/>
      <c r="X72" s="451"/>
      <c r="Y72" s="451"/>
      <c r="Z72" s="451"/>
      <c r="AA72" s="451"/>
      <c r="AB72" s="451"/>
      <c r="AC72" s="451"/>
      <c r="AD72" s="451"/>
      <c r="AE72" s="451"/>
      <c r="AF72" s="501"/>
      <c r="AG72" s="492"/>
      <c r="AH72" s="489">
        <f t="shared" si="5"/>
        <v>0</v>
      </c>
      <c r="AI72" s="491"/>
      <c r="AJ72" s="490"/>
      <c r="AK72" s="489">
        <f t="shared" si="6"/>
        <v>0</v>
      </c>
      <c r="AL72" s="489">
        <f t="shared" si="7"/>
        <v>0</v>
      </c>
      <c r="AM72" s="488">
        <f t="shared" si="9"/>
        <v>0</v>
      </c>
      <c r="AN72" s="500">
        <f t="shared" si="8"/>
        <v>0</v>
      </c>
      <c r="AO72" s="500"/>
      <c r="AP72" s="451"/>
      <c r="AQ72" s="452"/>
      <c r="AR72" s="451"/>
    </row>
    <row r="73" spans="1:44" s="574" customFormat="1" ht="13.5" hidden="1" customHeight="1">
      <c r="A73" s="484">
        <v>69</v>
      </c>
      <c r="B73" s="483" t="str">
        <f>IFERROR(VLOOKUP(C73,[1]Sheet1!$B$6:$C$52,2,0),"")</f>
        <v/>
      </c>
      <c r="C73" s="496"/>
      <c r="D73" s="495"/>
      <c r="E73" s="494"/>
      <c r="F73" s="495"/>
      <c r="G73" s="494"/>
      <c r="H73" s="480"/>
      <c r="I73" s="480"/>
      <c r="J73" s="573"/>
      <c r="K73" s="494"/>
      <c r="L73" s="495"/>
      <c r="M73" s="494"/>
      <c r="N73" s="480"/>
      <c r="O73" s="493"/>
      <c r="P73" s="454"/>
      <c r="Q73" s="454"/>
      <c r="R73" s="451"/>
      <c r="S73" s="451"/>
      <c r="T73" s="451"/>
      <c r="U73" s="451"/>
      <c r="V73" s="451"/>
      <c r="W73" s="451"/>
      <c r="X73" s="451"/>
      <c r="Y73" s="451"/>
      <c r="Z73" s="451"/>
      <c r="AA73" s="451"/>
      <c r="AB73" s="451"/>
      <c r="AC73" s="451"/>
      <c r="AD73" s="451"/>
      <c r="AE73" s="451"/>
      <c r="AF73" s="501"/>
      <c r="AG73" s="492"/>
      <c r="AH73" s="489">
        <f t="shared" si="5"/>
        <v>0</v>
      </c>
      <c r="AI73" s="491"/>
      <c r="AJ73" s="490"/>
      <c r="AK73" s="489">
        <f t="shared" si="6"/>
        <v>0</v>
      </c>
      <c r="AL73" s="489">
        <f t="shared" si="7"/>
        <v>0</v>
      </c>
      <c r="AM73" s="488">
        <f t="shared" si="9"/>
        <v>0</v>
      </c>
      <c r="AN73" s="500">
        <f t="shared" si="8"/>
        <v>0</v>
      </c>
      <c r="AO73" s="500"/>
      <c r="AP73" s="451"/>
      <c r="AQ73" s="452"/>
      <c r="AR73" s="451"/>
    </row>
    <row r="74" spans="1:44" s="574" customFormat="1" ht="13.5" hidden="1" customHeight="1">
      <c r="A74" s="484">
        <v>70</v>
      </c>
      <c r="B74" s="483" t="str">
        <f>IFERROR(VLOOKUP(C74,[1]Sheet1!$B$6:$C$52,2,0),"")</f>
        <v/>
      </c>
      <c r="C74" s="496"/>
      <c r="D74" s="495"/>
      <c r="E74" s="494"/>
      <c r="F74" s="495"/>
      <c r="G74" s="494"/>
      <c r="H74" s="480"/>
      <c r="I74" s="480"/>
      <c r="J74" s="573"/>
      <c r="K74" s="494"/>
      <c r="L74" s="495"/>
      <c r="M74" s="494"/>
      <c r="N74" s="480"/>
      <c r="O74" s="493"/>
      <c r="P74" s="454"/>
      <c r="Q74" s="454"/>
      <c r="R74" s="451"/>
      <c r="S74" s="451"/>
      <c r="T74" s="451"/>
      <c r="U74" s="451"/>
      <c r="V74" s="451"/>
      <c r="W74" s="451"/>
      <c r="X74" s="451"/>
      <c r="Y74" s="451"/>
      <c r="Z74" s="451"/>
      <c r="AA74" s="451"/>
      <c r="AB74" s="451"/>
      <c r="AC74" s="451"/>
      <c r="AD74" s="451"/>
      <c r="AE74" s="451"/>
      <c r="AF74" s="501"/>
      <c r="AG74" s="492"/>
      <c r="AH74" s="489">
        <f t="shared" si="5"/>
        <v>0</v>
      </c>
      <c r="AI74" s="491"/>
      <c r="AJ74" s="490"/>
      <c r="AK74" s="489">
        <f t="shared" si="6"/>
        <v>0</v>
      </c>
      <c r="AL74" s="489">
        <f t="shared" si="7"/>
        <v>0</v>
      </c>
      <c r="AM74" s="488">
        <f t="shared" si="9"/>
        <v>0</v>
      </c>
      <c r="AN74" s="500">
        <f t="shared" si="8"/>
        <v>0</v>
      </c>
      <c r="AO74" s="500"/>
      <c r="AP74" s="451"/>
      <c r="AQ74" s="452"/>
      <c r="AR74" s="451"/>
    </row>
    <row r="75" spans="1:44" s="574" customFormat="1" ht="13.5" hidden="1" customHeight="1">
      <c r="A75" s="484">
        <v>71</v>
      </c>
      <c r="B75" s="483" t="str">
        <f>IFERROR(VLOOKUP(C75,[1]Sheet1!$B$6:$C$52,2,0),"")</f>
        <v/>
      </c>
      <c r="C75" s="496"/>
      <c r="D75" s="495"/>
      <c r="E75" s="494"/>
      <c r="F75" s="495"/>
      <c r="G75" s="494"/>
      <c r="H75" s="480"/>
      <c r="I75" s="480"/>
      <c r="J75" s="573"/>
      <c r="K75" s="494"/>
      <c r="L75" s="495"/>
      <c r="M75" s="494"/>
      <c r="N75" s="480"/>
      <c r="O75" s="493"/>
      <c r="P75" s="454"/>
      <c r="Q75" s="454"/>
      <c r="R75" s="451"/>
      <c r="S75" s="451"/>
      <c r="T75" s="451"/>
      <c r="U75" s="451"/>
      <c r="V75" s="451"/>
      <c r="W75" s="451"/>
      <c r="X75" s="451"/>
      <c r="Y75" s="451"/>
      <c r="Z75" s="451"/>
      <c r="AA75" s="451"/>
      <c r="AB75" s="451"/>
      <c r="AC75" s="451"/>
      <c r="AD75" s="451"/>
      <c r="AE75" s="451"/>
      <c r="AF75" s="501"/>
      <c r="AG75" s="492"/>
      <c r="AH75" s="489">
        <f t="shared" si="5"/>
        <v>0</v>
      </c>
      <c r="AI75" s="491"/>
      <c r="AJ75" s="490"/>
      <c r="AK75" s="489">
        <f t="shared" si="6"/>
        <v>0</v>
      </c>
      <c r="AL75" s="489">
        <f t="shared" si="7"/>
        <v>0</v>
      </c>
      <c r="AM75" s="488">
        <f t="shared" si="9"/>
        <v>0</v>
      </c>
      <c r="AN75" s="500">
        <f t="shared" si="8"/>
        <v>0</v>
      </c>
      <c r="AO75" s="500"/>
      <c r="AP75" s="451"/>
      <c r="AQ75" s="452"/>
      <c r="AR75" s="451"/>
    </row>
    <row r="76" spans="1:44" s="574" customFormat="1" ht="13.5" hidden="1" customHeight="1">
      <c r="A76" s="484">
        <v>72</v>
      </c>
      <c r="B76" s="483" t="str">
        <f>IFERROR(VLOOKUP(C76,[1]Sheet1!$B$6:$C$52,2,0),"")</f>
        <v/>
      </c>
      <c r="C76" s="496"/>
      <c r="D76" s="495"/>
      <c r="E76" s="494"/>
      <c r="F76" s="495"/>
      <c r="G76" s="494"/>
      <c r="H76" s="480"/>
      <c r="I76" s="480"/>
      <c r="J76" s="573"/>
      <c r="K76" s="494"/>
      <c r="L76" s="495"/>
      <c r="M76" s="494"/>
      <c r="N76" s="480"/>
      <c r="O76" s="493"/>
      <c r="P76" s="454"/>
      <c r="Q76" s="454"/>
      <c r="R76" s="451"/>
      <c r="S76" s="451"/>
      <c r="T76" s="451"/>
      <c r="U76" s="451"/>
      <c r="V76" s="451"/>
      <c r="W76" s="451"/>
      <c r="X76" s="451"/>
      <c r="Y76" s="451"/>
      <c r="Z76" s="451"/>
      <c r="AA76" s="451"/>
      <c r="AB76" s="451"/>
      <c r="AC76" s="451"/>
      <c r="AD76" s="451"/>
      <c r="AE76" s="451"/>
      <c r="AF76" s="501"/>
      <c r="AG76" s="492"/>
      <c r="AH76" s="489">
        <f t="shared" si="5"/>
        <v>0</v>
      </c>
      <c r="AI76" s="491"/>
      <c r="AJ76" s="490"/>
      <c r="AK76" s="489">
        <f t="shared" si="6"/>
        <v>0</v>
      </c>
      <c r="AL76" s="489">
        <f t="shared" si="7"/>
        <v>0</v>
      </c>
      <c r="AM76" s="488">
        <f t="shared" si="9"/>
        <v>0</v>
      </c>
      <c r="AN76" s="500">
        <f t="shared" si="8"/>
        <v>0</v>
      </c>
      <c r="AO76" s="500"/>
      <c r="AP76" s="451"/>
      <c r="AQ76" s="452"/>
      <c r="AR76" s="451"/>
    </row>
    <row r="77" spans="1:44" s="574" customFormat="1" ht="13.5" hidden="1" customHeight="1">
      <c r="A77" s="484">
        <v>73</v>
      </c>
      <c r="B77" s="483" t="str">
        <f>IFERROR(VLOOKUP(C77,[1]Sheet1!$B$6:$C$52,2,0),"")</f>
        <v/>
      </c>
      <c r="C77" s="496"/>
      <c r="D77" s="495"/>
      <c r="E77" s="494"/>
      <c r="F77" s="495"/>
      <c r="G77" s="494"/>
      <c r="H77" s="480"/>
      <c r="I77" s="480"/>
      <c r="J77" s="573"/>
      <c r="K77" s="494"/>
      <c r="L77" s="495"/>
      <c r="M77" s="494"/>
      <c r="N77" s="480"/>
      <c r="O77" s="493"/>
      <c r="P77" s="454"/>
      <c r="Q77" s="454"/>
      <c r="R77" s="451"/>
      <c r="S77" s="451"/>
      <c r="T77" s="451"/>
      <c r="U77" s="451"/>
      <c r="V77" s="451"/>
      <c r="W77" s="451"/>
      <c r="X77" s="451"/>
      <c r="Y77" s="451"/>
      <c r="Z77" s="451"/>
      <c r="AA77" s="451"/>
      <c r="AB77" s="451"/>
      <c r="AC77" s="451"/>
      <c r="AD77" s="451"/>
      <c r="AE77" s="451"/>
      <c r="AF77" s="501"/>
      <c r="AG77" s="492"/>
      <c r="AH77" s="489">
        <f t="shared" si="5"/>
        <v>0</v>
      </c>
      <c r="AI77" s="491"/>
      <c r="AJ77" s="490"/>
      <c r="AK77" s="489">
        <f t="shared" si="6"/>
        <v>0</v>
      </c>
      <c r="AL77" s="489">
        <f t="shared" si="7"/>
        <v>0</v>
      </c>
      <c r="AM77" s="488">
        <f t="shared" si="9"/>
        <v>0</v>
      </c>
      <c r="AN77" s="500">
        <f t="shared" si="8"/>
        <v>0</v>
      </c>
      <c r="AO77" s="500"/>
      <c r="AP77" s="451"/>
      <c r="AQ77" s="452"/>
      <c r="AR77" s="451"/>
    </row>
    <row r="78" spans="1:44" s="574" customFormat="1" ht="13.5" hidden="1" customHeight="1">
      <c r="A78" s="484">
        <v>74</v>
      </c>
      <c r="B78" s="483" t="str">
        <f>IFERROR(VLOOKUP(C78,[1]Sheet1!$B$6:$C$52,2,0),"")</f>
        <v/>
      </c>
      <c r="C78" s="496"/>
      <c r="D78" s="495"/>
      <c r="E78" s="494"/>
      <c r="F78" s="495"/>
      <c r="G78" s="494"/>
      <c r="H78" s="480"/>
      <c r="I78" s="480"/>
      <c r="J78" s="573"/>
      <c r="K78" s="494"/>
      <c r="L78" s="495"/>
      <c r="M78" s="494"/>
      <c r="N78" s="480"/>
      <c r="O78" s="493"/>
      <c r="P78" s="454"/>
      <c r="Q78" s="454"/>
      <c r="R78" s="451"/>
      <c r="S78" s="451"/>
      <c r="T78" s="451"/>
      <c r="U78" s="451"/>
      <c r="V78" s="451"/>
      <c r="W78" s="451"/>
      <c r="X78" s="451"/>
      <c r="Y78" s="451"/>
      <c r="Z78" s="451"/>
      <c r="AA78" s="451"/>
      <c r="AB78" s="451"/>
      <c r="AC78" s="451"/>
      <c r="AD78" s="451"/>
      <c r="AE78" s="451"/>
      <c r="AF78" s="501"/>
      <c r="AG78" s="492"/>
      <c r="AH78" s="489">
        <f t="shared" si="5"/>
        <v>0</v>
      </c>
      <c r="AI78" s="491"/>
      <c r="AJ78" s="490"/>
      <c r="AK78" s="489">
        <f t="shared" si="6"/>
        <v>0</v>
      </c>
      <c r="AL78" s="489">
        <f t="shared" si="7"/>
        <v>0</v>
      </c>
      <c r="AM78" s="488">
        <f t="shared" si="9"/>
        <v>0</v>
      </c>
      <c r="AN78" s="500">
        <f t="shared" si="8"/>
        <v>0</v>
      </c>
      <c r="AO78" s="500"/>
      <c r="AP78" s="451"/>
      <c r="AQ78" s="452"/>
      <c r="AR78" s="451"/>
    </row>
    <row r="79" spans="1:44" s="484" customFormat="1" ht="13.5" hidden="1" customHeight="1">
      <c r="A79" s="484">
        <v>75</v>
      </c>
      <c r="B79" s="483" t="str">
        <f>IFERROR(VLOOKUP(C79,[1]Sheet1!$B$6:$C$52,2,0),"")</f>
        <v/>
      </c>
      <c r="C79" s="496"/>
      <c r="D79" s="495"/>
      <c r="E79" s="494"/>
      <c r="F79" s="495"/>
      <c r="G79" s="494"/>
      <c r="H79" s="480"/>
      <c r="I79" s="480"/>
      <c r="J79" s="573"/>
      <c r="K79" s="494"/>
      <c r="L79" s="495"/>
      <c r="M79" s="494"/>
      <c r="N79" s="480"/>
      <c r="O79" s="493"/>
      <c r="P79" s="454"/>
      <c r="Q79" s="454"/>
      <c r="R79" s="451"/>
      <c r="S79" s="451"/>
      <c r="T79" s="451"/>
      <c r="U79" s="451"/>
      <c r="V79" s="451"/>
      <c r="W79" s="451"/>
      <c r="X79" s="451"/>
      <c r="Y79" s="451"/>
      <c r="Z79" s="451"/>
      <c r="AA79" s="451"/>
      <c r="AB79" s="451"/>
      <c r="AC79" s="451"/>
      <c r="AD79" s="451"/>
      <c r="AE79" s="451"/>
      <c r="AF79" s="501"/>
      <c r="AG79" s="492"/>
      <c r="AH79" s="489">
        <f t="shared" si="5"/>
        <v>0</v>
      </c>
      <c r="AI79" s="491"/>
      <c r="AJ79" s="490"/>
      <c r="AK79" s="489">
        <f t="shared" si="6"/>
        <v>0</v>
      </c>
      <c r="AL79" s="489">
        <f t="shared" si="7"/>
        <v>0</v>
      </c>
      <c r="AM79" s="488">
        <f t="shared" si="9"/>
        <v>0</v>
      </c>
      <c r="AN79" s="500">
        <f t="shared" si="8"/>
        <v>0</v>
      </c>
      <c r="AO79" s="500"/>
      <c r="AP79" s="451"/>
      <c r="AQ79" s="452"/>
      <c r="AR79" s="451"/>
    </row>
    <row r="80" spans="1:44" s="484" customFormat="1" ht="13.5" hidden="1" customHeight="1">
      <c r="A80" s="484">
        <v>76</v>
      </c>
      <c r="B80" s="483" t="str">
        <f>IFERROR(VLOOKUP(C80,[1]Sheet1!$B$6:$C$52,2,0),"")</f>
        <v/>
      </c>
      <c r="C80" s="496"/>
      <c r="D80" s="495"/>
      <c r="E80" s="494"/>
      <c r="F80" s="495"/>
      <c r="G80" s="494"/>
      <c r="H80" s="480"/>
      <c r="I80" s="480"/>
      <c r="J80" s="573"/>
      <c r="K80" s="494"/>
      <c r="L80" s="495"/>
      <c r="M80" s="494"/>
      <c r="N80" s="480"/>
      <c r="O80" s="493"/>
      <c r="P80" s="454"/>
      <c r="Q80" s="454"/>
      <c r="R80" s="451"/>
      <c r="S80" s="451"/>
      <c r="T80" s="451"/>
      <c r="U80" s="451"/>
      <c r="V80" s="451"/>
      <c r="W80" s="451"/>
      <c r="X80" s="451"/>
      <c r="Y80" s="451"/>
      <c r="Z80" s="451"/>
      <c r="AA80" s="451"/>
      <c r="AB80" s="451"/>
      <c r="AC80" s="451"/>
      <c r="AD80" s="451"/>
      <c r="AE80" s="451"/>
      <c r="AF80" s="501"/>
      <c r="AG80" s="492"/>
      <c r="AH80" s="489">
        <f t="shared" si="5"/>
        <v>0</v>
      </c>
      <c r="AI80" s="491"/>
      <c r="AJ80" s="490"/>
      <c r="AK80" s="489">
        <f t="shared" si="6"/>
        <v>0</v>
      </c>
      <c r="AL80" s="489">
        <f t="shared" si="7"/>
        <v>0</v>
      </c>
      <c r="AM80" s="488">
        <f t="shared" si="9"/>
        <v>0</v>
      </c>
      <c r="AN80" s="500">
        <f t="shared" si="8"/>
        <v>0</v>
      </c>
      <c r="AO80" s="500"/>
      <c r="AP80" s="451"/>
      <c r="AQ80" s="452"/>
      <c r="AR80" s="451"/>
    </row>
    <row r="81" spans="1:44" s="484" customFormat="1" ht="13.5" hidden="1" customHeight="1">
      <c r="A81" s="484">
        <v>77</v>
      </c>
      <c r="B81" s="483" t="str">
        <f>IFERROR(VLOOKUP(C81,[1]Sheet1!$B$6:$C$52,2,0),"")</f>
        <v/>
      </c>
      <c r="C81" s="496"/>
      <c r="D81" s="495"/>
      <c r="E81" s="494"/>
      <c r="F81" s="495"/>
      <c r="G81" s="494"/>
      <c r="H81" s="480"/>
      <c r="I81" s="480"/>
      <c r="J81" s="573"/>
      <c r="K81" s="494"/>
      <c r="L81" s="495"/>
      <c r="M81" s="494"/>
      <c r="N81" s="480"/>
      <c r="O81" s="493"/>
      <c r="P81" s="454"/>
      <c r="Q81" s="454"/>
      <c r="R81" s="451"/>
      <c r="S81" s="451"/>
      <c r="T81" s="451"/>
      <c r="U81" s="451"/>
      <c r="V81" s="451"/>
      <c r="W81" s="451"/>
      <c r="X81" s="451"/>
      <c r="Y81" s="451"/>
      <c r="Z81" s="451"/>
      <c r="AA81" s="451"/>
      <c r="AB81" s="451"/>
      <c r="AC81" s="451"/>
      <c r="AD81" s="451"/>
      <c r="AE81" s="451"/>
      <c r="AF81" s="501"/>
      <c r="AG81" s="492"/>
      <c r="AH81" s="489">
        <f t="shared" si="5"/>
        <v>0</v>
      </c>
      <c r="AI81" s="491"/>
      <c r="AJ81" s="490"/>
      <c r="AK81" s="489">
        <f t="shared" si="6"/>
        <v>0</v>
      </c>
      <c r="AL81" s="489">
        <f t="shared" si="7"/>
        <v>0</v>
      </c>
      <c r="AM81" s="488">
        <f t="shared" si="9"/>
        <v>0</v>
      </c>
      <c r="AN81" s="500">
        <f t="shared" si="8"/>
        <v>0</v>
      </c>
      <c r="AO81" s="500"/>
      <c r="AP81" s="451"/>
      <c r="AQ81" s="452"/>
      <c r="AR81" s="451"/>
    </row>
    <row r="82" spans="1:44" s="484" customFormat="1" ht="13.5" hidden="1" customHeight="1">
      <c r="A82" s="484">
        <v>78</v>
      </c>
      <c r="B82" s="483" t="str">
        <f>IFERROR(VLOOKUP(C82,[1]Sheet1!$B$6:$C$52,2,0),"")</f>
        <v/>
      </c>
      <c r="C82" s="496"/>
      <c r="D82" s="495"/>
      <c r="E82" s="494"/>
      <c r="F82" s="495"/>
      <c r="G82" s="494"/>
      <c r="H82" s="480"/>
      <c r="I82" s="480"/>
      <c r="J82" s="573"/>
      <c r="K82" s="494"/>
      <c r="L82" s="495"/>
      <c r="M82" s="494"/>
      <c r="N82" s="480"/>
      <c r="O82" s="493"/>
      <c r="P82" s="454"/>
      <c r="Q82" s="454"/>
      <c r="R82" s="451"/>
      <c r="S82" s="451"/>
      <c r="T82" s="451"/>
      <c r="U82" s="451"/>
      <c r="V82" s="451"/>
      <c r="W82" s="451"/>
      <c r="X82" s="451"/>
      <c r="Y82" s="451"/>
      <c r="Z82" s="451"/>
      <c r="AA82" s="451"/>
      <c r="AB82" s="451"/>
      <c r="AC82" s="451"/>
      <c r="AD82" s="451"/>
      <c r="AE82" s="451"/>
      <c r="AF82" s="501"/>
      <c r="AG82" s="492"/>
      <c r="AH82" s="489">
        <f t="shared" si="5"/>
        <v>0</v>
      </c>
      <c r="AI82" s="491"/>
      <c r="AJ82" s="490"/>
      <c r="AK82" s="489">
        <f t="shared" si="6"/>
        <v>0</v>
      </c>
      <c r="AL82" s="489">
        <f t="shared" si="7"/>
        <v>0</v>
      </c>
      <c r="AM82" s="488">
        <f t="shared" si="9"/>
        <v>0</v>
      </c>
      <c r="AN82" s="500">
        <f t="shared" si="8"/>
        <v>0</v>
      </c>
      <c r="AO82" s="500"/>
      <c r="AP82" s="451"/>
      <c r="AQ82" s="452"/>
      <c r="AR82" s="451"/>
    </row>
    <row r="83" spans="1:44" s="484" customFormat="1" ht="13.5" hidden="1" customHeight="1">
      <c r="A83" s="484">
        <v>79</v>
      </c>
      <c r="B83" s="483" t="str">
        <f>IFERROR(VLOOKUP(C83,[1]Sheet1!$B$6:$C$52,2,0),"")</f>
        <v/>
      </c>
      <c r="C83" s="496"/>
      <c r="D83" s="495"/>
      <c r="E83" s="494"/>
      <c r="F83" s="495"/>
      <c r="G83" s="494"/>
      <c r="H83" s="480"/>
      <c r="I83" s="480"/>
      <c r="J83" s="573"/>
      <c r="K83" s="494"/>
      <c r="L83" s="495"/>
      <c r="M83" s="494"/>
      <c r="N83" s="480"/>
      <c r="O83" s="493"/>
      <c r="P83" s="454"/>
      <c r="Q83" s="454"/>
      <c r="R83" s="451"/>
      <c r="S83" s="451"/>
      <c r="T83" s="451"/>
      <c r="U83" s="451"/>
      <c r="V83" s="451"/>
      <c r="W83" s="451"/>
      <c r="X83" s="451"/>
      <c r="Y83" s="451"/>
      <c r="Z83" s="451"/>
      <c r="AA83" s="451"/>
      <c r="AB83" s="451"/>
      <c r="AC83" s="451"/>
      <c r="AD83" s="451"/>
      <c r="AE83" s="451"/>
      <c r="AF83" s="501"/>
      <c r="AG83" s="492"/>
      <c r="AH83" s="489">
        <f t="shared" si="5"/>
        <v>0</v>
      </c>
      <c r="AI83" s="491"/>
      <c r="AJ83" s="490"/>
      <c r="AK83" s="489">
        <f t="shared" si="6"/>
        <v>0</v>
      </c>
      <c r="AL83" s="489">
        <f t="shared" si="7"/>
        <v>0</v>
      </c>
      <c r="AM83" s="488">
        <f t="shared" si="9"/>
        <v>0</v>
      </c>
      <c r="AN83" s="500">
        <f t="shared" si="8"/>
        <v>0</v>
      </c>
      <c r="AO83" s="500"/>
      <c r="AP83" s="451"/>
      <c r="AQ83" s="452"/>
      <c r="AR83" s="451"/>
    </row>
    <row r="84" spans="1:44" ht="13.5" hidden="1" customHeight="1">
      <c r="A84" s="484">
        <v>80</v>
      </c>
      <c r="B84" s="483" t="str">
        <f>IFERROR(VLOOKUP(C84,[1]Sheet1!$B$6:$C$52,2,0),"")</f>
        <v/>
      </c>
      <c r="C84" s="496"/>
      <c r="D84" s="495"/>
      <c r="E84" s="494"/>
      <c r="F84" s="495"/>
      <c r="G84" s="494"/>
      <c r="H84" s="480"/>
      <c r="I84" s="480"/>
      <c r="J84" s="573"/>
      <c r="K84" s="494"/>
      <c r="L84" s="495"/>
      <c r="M84" s="494"/>
      <c r="N84" s="480"/>
      <c r="O84" s="493"/>
      <c r="AF84" s="501"/>
      <c r="AG84" s="492"/>
      <c r="AH84" s="489">
        <f t="shared" si="5"/>
        <v>0</v>
      </c>
      <c r="AI84" s="491"/>
      <c r="AJ84" s="490"/>
      <c r="AK84" s="489">
        <f t="shared" si="6"/>
        <v>0</v>
      </c>
      <c r="AL84" s="489">
        <f t="shared" si="7"/>
        <v>0</v>
      </c>
      <c r="AM84" s="488">
        <f t="shared" si="9"/>
        <v>0</v>
      </c>
      <c r="AN84" s="500">
        <f t="shared" si="8"/>
        <v>0</v>
      </c>
      <c r="AO84" s="500"/>
    </row>
    <row r="85" spans="1:44" ht="13.5" hidden="1" customHeight="1">
      <c r="A85" s="484">
        <v>81</v>
      </c>
      <c r="B85" s="483" t="str">
        <f>IFERROR(VLOOKUP(C85,[1]Sheet1!$B$6:$C$52,2,0),"")</f>
        <v/>
      </c>
      <c r="C85" s="496"/>
      <c r="D85" s="495"/>
      <c r="E85" s="494"/>
      <c r="F85" s="495"/>
      <c r="G85" s="494"/>
      <c r="H85" s="480"/>
      <c r="I85" s="480"/>
      <c r="J85" s="573"/>
      <c r="K85" s="494"/>
      <c r="L85" s="495"/>
      <c r="M85" s="494"/>
      <c r="N85" s="480"/>
      <c r="O85" s="493"/>
      <c r="AF85" s="501"/>
      <c r="AG85" s="492"/>
      <c r="AH85" s="489">
        <f t="shared" si="5"/>
        <v>0</v>
      </c>
      <c r="AI85" s="491"/>
      <c r="AJ85" s="490"/>
      <c r="AK85" s="489">
        <f t="shared" si="6"/>
        <v>0</v>
      </c>
      <c r="AL85" s="489">
        <f t="shared" si="7"/>
        <v>0</v>
      </c>
      <c r="AM85" s="488">
        <f t="shared" si="9"/>
        <v>0</v>
      </c>
      <c r="AN85" s="500">
        <f t="shared" si="8"/>
        <v>0</v>
      </c>
      <c r="AO85" s="500"/>
    </row>
    <row r="86" spans="1:44" ht="13.5" hidden="1" customHeight="1">
      <c r="A86" s="484">
        <v>82</v>
      </c>
      <c r="B86" s="483" t="str">
        <f>IFERROR(VLOOKUP(C86,[1]Sheet1!$B$6:$C$52,2,0),"")</f>
        <v/>
      </c>
      <c r="C86" s="496"/>
      <c r="D86" s="495"/>
      <c r="E86" s="494"/>
      <c r="F86" s="495"/>
      <c r="G86" s="494"/>
      <c r="H86" s="480"/>
      <c r="I86" s="480"/>
      <c r="J86" s="573"/>
      <c r="K86" s="494"/>
      <c r="L86" s="495"/>
      <c r="M86" s="494"/>
      <c r="N86" s="480"/>
      <c r="O86" s="493"/>
      <c r="AF86" s="501"/>
      <c r="AG86" s="492"/>
      <c r="AH86" s="489">
        <f t="shared" si="5"/>
        <v>0</v>
      </c>
      <c r="AI86" s="491"/>
      <c r="AJ86" s="490"/>
      <c r="AK86" s="489">
        <f t="shared" si="6"/>
        <v>0</v>
      </c>
      <c r="AL86" s="489">
        <f t="shared" si="7"/>
        <v>0</v>
      </c>
      <c r="AM86" s="488">
        <f t="shared" si="9"/>
        <v>0</v>
      </c>
      <c r="AN86" s="500">
        <f t="shared" si="8"/>
        <v>0</v>
      </c>
      <c r="AO86" s="500"/>
    </row>
    <row r="87" spans="1:44" ht="13.5" hidden="1" customHeight="1">
      <c r="A87" s="484">
        <v>83</v>
      </c>
      <c r="B87" s="483" t="str">
        <f>IFERROR(VLOOKUP(C87,[1]Sheet1!$B$6:$C$52,2,0),"")</f>
        <v/>
      </c>
      <c r="C87" s="496"/>
      <c r="D87" s="495"/>
      <c r="E87" s="494"/>
      <c r="F87" s="495"/>
      <c r="G87" s="494"/>
      <c r="H87" s="480"/>
      <c r="I87" s="480"/>
      <c r="J87" s="573"/>
      <c r="K87" s="494"/>
      <c r="L87" s="495"/>
      <c r="M87" s="494"/>
      <c r="N87" s="480"/>
      <c r="O87" s="493"/>
      <c r="AF87" s="501"/>
      <c r="AG87" s="492"/>
      <c r="AH87" s="489">
        <f t="shared" si="5"/>
        <v>0</v>
      </c>
      <c r="AI87" s="491"/>
      <c r="AJ87" s="490"/>
      <c r="AK87" s="489">
        <f t="shared" si="6"/>
        <v>0</v>
      </c>
      <c r="AL87" s="489">
        <f t="shared" si="7"/>
        <v>0</v>
      </c>
      <c r="AM87" s="488">
        <f t="shared" si="9"/>
        <v>0</v>
      </c>
      <c r="AN87" s="500">
        <f t="shared" si="8"/>
        <v>0</v>
      </c>
      <c r="AO87" s="500"/>
    </row>
    <row r="88" spans="1:44" ht="13.5" hidden="1" customHeight="1">
      <c r="A88" s="484">
        <v>84</v>
      </c>
      <c r="B88" s="483" t="str">
        <f>IFERROR(VLOOKUP(C88,[1]Sheet1!$B$6:$C$52,2,0),"")</f>
        <v/>
      </c>
      <c r="C88" s="496"/>
      <c r="D88" s="495"/>
      <c r="E88" s="494"/>
      <c r="F88" s="495"/>
      <c r="G88" s="494"/>
      <c r="H88" s="480"/>
      <c r="I88" s="480"/>
      <c r="J88" s="573"/>
      <c r="K88" s="494"/>
      <c r="L88" s="495"/>
      <c r="M88" s="494"/>
      <c r="N88" s="480"/>
      <c r="O88" s="493"/>
      <c r="AF88" s="501"/>
      <c r="AG88" s="492"/>
      <c r="AH88" s="489">
        <f t="shared" si="5"/>
        <v>0</v>
      </c>
      <c r="AI88" s="491"/>
      <c r="AJ88" s="490"/>
      <c r="AK88" s="489">
        <f t="shared" si="6"/>
        <v>0</v>
      </c>
      <c r="AL88" s="489">
        <f t="shared" si="7"/>
        <v>0</v>
      </c>
      <c r="AM88" s="488">
        <f t="shared" si="9"/>
        <v>0</v>
      </c>
      <c r="AN88" s="500">
        <f t="shared" si="8"/>
        <v>0</v>
      </c>
      <c r="AO88" s="500"/>
    </row>
    <row r="89" spans="1:44" ht="13.5" hidden="1" customHeight="1">
      <c r="A89" s="484">
        <v>85</v>
      </c>
      <c r="B89" s="483" t="str">
        <f>IFERROR(VLOOKUP(C89,[1]Sheet1!$B$6:$C$52,2,0),"")</f>
        <v/>
      </c>
      <c r="C89" s="496"/>
      <c r="D89" s="495"/>
      <c r="E89" s="494"/>
      <c r="F89" s="495"/>
      <c r="G89" s="494"/>
      <c r="H89" s="480"/>
      <c r="I89" s="480"/>
      <c r="J89" s="573"/>
      <c r="K89" s="494"/>
      <c r="L89" s="495"/>
      <c r="M89" s="494"/>
      <c r="N89" s="480"/>
      <c r="O89" s="493"/>
      <c r="AF89" s="501"/>
      <c r="AG89" s="492"/>
      <c r="AH89" s="489">
        <f t="shared" si="5"/>
        <v>0</v>
      </c>
      <c r="AI89" s="491"/>
      <c r="AJ89" s="490"/>
      <c r="AK89" s="489">
        <f t="shared" si="6"/>
        <v>0</v>
      </c>
      <c r="AL89" s="489">
        <f t="shared" si="7"/>
        <v>0</v>
      </c>
      <c r="AM89" s="488">
        <f t="shared" si="9"/>
        <v>0</v>
      </c>
      <c r="AN89" s="500">
        <f t="shared" si="8"/>
        <v>0</v>
      </c>
      <c r="AO89" s="500"/>
    </row>
    <row r="90" spans="1:44" ht="13.5" hidden="1" customHeight="1">
      <c r="A90" s="484">
        <v>86</v>
      </c>
      <c r="B90" s="483" t="str">
        <f>IFERROR(VLOOKUP(C90,[1]Sheet1!$B$6:$C$52,2,0),"")</f>
        <v/>
      </c>
      <c r="C90" s="496"/>
      <c r="D90" s="495"/>
      <c r="E90" s="494"/>
      <c r="F90" s="495"/>
      <c r="G90" s="494"/>
      <c r="H90" s="480"/>
      <c r="I90" s="480"/>
      <c r="J90" s="573"/>
      <c r="K90" s="494"/>
      <c r="L90" s="495"/>
      <c r="M90" s="494"/>
      <c r="N90" s="480"/>
      <c r="O90" s="493"/>
      <c r="AF90" s="501"/>
      <c r="AG90" s="492"/>
      <c r="AH90" s="489">
        <f t="shared" si="5"/>
        <v>0</v>
      </c>
      <c r="AI90" s="491"/>
      <c r="AJ90" s="490"/>
      <c r="AK90" s="489">
        <f t="shared" si="6"/>
        <v>0</v>
      </c>
      <c r="AL90" s="489">
        <f t="shared" si="7"/>
        <v>0</v>
      </c>
      <c r="AM90" s="488">
        <f t="shared" si="9"/>
        <v>0</v>
      </c>
      <c r="AN90" s="500">
        <f t="shared" si="8"/>
        <v>0</v>
      </c>
      <c r="AO90" s="500"/>
    </row>
    <row r="91" spans="1:44" ht="13.5" hidden="1" customHeight="1">
      <c r="A91" s="484">
        <v>87</v>
      </c>
      <c r="B91" s="483" t="str">
        <f>IFERROR(VLOOKUP(C91,[1]Sheet1!$B$6:$C$52,2,0),"")</f>
        <v/>
      </c>
      <c r="C91" s="496"/>
      <c r="D91" s="495"/>
      <c r="E91" s="494"/>
      <c r="F91" s="495"/>
      <c r="G91" s="494"/>
      <c r="H91" s="480"/>
      <c r="I91" s="480"/>
      <c r="J91" s="573"/>
      <c r="K91" s="494"/>
      <c r="L91" s="495"/>
      <c r="M91" s="494"/>
      <c r="N91" s="480"/>
      <c r="O91" s="493"/>
      <c r="AF91" s="501"/>
      <c r="AG91" s="492"/>
      <c r="AH91" s="489">
        <f t="shared" si="5"/>
        <v>0</v>
      </c>
      <c r="AI91" s="491"/>
      <c r="AJ91" s="490"/>
      <c r="AK91" s="489">
        <f t="shared" si="6"/>
        <v>0</v>
      </c>
      <c r="AL91" s="489">
        <f t="shared" si="7"/>
        <v>0</v>
      </c>
      <c r="AM91" s="488">
        <f t="shared" si="9"/>
        <v>0</v>
      </c>
      <c r="AN91" s="500">
        <f t="shared" si="8"/>
        <v>0</v>
      </c>
      <c r="AO91" s="500"/>
    </row>
    <row r="92" spans="1:44" ht="13.5" hidden="1" customHeight="1">
      <c r="A92" s="484">
        <v>88</v>
      </c>
      <c r="B92" s="483" t="str">
        <f>IFERROR(VLOOKUP(C92,[1]Sheet1!$B$6:$C$52,2,0),"")</f>
        <v/>
      </c>
      <c r="C92" s="496"/>
      <c r="D92" s="495"/>
      <c r="E92" s="494"/>
      <c r="F92" s="495"/>
      <c r="G92" s="494"/>
      <c r="H92" s="480"/>
      <c r="I92" s="480"/>
      <c r="J92" s="573"/>
      <c r="K92" s="494"/>
      <c r="L92" s="495"/>
      <c r="M92" s="494"/>
      <c r="N92" s="480"/>
      <c r="O92" s="493"/>
      <c r="AF92" s="501"/>
      <c r="AG92" s="492"/>
      <c r="AH92" s="489">
        <f t="shared" si="5"/>
        <v>0</v>
      </c>
      <c r="AI92" s="491"/>
      <c r="AJ92" s="490"/>
      <c r="AK92" s="489">
        <f t="shared" si="6"/>
        <v>0</v>
      </c>
      <c r="AL92" s="489">
        <f t="shared" si="7"/>
        <v>0</v>
      </c>
      <c r="AM92" s="488">
        <f t="shared" si="9"/>
        <v>0</v>
      </c>
      <c r="AN92" s="500">
        <f t="shared" si="8"/>
        <v>0</v>
      </c>
      <c r="AO92" s="500"/>
    </row>
    <row r="93" spans="1:44" ht="13.5" hidden="1" customHeight="1">
      <c r="A93" s="484">
        <v>89</v>
      </c>
      <c r="B93" s="483" t="str">
        <f>IFERROR(VLOOKUP(C93,[1]Sheet1!$B$6:$C$52,2,0),"")</f>
        <v/>
      </c>
      <c r="C93" s="496"/>
      <c r="D93" s="495"/>
      <c r="E93" s="494"/>
      <c r="F93" s="495"/>
      <c r="G93" s="494"/>
      <c r="H93" s="480"/>
      <c r="I93" s="480"/>
      <c r="J93" s="573"/>
      <c r="K93" s="494"/>
      <c r="L93" s="495"/>
      <c r="M93" s="494"/>
      <c r="N93" s="480"/>
      <c r="O93" s="493"/>
      <c r="AF93" s="501"/>
      <c r="AG93" s="492"/>
      <c r="AH93" s="489">
        <f t="shared" si="5"/>
        <v>0</v>
      </c>
      <c r="AI93" s="491"/>
      <c r="AJ93" s="490"/>
      <c r="AK93" s="489">
        <f t="shared" si="6"/>
        <v>0</v>
      </c>
      <c r="AL93" s="489">
        <f t="shared" si="7"/>
        <v>0</v>
      </c>
      <c r="AM93" s="488">
        <f t="shared" si="9"/>
        <v>0</v>
      </c>
      <c r="AN93" s="500">
        <f t="shared" si="8"/>
        <v>0</v>
      </c>
      <c r="AO93" s="500"/>
    </row>
    <row r="94" spans="1:44" ht="13.5" hidden="1" customHeight="1">
      <c r="A94" s="484">
        <v>90</v>
      </c>
      <c r="B94" s="483" t="str">
        <f>IFERROR(VLOOKUP(C94,[1]Sheet1!$B$6:$C$52,2,0),"")</f>
        <v/>
      </c>
      <c r="C94" s="496"/>
      <c r="D94" s="495"/>
      <c r="E94" s="494"/>
      <c r="F94" s="495"/>
      <c r="G94" s="494"/>
      <c r="H94" s="480"/>
      <c r="I94" s="480"/>
      <c r="J94" s="573"/>
      <c r="K94" s="494"/>
      <c r="L94" s="495"/>
      <c r="M94" s="494"/>
      <c r="N94" s="480"/>
      <c r="O94" s="493"/>
      <c r="AF94" s="501"/>
      <c r="AG94" s="492"/>
      <c r="AH94" s="489">
        <f t="shared" si="5"/>
        <v>0</v>
      </c>
      <c r="AI94" s="491"/>
      <c r="AJ94" s="490"/>
      <c r="AK94" s="489">
        <f t="shared" si="6"/>
        <v>0</v>
      </c>
      <c r="AL94" s="489">
        <f t="shared" si="7"/>
        <v>0</v>
      </c>
      <c r="AM94" s="488">
        <f t="shared" si="9"/>
        <v>0</v>
      </c>
      <c r="AN94" s="500">
        <f t="shared" si="8"/>
        <v>0</v>
      </c>
      <c r="AO94" s="500"/>
    </row>
    <row r="95" spans="1:44" ht="13.5" hidden="1" customHeight="1">
      <c r="A95" s="484">
        <v>91</v>
      </c>
      <c r="B95" s="483" t="str">
        <f>IFERROR(VLOOKUP(C95,[1]Sheet1!$B$6:$C$52,2,0),"")</f>
        <v/>
      </c>
      <c r="C95" s="496"/>
      <c r="D95" s="495"/>
      <c r="E95" s="494"/>
      <c r="F95" s="495"/>
      <c r="G95" s="494"/>
      <c r="H95" s="480"/>
      <c r="I95" s="480"/>
      <c r="J95" s="573"/>
      <c r="K95" s="494"/>
      <c r="L95" s="495"/>
      <c r="M95" s="494"/>
      <c r="N95" s="480"/>
      <c r="O95" s="493"/>
      <c r="AF95" s="501"/>
      <c r="AG95" s="492"/>
      <c r="AH95" s="489">
        <f t="shared" si="5"/>
        <v>0</v>
      </c>
      <c r="AI95" s="491"/>
      <c r="AJ95" s="490"/>
      <c r="AK95" s="489">
        <f t="shared" si="6"/>
        <v>0</v>
      </c>
      <c r="AL95" s="489">
        <f t="shared" si="7"/>
        <v>0</v>
      </c>
      <c r="AM95" s="488">
        <f t="shared" si="9"/>
        <v>0</v>
      </c>
      <c r="AN95" s="500">
        <f t="shared" si="8"/>
        <v>0</v>
      </c>
      <c r="AO95" s="500"/>
    </row>
    <row r="96" spans="1:44" ht="13.5" hidden="1" customHeight="1">
      <c r="A96" s="484">
        <v>92</v>
      </c>
      <c r="B96" s="483" t="str">
        <f>IFERROR(VLOOKUP(C96,[1]Sheet1!$B$6:$C$52,2,0),"")</f>
        <v/>
      </c>
      <c r="C96" s="496"/>
      <c r="D96" s="495"/>
      <c r="E96" s="494"/>
      <c r="F96" s="495"/>
      <c r="G96" s="494"/>
      <c r="H96" s="480"/>
      <c r="I96" s="480"/>
      <c r="J96" s="573"/>
      <c r="K96" s="494"/>
      <c r="L96" s="495"/>
      <c r="M96" s="494"/>
      <c r="N96" s="480"/>
      <c r="O96" s="493"/>
      <c r="AF96" s="501"/>
      <c r="AG96" s="492"/>
      <c r="AH96" s="489">
        <f t="shared" si="5"/>
        <v>0</v>
      </c>
      <c r="AI96" s="491"/>
      <c r="AJ96" s="490"/>
      <c r="AK96" s="489">
        <f t="shared" si="6"/>
        <v>0</v>
      </c>
      <c r="AL96" s="489">
        <f t="shared" si="7"/>
        <v>0</v>
      </c>
      <c r="AM96" s="488">
        <f t="shared" si="9"/>
        <v>0</v>
      </c>
      <c r="AN96" s="500">
        <f t="shared" si="8"/>
        <v>0</v>
      </c>
      <c r="AO96" s="500"/>
    </row>
    <row r="97" spans="1:41" ht="13.5" hidden="1" customHeight="1">
      <c r="A97" s="484">
        <v>93</v>
      </c>
      <c r="B97" s="483" t="str">
        <f>IFERROR(VLOOKUP(C97,[1]Sheet1!$B$6:$C$52,2,0),"")</f>
        <v/>
      </c>
      <c r="C97" s="496"/>
      <c r="D97" s="495"/>
      <c r="E97" s="494"/>
      <c r="F97" s="495"/>
      <c r="G97" s="494"/>
      <c r="H97" s="480"/>
      <c r="I97" s="480"/>
      <c r="J97" s="573"/>
      <c r="K97" s="494"/>
      <c r="L97" s="495"/>
      <c r="M97" s="494"/>
      <c r="N97" s="480"/>
      <c r="O97" s="493"/>
      <c r="AF97" s="501"/>
      <c r="AG97" s="492"/>
      <c r="AH97" s="489">
        <f t="shared" si="5"/>
        <v>0</v>
      </c>
      <c r="AI97" s="491"/>
      <c r="AJ97" s="490"/>
      <c r="AK97" s="489">
        <f t="shared" si="6"/>
        <v>0</v>
      </c>
      <c r="AL97" s="489">
        <f t="shared" si="7"/>
        <v>0</v>
      </c>
      <c r="AM97" s="488">
        <f t="shared" si="9"/>
        <v>0</v>
      </c>
      <c r="AN97" s="500">
        <f t="shared" si="8"/>
        <v>0</v>
      </c>
      <c r="AO97" s="500"/>
    </row>
    <row r="98" spans="1:41" ht="13.5" hidden="1" customHeight="1">
      <c r="A98" s="484">
        <v>94</v>
      </c>
      <c r="B98" s="483" t="str">
        <f>IFERROR(VLOOKUP(C98,[1]Sheet1!$B$6:$C$52,2,0),"")</f>
        <v/>
      </c>
      <c r="C98" s="496"/>
      <c r="D98" s="495"/>
      <c r="E98" s="494"/>
      <c r="F98" s="495"/>
      <c r="G98" s="494"/>
      <c r="H98" s="480"/>
      <c r="I98" s="480"/>
      <c r="J98" s="573"/>
      <c r="K98" s="494"/>
      <c r="L98" s="495"/>
      <c r="M98" s="494"/>
      <c r="N98" s="480"/>
      <c r="O98" s="493"/>
      <c r="AF98" s="501"/>
      <c r="AG98" s="492"/>
      <c r="AH98" s="489">
        <f t="shared" si="5"/>
        <v>0</v>
      </c>
      <c r="AI98" s="491"/>
      <c r="AJ98" s="490"/>
      <c r="AK98" s="489">
        <f t="shared" si="6"/>
        <v>0</v>
      </c>
      <c r="AL98" s="489">
        <f t="shared" si="7"/>
        <v>0</v>
      </c>
      <c r="AM98" s="488">
        <f t="shared" si="9"/>
        <v>0</v>
      </c>
      <c r="AN98" s="500">
        <f t="shared" si="8"/>
        <v>0</v>
      </c>
      <c r="AO98" s="500"/>
    </row>
    <row r="99" spans="1:41" ht="13.5" hidden="1" customHeight="1">
      <c r="A99" s="484">
        <v>95</v>
      </c>
      <c r="B99" s="483" t="str">
        <f>IFERROR(VLOOKUP(C99,[1]Sheet1!$B$6:$C$52,2,0),"")</f>
        <v/>
      </c>
      <c r="C99" s="496"/>
      <c r="D99" s="495"/>
      <c r="E99" s="494"/>
      <c r="F99" s="495"/>
      <c r="G99" s="494"/>
      <c r="H99" s="480"/>
      <c r="I99" s="480"/>
      <c r="J99" s="573"/>
      <c r="K99" s="494"/>
      <c r="L99" s="495"/>
      <c r="M99" s="494"/>
      <c r="N99" s="480"/>
      <c r="O99" s="493"/>
      <c r="AF99" s="501"/>
      <c r="AG99" s="492"/>
      <c r="AH99" s="489">
        <f t="shared" si="5"/>
        <v>0</v>
      </c>
      <c r="AI99" s="491"/>
      <c r="AJ99" s="490"/>
      <c r="AK99" s="489">
        <f t="shared" si="6"/>
        <v>0</v>
      </c>
      <c r="AL99" s="489">
        <f t="shared" si="7"/>
        <v>0</v>
      </c>
      <c r="AM99" s="488">
        <f t="shared" si="9"/>
        <v>0</v>
      </c>
      <c r="AN99" s="500">
        <f t="shared" si="8"/>
        <v>0</v>
      </c>
      <c r="AO99" s="500"/>
    </row>
    <row r="100" spans="1:41" ht="13.5" hidden="1" customHeight="1">
      <c r="A100" s="484">
        <v>96</v>
      </c>
      <c r="B100" s="483" t="str">
        <f>IFERROR(VLOOKUP(C100,[1]Sheet1!$B$6:$C$52,2,0),"")</f>
        <v/>
      </c>
      <c r="C100" s="496"/>
      <c r="D100" s="495"/>
      <c r="E100" s="494"/>
      <c r="F100" s="495"/>
      <c r="G100" s="494"/>
      <c r="H100" s="480"/>
      <c r="I100" s="480"/>
      <c r="J100" s="573"/>
      <c r="K100" s="494"/>
      <c r="L100" s="495"/>
      <c r="M100" s="494"/>
      <c r="N100" s="480"/>
      <c r="O100" s="493"/>
      <c r="AF100" s="501"/>
      <c r="AG100" s="492"/>
      <c r="AH100" s="489">
        <f t="shared" si="5"/>
        <v>0</v>
      </c>
      <c r="AI100" s="491"/>
      <c r="AJ100" s="490"/>
      <c r="AK100" s="489">
        <f t="shared" si="6"/>
        <v>0</v>
      </c>
      <c r="AL100" s="489">
        <f t="shared" si="7"/>
        <v>0</v>
      </c>
      <c r="AM100" s="488">
        <f t="shared" si="9"/>
        <v>0</v>
      </c>
      <c r="AN100" s="500">
        <f t="shared" si="8"/>
        <v>0</v>
      </c>
      <c r="AO100" s="500"/>
    </row>
    <row r="101" spans="1:41" ht="13.5" hidden="1" customHeight="1">
      <c r="A101" s="484">
        <v>97</v>
      </c>
      <c r="B101" s="483" t="str">
        <f>IFERROR(VLOOKUP(C101,[1]Sheet1!$B$6:$C$52,2,0),"")</f>
        <v/>
      </c>
      <c r="C101" s="496"/>
      <c r="D101" s="495"/>
      <c r="E101" s="494"/>
      <c r="F101" s="495"/>
      <c r="G101" s="494"/>
      <c r="H101" s="480"/>
      <c r="I101" s="480"/>
      <c r="J101" s="573"/>
      <c r="K101" s="494"/>
      <c r="L101" s="495"/>
      <c r="M101" s="494"/>
      <c r="N101" s="480"/>
      <c r="O101" s="493"/>
      <c r="AF101" s="501"/>
      <c r="AG101" s="492"/>
      <c r="AH101" s="489">
        <f t="shared" si="5"/>
        <v>0</v>
      </c>
      <c r="AI101" s="491"/>
      <c r="AJ101" s="490"/>
      <c r="AK101" s="489">
        <f t="shared" si="6"/>
        <v>0</v>
      </c>
      <c r="AL101" s="489">
        <f t="shared" si="7"/>
        <v>0</v>
      </c>
      <c r="AM101" s="488">
        <f t="shared" si="9"/>
        <v>0</v>
      </c>
      <c r="AN101" s="500">
        <f t="shared" si="8"/>
        <v>0</v>
      </c>
      <c r="AO101" s="500"/>
    </row>
    <row r="102" spans="1:41" ht="13.5" hidden="1" customHeight="1">
      <c r="A102" s="484">
        <v>98</v>
      </c>
      <c r="B102" s="483" t="str">
        <f>IFERROR(VLOOKUP(C102,[1]Sheet1!$B$6:$C$52,2,0),"")</f>
        <v/>
      </c>
      <c r="C102" s="496"/>
      <c r="D102" s="495"/>
      <c r="E102" s="494"/>
      <c r="F102" s="495"/>
      <c r="G102" s="494"/>
      <c r="H102" s="480"/>
      <c r="I102" s="480"/>
      <c r="J102" s="573"/>
      <c r="K102" s="494"/>
      <c r="L102" s="495"/>
      <c r="M102" s="494"/>
      <c r="N102" s="480"/>
      <c r="O102" s="493"/>
      <c r="AF102" s="501"/>
      <c r="AG102" s="492"/>
      <c r="AH102" s="489">
        <f t="shared" si="5"/>
        <v>0</v>
      </c>
      <c r="AI102" s="491"/>
      <c r="AJ102" s="490"/>
      <c r="AK102" s="489">
        <f t="shared" si="6"/>
        <v>0</v>
      </c>
      <c r="AL102" s="489">
        <f t="shared" si="7"/>
        <v>0</v>
      </c>
      <c r="AM102" s="488">
        <f t="shared" si="9"/>
        <v>0</v>
      </c>
      <c r="AN102" s="500">
        <f t="shared" si="8"/>
        <v>0</v>
      </c>
      <c r="AO102" s="500"/>
    </row>
    <row r="103" spans="1:41" ht="13.5" hidden="1" customHeight="1">
      <c r="A103" s="484">
        <v>99</v>
      </c>
      <c r="B103" s="483" t="str">
        <f>IFERROR(VLOOKUP(C103,[1]Sheet1!$B$6:$C$52,2,0),"")</f>
        <v/>
      </c>
      <c r="C103" s="496"/>
      <c r="D103" s="495"/>
      <c r="E103" s="494"/>
      <c r="F103" s="495"/>
      <c r="G103" s="494"/>
      <c r="H103" s="480"/>
      <c r="I103" s="480"/>
      <c r="J103" s="573"/>
      <c r="K103" s="494"/>
      <c r="L103" s="495"/>
      <c r="M103" s="494"/>
      <c r="N103" s="480"/>
      <c r="O103" s="493"/>
      <c r="AF103" s="501"/>
      <c r="AG103" s="492"/>
      <c r="AH103" s="489">
        <f t="shared" si="5"/>
        <v>0</v>
      </c>
      <c r="AI103" s="491"/>
      <c r="AJ103" s="490"/>
      <c r="AK103" s="489">
        <f t="shared" si="6"/>
        <v>0</v>
      </c>
      <c r="AL103" s="489">
        <f t="shared" si="7"/>
        <v>0</v>
      </c>
      <c r="AM103" s="488">
        <f t="shared" si="9"/>
        <v>0</v>
      </c>
      <c r="AN103" s="500">
        <f t="shared" si="8"/>
        <v>0</v>
      </c>
      <c r="AO103" s="500"/>
    </row>
    <row r="104" spans="1:41" ht="13.5" hidden="1" customHeight="1">
      <c r="A104" s="484">
        <v>100</v>
      </c>
      <c r="B104" s="483" t="str">
        <f>IFERROR(VLOOKUP(C104,[1]Sheet1!$B$6:$C$52,2,0),"")</f>
        <v/>
      </c>
      <c r="C104" s="496"/>
      <c r="D104" s="495"/>
      <c r="E104" s="494"/>
      <c r="F104" s="495"/>
      <c r="G104" s="494"/>
      <c r="H104" s="480"/>
      <c r="I104" s="480"/>
      <c r="J104" s="573"/>
      <c r="K104" s="494"/>
      <c r="L104" s="495"/>
      <c r="M104" s="494"/>
      <c r="N104" s="480"/>
      <c r="O104" s="493"/>
      <c r="AF104" s="501"/>
      <c r="AG104" s="492"/>
      <c r="AH104" s="489">
        <f t="shared" si="5"/>
        <v>0</v>
      </c>
      <c r="AI104" s="491"/>
      <c r="AJ104" s="490"/>
      <c r="AK104" s="489">
        <f t="shared" si="6"/>
        <v>0</v>
      </c>
      <c r="AL104" s="489">
        <f t="shared" si="7"/>
        <v>0</v>
      </c>
      <c r="AM104" s="488">
        <f t="shared" si="9"/>
        <v>0</v>
      </c>
      <c r="AN104" s="500">
        <f t="shared" si="8"/>
        <v>0</v>
      </c>
      <c r="AO104" s="500"/>
    </row>
    <row r="105" spans="1:41" ht="13.5" hidden="1" customHeight="1">
      <c r="A105" s="484">
        <v>101</v>
      </c>
      <c r="B105" s="483" t="str">
        <f>IFERROR(VLOOKUP(C105,[1]Sheet1!$B$6:$C$52,2,0),"")</f>
        <v/>
      </c>
      <c r="C105" s="496"/>
      <c r="D105" s="495"/>
      <c r="E105" s="494"/>
      <c r="F105" s="495"/>
      <c r="G105" s="494"/>
      <c r="H105" s="480"/>
      <c r="I105" s="480"/>
      <c r="J105" s="573"/>
      <c r="K105" s="494"/>
      <c r="L105" s="495"/>
      <c r="M105" s="494"/>
      <c r="N105" s="480"/>
      <c r="O105" s="493"/>
      <c r="AF105" s="501"/>
      <c r="AG105" s="492"/>
      <c r="AH105" s="489">
        <f t="shared" si="5"/>
        <v>0</v>
      </c>
      <c r="AI105" s="491"/>
      <c r="AJ105" s="490"/>
      <c r="AK105" s="489">
        <f t="shared" si="6"/>
        <v>0</v>
      </c>
      <c r="AL105" s="489">
        <f t="shared" si="7"/>
        <v>0</v>
      </c>
      <c r="AM105" s="488">
        <f t="shared" si="9"/>
        <v>0</v>
      </c>
      <c r="AN105" s="500">
        <f t="shared" si="8"/>
        <v>0</v>
      </c>
      <c r="AO105" s="500"/>
    </row>
    <row r="106" spans="1:41" ht="13.5" hidden="1" customHeight="1">
      <c r="A106" s="484">
        <v>102</v>
      </c>
      <c r="B106" s="483" t="str">
        <f>IFERROR(VLOOKUP(C106,[1]Sheet1!$B$6:$C$52,2,0),"")</f>
        <v/>
      </c>
      <c r="C106" s="496"/>
      <c r="D106" s="495"/>
      <c r="E106" s="494"/>
      <c r="F106" s="495"/>
      <c r="G106" s="494"/>
      <c r="H106" s="480"/>
      <c r="I106" s="480"/>
      <c r="J106" s="573"/>
      <c r="K106" s="494"/>
      <c r="L106" s="495"/>
      <c r="M106" s="494"/>
      <c r="N106" s="480"/>
      <c r="O106" s="493"/>
      <c r="AF106" s="501"/>
      <c r="AG106" s="492"/>
      <c r="AH106" s="489">
        <f t="shared" si="5"/>
        <v>0</v>
      </c>
      <c r="AI106" s="491"/>
      <c r="AJ106" s="490"/>
      <c r="AK106" s="489">
        <f t="shared" si="6"/>
        <v>0</v>
      </c>
      <c r="AL106" s="489">
        <f t="shared" si="7"/>
        <v>0</v>
      </c>
      <c r="AM106" s="488">
        <f t="shared" si="9"/>
        <v>0</v>
      </c>
      <c r="AN106" s="500">
        <f t="shared" si="8"/>
        <v>0</v>
      </c>
      <c r="AO106" s="500"/>
    </row>
    <row r="107" spans="1:41" ht="13.5" hidden="1" customHeight="1">
      <c r="A107" s="484">
        <v>103</v>
      </c>
      <c r="B107" s="483" t="str">
        <f>IFERROR(VLOOKUP(C107,[1]Sheet1!$B$6:$C$52,2,0),"")</f>
        <v/>
      </c>
      <c r="C107" s="496"/>
      <c r="D107" s="495"/>
      <c r="E107" s="494"/>
      <c r="F107" s="495"/>
      <c r="G107" s="494"/>
      <c r="H107" s="480"/>
      <c r="I107" s="480"/>
      <c r="J107" s="573"/>
      <c r="K107" s="494"/>
      <c r="L107" s="495"/>
      <c r="M107" s="494"/>
      <c r="N107" s="480"/>
      <c r="O107" s="493"/>
      <c r="AF107" s="501"/>
      <c r="AG107" s="492"/>
      <c r="AH107" s="489">
        <f t="shared" si="5"/>
        <v>0</v>
      </c>
      <c r="AI107" s="491"/>
      <c r="AJ107" s="490"/>
      <c r="AK107" s="489">
        <f t="shared" si="6"/>
        <v>0</v>
      </c>
      <c r="AL107" s="489">
        <f t="shared" si="7"/>
        <v>0</v>
      </c>
      <c r="AM107" s="488">
        <f t="shared" si="9"/>
        <v>0</v>
      </c>
      <c r="AN107" s="500">
        <f t="shared" si="8"/>
        <v>0</v>
      </c>
      <c r="AO107" s="500"/>
    </row>
    <row r="108" spans="1:41" ht="13.5" hidden="1" customHeight="1">
      <c r="A108" s="484">
        <v>104</v>
      </c>
      <c r="B108" s="483" t="str">
        <f>IFERROR(VLOOKUP(C108,[1]Sheet1!$B$6:$C$52,2,0),"")</f>
        <v/>
      </c>
      <c r="C108" s="496"/>
      <c r="D108" s="495"/>
      <c r="E108" s="494"/>
      <c r="F108" s="495"/>
      <c r="G108" s="494"/>
      <c r="H108" s="480"/>
      <c r="I108" s="480"/>
      <c r="J108" s="573"/>
      <c r="K108" s="494"/>
      <c r="L108" s="495"/>
      <c r="M108" s="494"/>
      <c r="N108" s="480"/>
      <c r="O108" s="493"/>
      <c r="AF108" s="501"/>
      <c r="AG108" s="492"/>
      <c r="AH108" s="489">
        <f t="shared" si="5"/>
        <v>0</v>
      </c>
      <c r="AI108" s="491"/>
      <c r="AJ108" s="490"/>
      <c r="AK108" s="489">
        <f t="shared" si="6"/>
        <v>0</v>
      </c>
      <c r="AL108" s="489">
        <f t="shared" si="7"/>
        <v>0</v>
      </c>
      <c r="AM108" s="488">
        <f t="shared" si="9"/>
        <v>0</v>
      </c>
      <c r="AN108" s="500">
        <f t="shared" si="8"/>
        <v>0</v>
      </c>
      <c r="AO108" s="500"/>
    </row>
    <row r="109" spans="1:41" ht="13.5" hidden="1" customHeight="1">
      <c r="A109" s="484">
        <v>105</v>
      </c>
      <c r="B109" s="483" t="str">
        <f>IFERROR(VLOOKUP(C109,[1]Sheet1!$B$6:$C$52,2,0),"")</f>
        <v/>
      </c>
      <c r="C109" s="496"/>
      <c r="D109" s="495"/>
      <c r="E109" s="494"/>
      <c r="F109" s="495"/>
      <c r="G109" s="494"/>
      <c r="H109" s="480"/>
      <c r="I109" s="480"/>
      <c r="J109" s="573"/>
      <c r="K109" s="494"/>
      <c r="L109" s="495"/>
      <c r="M109" s="494"/>
      <c r="N109" s="480"/>
      <c r="O109" s="493"/>
      <c r="AF109" s="501"/>
      <c r="AG109" s="492"/>
      <c r="AH109" s="489">
        <f t="shared" si="5"/>
        <v>0</v>
      </c>
      <c r="AI109" s="491"/>
      <c r="AJ109" s="490"/>
      <c r="AK109" s="489">
        <f t="shared" si="6"/>
        <v>0</v>
      </c>
      <c r="AL109" s="489">
        <f t="shared" si="7"/>
        <v>0</v>
      </c>
      <c r="AM109" s="488">
        <f t="shared" si="9"/>
        <v>0</v>
      </c>
      <c r="AN109" s="500">
        <f t="shared" si="8"/>
        <v>0</v>
      </c>
      <c r="AO109" s="500"/>
    </row>
    <row r="110" spans="1:41" ht="13.5" hidden="1" customHeight="1">
      <c r="A110" s="484">
        <v>106</v>
      </c>
      <c r="B110" s="483" t="str">
        <f>IFERROR(VLOOKUP(C110,[1]Sheet1!$B$6:$C$52,2,0),"")</f>
        <v/>
      </c>
      <c r="C110" s="496"/>
      <c r="D110" s="495"/>
      <c r="E110" s="494"/>
      <c r="F110" s="495"/>
      <c r="G110" s="494"/>
      <c r="H110" s="480"/>
      <c r="I110" s="480"/>
      <c r="J110" s="573"/>
      <c r="K110" s="494"/>
      <c r="L110" s="495"/>
      <c r="M110" s="494"/>
      <c r="N110" s="480"/>
      <c r="O110" s="493"/>
      <c r="AF110" s="501"/>
      <c r="AG110" s="492"/>
      <c r="AH110" s="489">
        <f t="shared" si="5"/>
        <v>0</v>
      </c>
      <c r="AI110" s="491"/>
      <c r="AJ110" s="490"/>
      <c r="AK110" s="489">
        <f t="shared" si="6"/>
        <v>0</v>
      </c>
      <c r="AL110" s="489">
        <f t="shared" si="7"/>
        <v>0</v>
      </c>
      <c r="AM110" s="488">
        <f t="shared" si="9"/>
        <v>0</v>
      </c>
      <c r="AN110" s="500">
        <f t="shared" si="8"/>
        <v>0</v>
      </c>
      <c r="AO110" s="500"/>
    </row>
    <row r="111" spans="1:41" ht="13.5" hidden="1" customHeight="1">
      <c r="A111" s="484">
        <v>107</v>
      </c>
      <c r="B111" s="483" t="str">
        <f>IFERROR(VLOOKUP(C111,[1]Sheet1!$B$6:$C$52,2,0),"")</f>
        <v/>
      </c>
      <c r="C111" s="496"/>
      <c r="D111" s="495"/>
      <c r="E111" s="494"/>
      <c r="F111" s="495"/>
      <c r="G111" s="494"/>
      <c r="H111" s="480"/>
      <c r="I111" s="480"/>
      <c r="J111" s="573"/>
      <c r="K111" s="494"/>
      <c r="L111" s="495"/>
      <c r="M111" s="494"/>
      <c r="N111" s="480"/>
      <c r="O111" s="493"/>
      <c r="AF111" s="501"/>
      <c r="AG111" s="492"/>
      <c r="AH111" s="489">
        <f t="shared" si="5"/>
        <v>0</v>
      </c>
      <c r="AI111" s="575"/>
      <c r="AJ111" s="490"/>
      <c r="AK111" s="489">
        <f t="shared" si="6"/>
        <v>0</v>
      </c>
      <c r="AL111" s="489">
        <f t="shared" si="7"/>
        <v>0</v>
      </c>
      <c r="AM111" s="488">
        <f t="shared" si="9"/>
        <v>0</v>
      </c>
      <c r="AN111" s="500">
        <f t="shared" si="8"/>
        <v>0</v>
      </c>
      <c r="AO111" s="500"/>
    </row>
    <row r="112" spans="1:41" ht="13.5" hidden="1" customHeight="1">
      <c r="A112" s="484">
        <v>108</v>
      </c>
      <c r="B112" s="483" t="str">
        <f>IFERROR(VLOOKUP(C112,[1]Sheet1!$B$6:$C$52,2,0),"")</f>
        <v/>
      </c>
      <c r="C112" s="496"/>
      <c r="D112" s="495"/>
      <c r="E112" s="494"/>
      <c r="F112" s="495"/>
      <c r="G112" s="494"/>
      <c r="H112" s="480"/>
      <c r="I112" s="480"/>
      <c r="J112" s="573"/>
      <c r="K112" s="494"/>
      <c r="L112" s="495"/>
      <c r="M112" s="494"/>
      <c r="N112" s="480"/>
      <c r="O112" s="493"/>
      <c r="AF112" s="501"/>
      <c r="AG112" s="492"/>
      <c r="AH112" s="489">
        <f t="shared" si="5"/>
        <v>0</v>
      </c>
      <c r="AI112" s="491"/>
      <c r="AJ112" s="490"/>
      <c r="AK112" s="489">
        <f t="shared" si="6"/>
        <v>0</v>
      </c>
      <c r="AL112" s="489">
        <f t="shared" si="7"/>
        <v>0</v>
      </c>
      <c r="AM112" s="488">
        <f t="shared" si="9"/>
        <v>0</v>
      </c>
      <c r="AN112" s="500">
        <f t="shared" si="8"/>
        <v>0</v>
      </c>
      <c r="AO112" s="500"/>
    </row>
    <row r="113" spans="1:41" ht="13.5" hidden="1" customHeight="1">
      <c r="A113" s="484">
        <v>109</v>
      </c>
      <c r="B113" s="483" t="str">
        <f>IFERROR(VLOOKUP(C113,[1]Sheet1!$B$6:$C$52,2,0),"")</f>
        <v/>
      </c>
      <c r="C113" s="496"/>
      <c r="D113" s="495"/>
      <c r="E113" s="494"/>
      <c r="F113" s="495"/>
      <c r="G113" s="494"/>
      <c r="H113" s="480"/>
      <c r="I113" s="480"/>
      <c r="J113" s="573"/>
      <c r="K113" s="494"/>
      <c r="L113" s="495"/>
      <c r="M113" s="494"/>
      <c r="N113" s="480"/>
      <c r="O113" s="493"/>
      <c r="AF113" s="501"/>
      <c r="AG113" s="492"/>
      <c r="AH113" s="489">
        <f t="shared" si="5"/>
        <v>0</v>
      </c>
      <c r="AI113" s="491"/>
      <c r="AJ113" s="490"/>
      <c r="AK113" s="489">
        <f t="shared" si="6"/>
        <v>0</v>
      </c>
      <c r="AL113" s="489">
        <f t="shared" si="7"/>
        <v>0</v>
      </c>
      <c r="AM113" s="488">
        <f t="shared" si="9"/>
        <v>0</v>
      </c>
      <c r="AN113" s="500">
        <f t="shared" si="8"/>
        <v>0</v>
      </c>
      <c r="AO113" s="500"/>
    </row>
    <row r="114" spans="1:41" ht="13.5" hidden="1" customHeight="1">
      <c r="A114" s="484">
        <v>110</v>
      </c>
      <c r="B114" s="483" t="str">
        <f>IFERROR(VLOOKUP(C114,[1]Sheet1!$B$6:$C$52,2,0),"")</f>
        <v/>
      </c>
      <c r="C114" s="496"/>
      <c r="D114" s="495"/>
      <c r="E114" s="494"/>
      <c r="F114" s="495"/>
      <c r="G114" s="494"/>
      <c r="H114" s="480"/>
      <c r="I114" s="480"/>
      <c r="J114" s="573"/>
      <c r="K114" s="494"/>
      <c r="L114" s="495"/>
      <c r="M114" s="494"/>
      <c r="N114" s="480"/>
      <c r="O114" s="493"/>
      <c r="AF114" s="501"/>
      <c r="AG114" s="492"/>
      <c r="AH114" s="489">
        <f t="shared" si="5"/>
        <v>0</v>
      </c>
      <c r="AI114" s="491"/>
      <c r="AJ114" s="490"/>
      <c r="AK114" s="489">
        <f t="shared" si="6"/>
        <v>0</v>
      </c>
      <c r="AL114" s="489">
        <f t="shared" si="7"/>
        <v>0</v>
      </c>
      <c r="AM114" s="488">
        <f t="shared" si="9"/>
        <v>0</v>
      </c>
      <c r="AN114" s="500">
        <f t="shared" si="8"/>
        <v>0</v>
      </c>
      <c r="AO114" s="500"/>
    </row>
    <row r="115" spans="1:41" ht="13.5" hidden="1" customHeight="1">
      <c r="A115" s="484">
        <v>111</v>
      </c>
      <c r="B115" s="483" t="str">
        <f>IFERROR(VLOOKUP(C115,[1]Sheet1!$B$6:$C$52,2,0),"")</f>
        <v/>
      </c>
      <c r="C115" s="496"/>
      <c r="D115" s="495"/>
      <c r="E115" s="494"/>
      <c r="F115" s="495"/>
      <c r="G115" s="494"/>
      <c r="H115" s="480"/>
      <c r="I115" s="480"/>
      <c r="J115" s="573"/>
      <c r="K115" s="494"/>
      <c r="L115" s="495"/>
      <c r="M115" s="494"/>
      <c r="N115" s="480"/>
      <c r="O115" s="480"/>
      <c r="AF115" s="501"/>
      <c r="AG115" s="492"/>
      <c r="AH115" s="489">
        <f t="shared" si="5"/>
        <v>0</v>
      </c>
      <c r="AI115" s="491"/>
      <c r="AJ115" s="490"/>
      <c r="AK115" s="489">
        <f t="shared" si="6"/>
        <v>0</v>
      </c>
      <c r="AL115" s="489">
        <f t="shared" si="7"/>
        <v>0</v>
      </c>
      <c r="AM115" s="488">
        <f t="shared" si="9"/>
        <v>0</v>
      </c>
      <c r="AN115" s="500">
        <f t="shared" si="8"/>
        <v>0</v>
      </c>
      <c r="AO115" s="500"/>
    </row>
    <row r="116" spans="1:41" ht="13.5" hidden="1" customHeight="1">
      <c r="A116" s="484">
        <v>112</v>
      </c>
      <c r="B116" s="483" t="str">
        <f>IFERROR(VLOOKUP(C116,[1]Sheet1!$B$6:$C$52,2,0),"")</f>
        <v/>
      </c>
      <c r="C116" s="496"/>
      <c r="D116" s="495"/>
      <c r="E116" s="494"/>
      <c r="F116" s="495"/>
      <c r="G116" s="494"/>
      <c r="H116" s="480"/>
      <c r="I116" s="480"/>
      <c r="J116" s="573"/>
      <c r="K116" s="494"/>
      <c r="L116" s="495"/>
      <c r="M116" s="494"/>
      <c r="N116" s="480"/>
      <c r="O116" s="480"/>
      <c r="AF116" s="501"/>
      <c r="AG116" s="492"/>
      <c r="AH116" s="489">
        <f t="shared" si="5"/>
        <v>0</v>
      </c>
      <c r="AI116" s="491"/>
      <c r="AJ116" s="490"/>
      <c r="AK116" s="489">
        <f t="shared" si="6"/>
        <v>0</v>
      </c>
      <c r="AL116" s="489">
        <f t="shared" si="7"/>
        <v>0</v>
      </c>
      <c r="AM116" s="488">
        <f t="shared" si="9"/>
        <v>0</v>
      </c>
      <c r="AN116" s="500">
        <f t="shared" si="8"/>
        <v>0</v>
      </c>
      <c r="AO116" s="500"/>
    </row>
    <row r="117" spans="1:41" ht="13.5" hidden="1" customHeight="1">
      <c r="A117" s="484">
        <v>113</v>
      </c>
      <c r="B117" s="483" t="str">
        <f>IFERROR(VLOOKUP(C117,[1]Sheet1!$B$6:$C$52,2,0),"")</f>
        <v/>
      </c>
      <c r="C117" s="496"/>
      <c r="D117" s="495"/>
      <c r="E117" s="494"/>
      <c r="F117" s="495"/>
      <c r="G117" s="494"/>
      <c r="H117" s="480"/>
      <c r="I117" s="480"/>
      <c r="J117" s="573"/>
      <c r="K117" s="494"/>
      <c r="L117" s="495"/>
      <c r="M117" s="494"/>
      <c r="N117" s="480"/>
      <c r="O117" s="480"/>
      <c r="AF117" s="501"/>
      <c r="AG117" s="492"/>
      <c r="AH117" s="489">
        <f t="shared" si="5"/>
        <v>0</v>
      </c>
      <c r="AI117" s="491"/>
      <c r="AJ117" s="490"/>
      <c r="AK117" s="489">
        <f t="shared" si="6"/>
        <v>0</v>
      </c>
      <c r="AL117" s="489">
        <f t="shared" si="7"/>
        <v>0</v>
      </c>
      <c r="AM117" s="488">
        <f t="shared" si="9"/>
        <v>0</v>
      </c>
      <c r="AN117" s="500">
        <f t="shared" si="8"/>
        <v>0</v>
      </c>
      <c r="AO117" s="500"/>
    </row>
    <row r="118" spans="1:41" ht="13.5" hidden="1" customHeight="1">
      <c r="A118" s="484">
        <v>114</v>
      </c>
      <c r="B118" s="483" t="str">
        <f>IFERROR(VLOOKUP(C118,[1]Sheet1!$B$6:$C$52,2,0),"")</f>
        <v/>
      </c>
      <c r="C118" s="496"/>
      <c r="D118" s="495"/>
      <c r="E118" s="494"/>
      <c r="F118" s="495"/>
      <c r="G118" s="494"/>
      <c r="H118" s="480"/>
      <c r="I118" s="480"/>
      <c r="J118" s="573"/>
      <c r="K118" s="494"/>
      <c r="L118" s="495"/>
      <c r="M118" s="494"/>
      <c r="N118" s="480"/>
      <c r="O118" s="493"/>
      <c r="AF118" s="501"/>
      <c r="AG118" s="492"/>
      <c r="AH118" s="489">
        <f t="shared" si="5"/>
        <v>0</v>
      </c>
      <c r="AI118" s="491"/>
      <c r="AJ118" s="490"/>
      <c r="AK118" s="489">
        <f t="shared" si="6"/>
        <v>0</v>
      </c>
      <c r="AL118" s="489">
        <f t="shared" si="7"/>
        <v>0</v>
      </c>
      <c r="AM118" s="488">
        <f t="shared" si="9"/>
        <v>0</v>
      </c>
      <c r="AN118" s="500">
        <f t="shared" si="8"/>
        <v>0</v>
      </c>
      <c r="AO118" s="500"/>
    </row>
    <row r="119" spans="1:41" ht="13.5" hidden="1" customHeight="1">
      <c r="A119" s="484">
        <v>115</v>
      </c>
      <c r="B119" s="483" t="str">
        <f>IFERROR(VLOOKUP(C119,[1]Sheet1!$B$6:$C$52,2,0),"")</f>
        <v/>
      </c>
      <c r="C119" s="496"/>
      <c r="D119" s="495"/>
      <c r="E119" s="494"/>
      <c r="F119" s="495"/>
      <c r="G119" s="494"/>
      <c r="H119" s="480"/>
      <c r="I119" s="480"/>
      <c r="J119" s="573"/>
      <c r="K119" s="494"/>
      <c r="L119" s="495"/>
      <c r="M119" s="494"/>
      <c r="N119" s="480"/>
      <c r="O119" s="493"/>
      <c r="AF119" s="501"/>
      <c r="AG119" s="492"/>
      <c r="AH119" s="489">
        <f t="shared" si="5"/>
        <v>0</v>
      </c>
      <c r="AI119" s="491"/>
      <c r="AJ119" s="490"/>
      <c r="AK119" s="489">
        <f t="shared" si="6"/>
        <v>0</v>
      </c>
      <c r="AL119" s="489">
        <f t="shared" si="7"/>
        <v>0</v>
      </c>
      <c r="AM119" s="488">
        <f t="shared" si="9"/>
        <v>0</v>
      </c>
      <c r="AN119" s="500">
        <f t="shared" si="8"/>
        <v>0</v>
      </c>
      <c r="AO119" s="500"/>
    </row>
    <row r="120" spans="1:41" ht="13.5" hidden="1" customHeight="1">
      <c r="A120" s="484">
        <v>116</v>
      </c>
      <c r="B120" s="483" t="str">
        <f>IFERROR(VLOOKUP(C120,[1]Sheet1!$B$6:$C$52,2,0),"")</f>
        <v/>
      </c>
      <c r="C120" s="496"/>
      <c r="D120" s="495"/>
      <c r="E120" s="494"/>
      <c r="F120" s="495"/>
      <c r="G120" s="494"/>
      <c r="H120" s="480"/>
      <c r="I120" s="480"/>
      <c r="J120" s="573"/>
      <c r="K120" s="494"/>
      <c r="L120" s="495"/>
      <c r="M120" s="494"/>
      <c r="N120" s="480"/>
      <c r="O120" s="493"/>
      <c r="AF120" s="501"/>
      <c r="AG120" s="492"/>
      <c r="AH120" s="489">
        <f t="shared" si="5"/>
        <v>0</v>
      </c>
      <c r="AI120" s="491"/>
      <c r="AJ120" s="490"/>
      <c r="AK120" s="489">
        <f t="shared" si="6"/>
        <v>0</v>
      </c>
      <c r="AL120" s="489">
        <f t="shared" si="7"/>
        <v>0</v>
      </c>
      <c r="AM120" s="488">
        <f t="shared" si="9"/>
        <v>0</v>
      </c>
      <c r="AN120" s="500">
        <f t="shared" si="8"/>
        <v>0</v>
      </c>
      <c r="AO120" s="500"/>
    </row>
    <row r="121" spans="1:41" ht="13.5" hidden="1" customHeight="1">
      <c r="A121" s="484">
        <v>117</v>
      </c>
      <c r="B121" s="483" t="str">
        <f>IFERROR(VLOOKUP(C121,[1]Sheet1!$B$6:$C$52,2,0),"")</f>
        <v/>
      </c>
      <c r="C121" s="496"/>
      <c r="D121" s="495"/>
      <c r="E121" s="494"/>
      <c r="F121" s="495"/>
      <c r="G121" s="494"/>
      <c r="H121" s="480"/>
      <c r="I121" s="480"/>
      <c r="J121" s="573"/>
      <c r="K121" s="494"/>
      <c r="L121" s="495"/>
      <c r="M121" s="494"/>
      <c r="N121" s="480"/>
      <c r="O121" s="493"/>
      <c r="AF121" s="501"/>
      <c r="AG121" s="492"/>
      <c r="AH121" s="489">
        <f t="shared" si="5"/>
        <v>0</v>
      </c>
      <c r="AI121" s="491"/>
      <c r="AJ121" s="490"/>
      <c r="AK121" s="489">
        <f t="shared" si="6"/>
        <v>0</v>
      </c>
      <c r="AL121" s="489">
        <f t="shared" si="7"/>
        <v>0</v>
      </c>
      <c r="AM121" s="488">
        <f t="shared" si="9"/>
        <v>0</v>
      </c>
      <c r="AN121" s="500">
        <f t="shared" si="8"/>
        <v>0</v>
      </c>
      <c r="AO121" s="500"/>
    </row>
    <row r="122" spans="1:41" ht="13.5" hidden="1" customHeight="1">
      <c r="A122" s="484">
        <v>118</v>
      </c>
      <c r="B122" s="483" t="str">
        <f>IFERROR(VLOOKUP(C122,[1]Sheet1!$B$6:$C$52,2,0),"")</f>
        <v/>
      </c>
      <c r="C122" s="496"/>
      <c r="D122" s="495"/>
      <c r="E122" s="494"/>
      <c r="F122" s="495"/>
      <c r="G122" s="494"/>
      <c r="H122" s="480"/>
      <c r="I122" s="480"/>
      <c r="J122" s="573"/>
      <c r="K122" s="494"/>
      <c r="L122" s="495"/>
      <c r="M122" s="494"/>
      <c r="N122" s="480"/>
      <c r="O122" s="493"/>
      <c r="AF122" s="501"/>
      <c r="AG122" s="492"/>
      <c r="AH122" s="489">
        <f t="shared" si="5"/>
        <v>0</v>
      </c>
      <c r="AI122" s="491"/>
      <c r="AJ122" s="490"/>
      <c r="AK122" s="489">
        <f t="shared" si="6"/>
        <v>0</v>
      </c>
      <c r="AL122" s="489">
        <f t="shared" si="7"/>
        <v>0</v>
      </c>
      <c r="AM122" s="488">
        <f t="shared" si="9"/>
        <v>0</v>
      </c>
      <c r="AN122" s="500">
        <f t="shared" si="8"/>
        <v>0</v>
      </c>
      <c r="AO122" s="500"/>
    </row>
    <row r="123" spans="1:41" ht="13.5" hidden="1" customHeight="1">
      <c r="A123" s="484">
        <v>119</v>
      </c>
      <c r="B123" s="483" t="str">
        <f>IFERROR(VLOOKUP(C123,[1]Sheet1!$B$6:$C$52,2,0),"")</f>
        <v/>
      </c>
      <c r="C123" s="496"/>
      <c r="D123" s="495"/>
      <c r="E123" s="494"/>
      <c r="F123" s="495"/>
      <c r="G123" s="494"/>
      <c r="H123" s="480"/>
      <c r="I123" s="480"/>
      <c r="J123" s="573"/>
      <c r="K123" s="494"/>
      <c r="L123" s="495"/>
      <c r="M123" s="494"/>
      <c r="N123" s="480"/>
      <c r="O123" s="493"/>
      <c r="AF123" s="501"/>
      <c r="AG123" s="492"/>
      <c r="AH123" s="489">
        <f t="shared" si="5"/>
        <v>0</v>
      </c>
      <c r="AI123" s="491"/>
      <c r="AJ123" s="490"/>
      <c r="AK123" s="489">
        <f t="shared" si="6"/>
        <v>0</v>
      </c>
      <c r="AL123" s="489">
        <f t="shared" si="7"/>
        <v>0</v>
      </c>
      <c r="AM123" s="488">
        <f t="shared" si="9"/>
        <v>0</v>
      </c>
      <c r="AN123" s="500">
        <f t="shared" si="8"/>
        <v>0</v>
      </c>
      <c r="AO123" s="500"/>
    </row>
    <row r="124" spans="1:41" ht="13.5" hidden="1" customHeight="1">
      <c r="A124" s="484">
        <v>120</v>
      </c>
      <c r="B124" s="483" t="str">
        <f>IFERROR(VLOOKUP(C124,[1]Sheet1!$B$6:$C$52,2,0),"")</f>
        <v/>
      </c>
      <c r="C124" s="496"/>
      <c r="D124" s="495"/>
      <c r="E124" s="494"/>
      <c r="F124" s="495"/>
      <c r="G124" s="494"/>
      <c r="H124" s="480"/>
      <c r="I124" s="480"/>
      <c r="J124" s="573"/>
      <c r="K124" s="494"/>
      <c r="L124" s="495"/>
      <c r="M124" s="494"/>
      <c r="N124" s="480"/>
      <c r="O124" s="493"/>
      <c r="AF124" s="501"/>
      <c r="AG124" s="492"/>
      <c r="AH124" s="489">
        <f t="shared" si="5"/>
        <v>0</v>
      </c>
      <c r="AI124" s="491"/>
      <c r="AJ124" s="490"/>
      <c r="AK124" s="489">
        <f t="shared" si="6"/>
        <v>0</v>
      </c>
      <c r="AL124" s="489">
        <f t="shared" si="7"/>
        <v>0</v>
      </c>
      <c r="AM124" s="488">
        <f t="shared" si="9"/>
        <v>0</v>
      </c>
      <c r="AN124" s="500">
        <f t="shared" si="8"/>
        <v>0</v>
      </c>
      <c r="AO124" s="500"/>
    </row>
    <row r="125" spans="1:41" ht="13.5" hidden="1" customHeight="1">
      <c r="A125" s="484">
        <v>121</v>
      </c>
      <c r="B125" s="483" t="str">
        <f>IFERROR(VLOOKUP(C125,[1]Sheet1!$B$6:$C$52,2,0),"")</f>
        <v/>
      </c>
      <c r="C125" s="496"/>
      <c r="D125" s="495"/>
      <c r="E125" s="494"/>
      <c r="F125" s="495"/>
      <c r="G125" s="494"/>
      <c r="H125" s="480"/>
      <c r="I125" s="480"/>
      <c r="J125" s="573"/>
      <c r="K125" s="494"/>
      <c r="L125" s="495"/>
      <c r="M125" s="494"/>
      <c r="N125" s="480"/>
      <c r="O125" s="493"/>
      <c r="AF125" s="501"/>
      <c r="AG125" s="492"/>
      <c r="AH125" s="489">
        <f t="shared" si="5"/>
        <v>0</v>
      </c>
      <c r="AI125" s="491"/>
      <c r="AJ125" s="490"/>
      <c r="AK125" s="489">
        <f t="shared" si="6"/>
        <v>0</v>
      </c>
      <c r="AL125" s="489">
        <f t="shared" si="7"/>
        <v>0</v>
      </c>
      <c r="AM125" s="488">
        <f t="shared" si="9"/>
        <v>0</v>
      </c>
      <c r="AN125" s="500">
        <f t="shared" si="8"/>
        <v>0</v>
      </c>
      <c r="AO125" s="500"/>
    </row>
    <row r="126" spans="1:41" ht="13.5" hidden="1" customHeight="1">
      <c r="A126" s="484">
        <v>122</v>
      </c>
      <c r="B126" s="483" t="str">
        <f>IFERROR(VLOOKUP(C126,[1]Sheet1!$B$6:$C$52,2,0),"")</f>
        <v/>
      </c>
      <c r="C126" s="496"/>
      <c r="D126" s="495"/>
      <c r="E126" s="494"/>
      <c r="F126" s="495"/>
      <c r="G126" s="494"/>
      <c r="H126" s="480"/>
      <c r="I126" s="480"/>
      <c r="J126" s="573"/>
      <c r="K126" s="494"/>
      <c r="L126" s="495"/>
      <c r="M126" s="494"/>
      <c r="N126" s="480"/>
      <c r="O126" s="493"/>
      <c r="AF126" s="501"/>
      <c r="AG126" s="492"/>
      <c r="AH126" s="489">
        <f t="shared" si="5"/>
        <v>0</v>
      </c>
      <c r="AI126" s="491"/>
      <c r="AJ126" s="490"/>
      <c r="AK126" s="489">
        <f t="shared" si="6"/>
        <v>0</v>
      </c>
      <c r="AL126" s="489">
        <f t="shared" si="7"/>
        <v>0</v>
      </c>
      <c r="AM126" s="488">
        <f t="shared" si="9"/>
        <v>0</v>
      </c>
      <c r="AN126" s="500">
        <f t="shared" si="8"/>
        <v>0</v>
      </c>
      <c r="AO126" s="500"/>
    </row>
    <row r="127" spans="1:41" ht="13.5" hidden="1" customHeight="1">
      <c r="A127" s="484">
        <v>123</v>
      </c>
      <c r="B127" s="483" t="str">
        <f>IFERROR(VLOOKUP(C127,[1]Sheet1!$B$6:$C$52,2,0),"")</f>
        <v/>
      </c>
      <c r="C127" s="496"/>
      <c r="D127" s="495"/>
      <c r="E127" s="494"/>
      <c r="F127" s="495"/>
      <c r="G127" s="494"/>
      <c r="H127" s="480"/>
      <c r="I127" s="480"/>
      <c r="J127" s="573"/>
      <c r="K127" s="494"/>
      <c r="L127" s="495"/>
      <c r="M127" s="494"/>
      <c r="N127" s="480"/>
      <c r="O127" s="493"/>
      <c r="AF127" s="501"/>
      <c r="AG127" s="492"/>
      <c r="AH127" s="489">
        <f t="shared" si="5"/>
        <v>0</v>
      </c>
      <c r="AI127" s="491"/>
      <c r="AJ127" s="490"/>
      <c r="AK127" s="489">
        <f t="shared" si="6"/>
        <v>0</v>
      </c>
      <c r="AL127" s="489">
        <f t="shared" si="7"/>
        <v>0</v>
      </c>
      <c r="AM127" s="488">
        <f t="shared" si="9"/>
        <v>0</v>
      </c>
      <c r="AN127" s="500">
        <f t="shared" si="8"/>
        <v>0</v>
      </c>
      <c r="AO127" s="500"/>
    </row>
    <row r="128" spans="1:41" ht="13.5" hidden="1" customHeight="1">
      <c r="A128" s="484">
        <v>124</v>
      </c>
      <c r="B128" s="483" t="str">
        <f>IFERROR(VLOOKUP(C128,[1]Sheet1!$B$6:$C$52,2,0),"")</f>
        <v/>
      </c>
      <c r="C128" s="496"/>
      <c r="D128" s="495"/>
      <c r="E128" s="494"/>
      <c r="F128" s="495"/>
      <c r="G128" s="494"/>
      <c r="H128" s="480"/>
      <c r="I128" s="480"/>
      <c r="J128" s="573"/>
      <c r="K128" s="494"/>
      <c r="L128" s="495"/>
      <c r="M128" s="494"/>
      <c r="N128" s="480"/>
      <c r="O128" s="493"/>
      <c r="AF128" s="501"/>
      <c r="AG128" s="492"/>
      <c r="AH128" s="489">
        <f t="shared" si="5"/>
        <v>0</v>
      </c>
      <c r="AI128" s="491"/>
      <c r="AJ128" s="490"/>
      <c r="AK128" s="489">
        <f t="shared" si="6"/>
        <v>0</v>
      </c>
      <c r="AL128" s="489">
        <f t="shared" si="7"/>
        <v>0</v>
      </c>
      <c r="AM128" s="488">
        <f t="shared" si="9"/>
        <v>0</v>
      </c>
      <c r="AN128" s="500">
        <f t="shared" si="8"/>
        <v>0</v>
      </c>
      <c r="AO128" s="500"/>
    </row>
    <row r="129" spans="1:41" ht="13.5" hidden="1" customHeight="1">
      <c r="A129" s="484">
        <v>125</v>
      </c>
      <c r="B129" s="483" t="str">
        <f>IFERROR(VLOOKUP(C129,[1]Sheet1!$B$6:$C$52,2,0),"")</f>
        <v/>
      </c>
      <c r="C129" s="496"/>
      <c r="D129" s="495"/>
      <c r="E129" s="494"/>
      <c r="F129" s="495"/>
      <c r="G129" s="494"/>
      <c r="H129" s="480"/>
      <c r="I129" s="480"/>
      <c r="J129" s="573"/>
      <c r="K129" s="494"/>
      <c r="L129" s="495"/>
      <c r="M129" s="494"/>
      <c r="N129" s="480"/>
      <c r="O129" s="493"/>
      <c r="AF129" s="501"/>
      <c r="AG129" s="492"/>
      <c r="AH129" s="489">
        <f t="shared" si="5"/>
        <v>0</v>
      </c>
      <c r="AI129" s="491"/>
      <c r="AJ129" s="490"/>
      <c r="AK129" s="489">
        <f t="shared" si="6"/>
        <v>0</v>
      </c>
      <c r="AL129" s="489">
        <f t="shared" si="7"/>
        <v>0</v>
      </c>
      <c r="AM129" s="488">
        <f t="shared" si="9"/>
        <v>0</v>
      </c>
      <c r="AN129" s="500">
        <f t="shared" si="8"/>
        <v>0</v>
      </c>
      <c r="AO129" s="500"/>
    </row>
    <row r="130" spans="1:41" ht="13.5" hidden="1" customHeight="1">
      <c r="A130" s="484">
        <v>126</v>
      </c>
      <c r="B130" s="483" t="str">
        <f>IFERROR(VLOOKUP(C130,[1]Sheet1!$B$6:$C$52,2,0),"")</f>
        <v/>
      </c>
      <c r="C130" s="496"/>
      <c r="D130" s="495"/>
      <c r="E130" s="494"/>
      <c r="F130" s="495"/>
      <c r="G130" s="494"/>
      <c r="H130" s="480"/>
      <c r="I130" s="480"/>
      <c r="J130" s="573"/>
      <c r="K130" s="494"/>
      <c r="L130" s="495"/>
      <c r="M130" s="494"/>
      <c r="N130" s="480"/>
      <c r="O130" s="493"/>
      <c r="AF130" s="501"/>
      <c r="AG130" s="492"/>
      <c r="AH130" s="489">
        <f t="shared" si="5"/>
        <v>0</v>
      </c>
      <c r="AI130" s="491"/>
      <c r="AJ130" s="490"/>
      <c r="AK130" s="489">
        <f t="shared" si="6"/>
        <v>0</v>
      </c>
      <c r="AL130" s="489">
        <f t="shared" si="7"/>
        <v>0</v>
      </c>
      <c r="AM130" s="488">
        <f t="shared" si="9"/>
        <v>0</v>
      </c>
      <c r="AN130" s="500">
        <f t="shared" si="8"/>
        <v>0</v>
      </c>
      <c r="AO130" s="500"/>
    </row>
    <row r="131" spans="1:41" ht="13.5" hidden="1" customHeight="1">
      <c r="A131" s="484">
        <v>127</v>
      </c>
      <c r="B131" s="483" t="str">
        <f>IFERROR(VLOOKUP(C131,[1]Sheet1!$B$6:$C$52,2,0),"")</f>
        <v/>
      </c>
      <c r="C131" s="496"/>
      <c r="D131" s="495"/>
      <c r="E131" s="494"/>
      <c r="F131" s="495"/>
      <c r="G131" s="494"/>
      <c r="H131" s="480"/>
      <c r="I131" s="480"/>
      <c r="J131" s="573"/>
      <c r="K131" s="494"/>
      <c r="L131" s="495"/>
      <c r="M131" s="494"/>
      <c r="N131" s="480"/>
      <c r="O131" s="493"/>
      <c r="AF131" s="501"/>
      <c r="AG131" s="492"/>
      <c r="AH131" s="489">
        <f t="shared" si="5"/>
        <v>0</v>
      </c>
      <c r="AI131" s="491"/>
      <c r="AJ131" s="490"/>
      <c r="AK131" s="489">
        <f t="shared" si="6"/>
        <v>0</v>
      </c>
      <c r="AL131" s="489">
        <f t="shared" si="7"/>
        <v>0</v>
      </c>
      <c r="AM131" s="488">
        <f t="shared" si="9"/>
        <v>0</v>
      </c>
      <c r="AN131" s="500">
        <f t="shared" si="8"/>
        <v>0</v>
      </c>
      <c r="AO131" s="500"/>
    </row>
    <row r="132" spans="1:41" ht="13.5" hidden="1" customHeight="1">
      <c r="A132" s="484">
        <v>128</v>
      </c>
      <c r="B132" s="483" t="str">
        <f>IFERROR(VLOOKUP(C132,[1]Sheet1!$B$6:$C$52,2,0),"")</f>
        <v/>
      </c>
      <c r="C132" s="496"/>
      <c r="D132" s="495"/>
      <c r="E132" s="494"/>
      <c r="F132" s="495"/>
      <c r="G132" s="494"/>
      <c r="H132" s="480"/>
      <c r="I132" s="480"/>
      <c r="J132" s="573"/>
      <c r="K132" s="494"/>
      <c r="L132" s="495"/>
      <c r="M132" s="494"/>
      <c r="N132" s="480"/>
      <c r="O132" s="493"/>
      <c r="AF132" s="501"/>
      <c r="AG132" s="492"/>
      <c r="AH132" s="489">
        <f t="shared" si="5"/>
        <v>0</v>
      </c>
      <c r="AI132" s="491"/>
      <c r="AJ132" s="490"/>
      <c r="AK132" s="489">
        <f t="shared" si="6"/>
        <v>0</v>
      </c>
      <c r="AL132" s="489">
        <f t="shared" si="7"/>
        <v>0</v>
      </c>
      <c r="AM132" s="488">
        <f t="shared" si="9"/>
        <v>0</v>
      </c>
      <c r="AN132" s="500">
        <f t="shared" si="8"/>
        <v>0</v>
      </c>
      <c r="AO132" s="500"/>
    </row>
    <row r="133" spans="1:41" ht="13.5" hidden="1" customHeight="1">
      <c r="A133" s="484">
        <v>129</v>
      </c>
      <c r="B133" s="483" t="str">
        <f>IFERROR(VLOOKUP(C133,[1]Sheet1!$B$6:$C$52,2,0),"")</f>
        <v/>
      </c>
      <c r="C133" s="496"/>
      <c r="D133" s="495"/>
      <c r="E133" s="494"/>
      <c r="F133" s="495"/>
      <c r="G133" s="494"/>
      <c r="H133" s="480"/>
      <c r="I133" s="480"/>
      <c r="J133" s="573"/>
      <c r="K133" s="494"/>
      <c r="L133" s="495"/>
      <c r="M133" s="494"/>
      <c r="N133" s="480"/>
      <c r="O133" s="493"/>
      <c r="AF133" s="501"/>
      <c r="AG133" s="492"/>
      <c r="AH133" s="489">
        <f t="shared" ref="AH133:AH196" si="10">AF133-AG133</f>
        <v>0</v>
      </c>
      <c r="AI133" s="491"/>
      <c r="AJ133" s="490"/>
      <c r="AK133" s="489">
        <f t="shared" ref="AK133:AK200" si="11">MIN(AI133,AJ133)</f>
        <v>0</v>
      </c>
      <c r="AL133" s="489">
        <f t="shared" ref="AL133:AL200" si="12">MIN(AH133,AK133)</f>
        <v>0</v>
      </c>
      <c r="AM133" s="488">
        <f t="shared" si="9"/>
        <v>0</v>
      </c>
      <c r="AN133" s="500">
        <f t="shared" ref="AN133:AN196" si="13">ROUNDUP(AM133*$AM$261,-3)</f>
        <v>0</v>
      </c>
      <c r="AO133" s="500"/>
    </row>
    <row r="134" spans="1:41" ht="13.5" hidden="1" customHeight="1">
      <c r="A134" s="484">
        <v>130</v>
      </c>
      <c r="B134" s="483" t="str">
        <f>IFERROR(VLOOKUP(C134,[1]Sheet1!$B$6:$C$52,2,0),"")</f>
        <v/>
      </c>
      <c r="C134" s="496"/>
      <c r="D134" s="495"/>
      <c r="E134" s="494"/>
      <c r="F134" s="495"/>
      <c r="G134" s="494"/>
      <c r="H134" s="480"/>
      <c r="I134" s="480"/>
      <c r="J134" s="573"/>
      <c r="K134" s="494"/>
      <c r="L134" s="495"/>
      <c r="M134" s="494"/>
      <c r="N134" s="480"/>
      <c r="O134" s="493"/>
      <c r="AF134" s="501"/>
      <c r="AG134" s="492"/>
      <c r="AH134" s="489">
        <f t="shared" si="10"/>
        <v>0</v>
      </c>
      <c r="AI134" s="491"/>
      <c r="AJ134" s="490"/>
      <c r="AK134" s="489">
        <f t="shared" si="11"/>
        <v>0</v>
      </c>
      <c r="AL134" s="489">
        <f t="shared" si="12"/>
        <v>0</v>
      </c>
      <c r="AM134" s="488">
        <f t="shared" si="9"/>
        <v>0</v>
      </c>
      <c r="AN134" s="500">
        <f t="shared" si="13"/>
        <v>0</v>
      </c>
      <c r="AO134" s="500"/>
    </row>
    <row r="135" spans="1:41" ht="13.5" hidden="1" customHeight="1">
      <c r="A135" s="484">
        <v>131</v>
      </c>
      <c r="B135" s="483" t="str">
        <f>IFERROR(VLOOKUP(C135,[1]Sheet1!$B$6:$C$52,2,0),"")</f>
        <v/>
      </c>
      <c r="C135" s="496"/>
      <c r="D135" s="495"/>
      <c r="E135" s="494"/>
      <c r="F135" s="495"/>
      <c r="G135" s="494"/>
      <c r="H135" s="480"/>
      <c r="I135" s="480"/>
      <c r="J135" s="573"/>
      <c r="K135" s="494"/>
      <c r="L135" s="495"/>
      <c r="M135" s="494"/>
      <c r="N135" s="480"/>
      <c r="O135" s="493"/>
      <c r="AF135" s="501"/>
      <c r="AG135" s="492"/>
      <c r="AH135" s="489">
        <f t="shared" si="10"/>
        <v>0</v>
      </c>
      <c r="AI135" s="491"/>
      <c r="AJ135" s="490"/>
      <c r="AK135" s="489">
        <f t="shared" si="11"/>
        <v>0</v>
      </c>
      <c r="AL135" s="489">
        <f t="shared" si="12"/>
        <v>0</v>
      </c>
      <c r="AM135" s="488">
        <f t="shared" si="9"/>
        <v>0</v>
      </c>
      <c r="AN135" s="500">
        <f t="shared" si="13"/>
        <v>0</v>
      </c>
      <c r="AO135" s="500"/>
    </row>
    <row r="136" spans="1:41" ht="13.5" hidden="1" customHeight="1">
      <c r="A136" s="484">
        <v>132</v>
      </c>
      <c r="B136" s="483" t="str">
        <f>IFERROR(VLOOKUP(C136,[1]Sheet1!$B$6:$C$52,2,0),"")</f>
        <v/>
      </c>
      <c r="C136" s="496"/>
      <c r="D136" s="495"/>
      <c r="E136" s="494"/>
      <c r="F136" s="495"/>
      <c r="G136" s="494"/>
      <c r="H136" s="480"/>
      <c r="I136" s="480"/>
      <c r="J136" s="573"/>
      <c r="K136" s="494"/>
      <c r="L136" s="495"/>
      <c r="M136" s="494"/>
      <c r="N136" s="480"/>
      <c r="O136" s="493"/>
      <c r="AF136" s="501"/>
      <c r="AG136" s="492"/>
      <c r="AH136" s="489">
        <f t="shared" si="10"/>
        <v>0</v>
      </c>
      <c r="AI136" s="491"/>
      <c r="AJ136" s="490"/>
      <c r="AK136" s="489">
        <f t="shared" si="11"/>
        <v>0</v>
      </c>
      <c r="AL136" s="489">
        <f t="shared" si="12"/>
        <v>0</v>
      </c>
      <c r="AM136" s="488">
        <f t="shared" si="9"/>
        <v>0</v>
      </c>
      <c r="AN136" s="500">
        <f t="shared" si="13"/>
        <v>0</v>
      </c>
      <c r="AO136" s="500"/>
    </row>
    <row r="137" spans="1:41" ht="13.5" hidden="1" customHeight="1">
      <c r="A137" s="484">
        <v>133</v>
      </c>
      <c r="B137" s="483" t="str">
        <f>IFERROR(VLOOKUP(C137,[1]Sheet1!$B$6:$C$52,2,0),"")</f>
        <v/>
      </c>
      <c r="C137" s="496"/>
      <c r="D137" s="495"/>
      <c r="E137" s="494"/>
      <c r="F137" s="495"/>
      <c r="G137" s="494"/>
      <c r="H137" s="480"/>
      <c r="I137" s="480"/>
      <c r="J137" s="573"/>
      <c r="K137" s="494"/>
      <c r="L137" s="495"/>
      <c r="M137" s="494"/>
      <c r="N137" s="480"/>
      <c r="O137" s="493"/>
      <c r="AF137" s="501"/>
      <c r="AG137" s="492"/>
      <c r="AH137" s="489">
        <f t="shared" si="10"/>
        <v>0</v>
      </c>
      <c r="AI137" s="491"/>
      <c r="AJ137" s="490"/>
      <c r="AK137" s="489">
        <f t="shared" si="11"/>
        <v>0</v>
      </c>
      <c r="AL137" s="489">
        <f t="shared" si="12"/>
        <v>0</v>
      </c>
      <c r="AM137" s="488">
        <f t="shared" si="9"/>
        <v>0</v>
      </c>
      <c r="AN137" s="500">
        <f t="shared" si="13"/>
        <v>0</v>
      </c>
      <c r="AO137" s="500"/>
    </row>
    <row r="138" spans="1:41" ht="13.5" hidden="1" customHeight="1">
      <c r="A138" s="484">
        <v>134</v>
      </c>
      <c r="B138" s="483" t="str">
        <f>IFERROR(VLOOKUP(C138,[1]Sheet1!$B$6:$C$52,2,0),"")</f>
        <v/>
      </c>
      <c r="C138" s="496"/>
      <c r="D138" s="495"/>
      <c r="E138" s="494"/>
      <c r="F138" s="495"/>
      <c r="G138" s="494"/>
      <c r="H138" s="480"/>
      <c r="I138" s="480"/>
      <c r="J138" s="573"/>
      <c r="K138" s="494"/>
      <c r="L138" s="495"/>
      <c r="M138" s="494"/>
      <c r="N138" s="480"/>
      <c r="O138" s="493"/>
      <c r="AF138" s="501"/>
      <c r="AG138" s="492"/>
      <c r="AH138" s="489">
        <f t="shared" si="10"/>
        <v>0</v>
      </c>
      <c r="AI138" s="491"/>
      <c r="AJ138" s="490"/>
      <c r="AK138" s="489">
        <f t="shared" si="11"/>
        <v>0</v>
      </c>
      <c r="AL138" s="489">
        <f t="shared" si="12"/>
        <v>0</v>
      </c>
      <c r="AM138" s="488">
        <f t="shared" ref="AM138:AM201" si="14">ROUNDDOWN(AL138,-3)</f>
        <v>0</v>
      </c>
      <c r="AN138" s="500">
        <f t="shared" si="13"/>
        <v>0</v>
      </c>
      <c r="AO138" s="500"/>
    </row>
    <row r="139" spans="1:41" ht="13.5" hidden="1" customHeight="1">
      <c r="A139" s="484">
        <v>135</v>
      </c>
      <c r="B139" s="483" t="str">
        <f>IFERROR(VLOOKUP(C139,[1]Sheet1!$B$6:$C$52,2,0),"")</f>
        <v/>
      </c>
      <c r="C139" s="496"/>
      <c r="D139" s="495"/>
      <c r="E139" s="494"/>
      <c r="F139" s="495"/>
      <c r="G139" s="494"/>
      <c r="H139" s="480"/>
      <c r="I139" s="480"/>
      <c r="J139" s="573"/>
      <c r="K139" s="494"/>
      <c r="L139" s="495"/>
      <c r="M139" s="494"/>
      <c r="N139" s="480"/>
      <c r="O139" s="493"/>
      <c r="AF139" s="501"/>
      <c r="AG139" s="492"/>
      <c r="AH139" s="489">
        <f t="shared" si="10"/>
        <v>0</v>
      </c>
      <c r="AI139" s="491"/>
      <c r="AJ139" s="490"/>
      <c r="AK139" s="489">
        <f t="shared" si="11"/>
        <v>0</v>
      </c>
      <c r="AL139" s="489">
        <f t="shared" si="12"/>
        <v>0</v>
      </c>
      <c r="AM139" s="488">
        <f t="shared" si="14"/>
        <v>0</v>
      </c>
      <c r="AN139" s="500">
        <f t="shared" si="13"/>
        <v>0</v>
      </c>
      <c r="AO139" s="500"/>
    </row>
    <row r="140" spans="1:41" ht="13.5" hidden="1" customHeight="1">
      <c r="A140" s="484">
        <v>136</v>
      </c>
      <c r="B140" s="483" t="str">
        <f>IFERROR(VLOOKUP(C140,[1]Sheet1!$B$6:$C$52,2,0),"")</f>
        <v/>
      </c>
      <c r="C140" s="496"/>
      <c r="D140" s="495"/>
      <c r="E140" s="494"/>
      <c r="F140" s="495"/>
      <c r="G140" s="494"/>
      <c r="H140" s="480"/>
      <c r="I140" s="480"/>
      <c r="J140" s="573"/>
      <c r="K140" s="494"/>
      <c r="L140" s="495"/>
      <c r="M140" s="494"/>
      <c r="N140" s="480"/>
      <c r="O140" s="493"/>
      <c r="AF140" s="501"/>
      <c r="AG140" s="492"/>
      <c r="AH140" s="489">
        <f t="shared" si="10"/>
        <v>0</v>
      </c>
      <c r="AI140" s="491"/>
      <c r="AJ140" s="490"/>
      <c r="AK140" s="489">
        <f t="shared" si="11"/>
        <v>0</v>
      </c>
      <c r="AL140" s="489">
        <f t="shared" si="12"/>
        <v>0</v>
      </c>
      <c r="AM140" s="488">
        <f t="shared" si="14"/>
        <v>0</v>
      </c>
      <c r="AN140" s="500">
        <f t="shared" si="13"/>
        <v>0</v>
      </c>
      <c r="AO140" s="500"/>
    </row>
    <row r="141" spans="1:41" ht="13.5" hidden="1" customHeight="1">
      <c r="A141" s="484">
        <v>137</v>
      </c>
      <c r="B141" s="483" t="str">
        <f>IFERROR(VLOOKUP(C141,[1]Sheet1!$B$6:$C$52,2,0),"")</f>
        <v/>
      </c>
      <c r="C141" s="496"/>
      <c r="D141" s="495"/>
      <c r="E141" s="494"/>
      <c r="F141" s="495"/>
      <c r="G141" s="494"/>
      <c r="H141" s="480"/>
      <c r="I141" s="480"/>
      <c r="J141" s="573"/>
      <c r="K141" s="494"/>
      <c r="L141" s="495"/>
      <c r="M141" s="494"/>
      <c r="N141" s="480"/>
      <c r="O141" s="493"/>
      <c r="AF141" s="501"/>
      <c r="AG141" s="492"/>
      <c r="AH141" s="489">
        <f t="shared" si="10"/>
        <v>0</v>
      </c>
      <c r="AI141" s="491"/>
      <c r="AJ141" s="490"/>
      <c r="AK141" s="489">
        <f t="shared" si="11"/>
        <v>0</v>
      </c>
      <c r="AL141" s="489">
        <f t="shared" si="12"/>
        <v>0</v>
      </c>
      <c r="AM141" s="488">
        <f t="shared" si="14"/>
        <v>0</v>
      </c>
      <c r="AN141" s="500">
        <f t="shared" si="13"/>
        <v>0</v>
      </c>
      <c r="AO141" s="500"/>
    </row>
    <row r="142" spans="1:41" ht="13.5" hidden="1" customHeight="1">
      <c r="A142" s="484">
        <v>138</v>
      </c>
      <c r="B142" s="483" t="str">
        <f>IFERROR(VLOOKUP(C142,[1]Sheet1!$B$6:$C$52,2,0),"")</f>
        <v/>
      </c>
      <c r="C142" s="496"/>
      <c r="D142" s="495"/>
      <c r="E142" s="494"/>
      <c r="F142" s="495"/>
      <c r="G142" s="494"/>
      <c r="H142" s="480"/>
      <c r="I142" s="480"/>
      <c r="J142" s="573"/>
      <c r="K142" s="494"/>
      <c r="L142" s="495"/>
      <c r="M142" s="494"/>
      <c r="N142" s="480"/>
      <c r="O142" s="493"/>
      <c r="AF142" s="501"/>
      <c r="AG142" s="492"/>
      <c r="AH142" s="489">
        <f t="shared" si="10"/>
        <v>0</v>
      </c>
      <c r="AI142" s="491"/>
      <c r="AJ142" s="490"/>
      <c r="AK142" s="489">
        <f t="shared" si="11"/>
        <v>0</v>
      </c>
      <c r="AL142" s="489">
        <f t="shared" si="12"/>
        <v>0</v>
      </c>
      <c r="AM142" s="488">
        <f t="shared" si="14"/>
        <v>0</v>
      </c>
      <c r="AN142" s="500">
        <f t="shared" si="13"/>
        <v>0</v>
      </c>
      <c r="AO142" s="500"/>
    </row>
    <row r="143" spans="1:41" ht="13.5" hidden="1" customHeight="1">
      <c r="A143" s="484">
        <v>139</v>
      </c>
      <c r="B143" s="483" t="str">
        <f>IFERROR(VLOOKUP(C143,[1]Sheet1!$B$6:$C$52,2,0),"")</f>
        <v/>
      </c>
      <c r="C143" s="496"/>
      <c r="D143" s="495"/>
      <c r="E143" s="494"/>
      <c r="F143" s="495"/>
      <c r="G143" s="494"/>
      <c r="H143" s="480"/>
      <c r="I143" s="480"/>
      <c r="J143" s="573"/>
      <c r="K143" s="494"/>
      <c r="L143" s="495"/>
      <c r="M143" s="494"/>
      <c r="N143" s="480"/>
      <c r="O143" s="493"/>
      <c r="AF143" s="501"/>
      <c r="AG143" s="492"/>
      <c r="AH143" s="489">
        <f t="shared" si="10"/>
        <v>0</v>
      </c>
      <c r="AI143" s="491"/>
      <c r="AJ143" s="490"/>
      <c r="AK143" s="489">
        <f t="shared" si="11"/>
        <v>0</v>
      </c>
      <c r="AL143" s="489">
        <f t="shared" si="12"/>
        <v>0</v>
      </c>
      <c r="AM143" s="488">
        <f t="shared" si="14"/>
        <v>0</v>
      </c>
      <c r="AN143" s="500">
        <f t="shared" si="13"/>
        <v>0</v>
      </c>
      <c r="AO143" s="500"/>
    </row>
    <row r="144" spans="1:41" ht="13.5" hidden="1" customHeight="1">
      <c r="A144" s="484">
        <v>140</v>
      </c>
      <c r="B144" s="483" t="str">
        <f>IFERROR(VLOOKUP(C144,[1]Sheet1!$B$6:$C$52,2,0),"")</f>
        <v/>
      </c>
      <c r="C144" s="496"/>
      <c r="D144" s="495"/>
      <c r="E144" s="494"/>
      <c r="F144" s="495"/>
      <c r="G144" s="494"/>
      <c r="H144" s="480"/>
      <c r="I144" s="480"/>
      <c r="J144" s="573"/>
      <c r="K144" s="494"/>
      <c r="L144" s="495"/>
      <c r="M144" s="494"/>
      <c r="N144" s="480"/>
      <c r="O144" s="493"/>
      <c r="AF144" s="501"/>
      <c r="AG144" s="492"/>
      <c r="AH144" s="489">
        <f t="shared" si="10"/>
        <v>0</v>
      </c>
      <c r="AI144" s="491"/>
      <c r="AJ144" s="490"/>
      <c r="AK144" s="489">
        <f t="shared" si="11"/>
        <v>0</v>
      </c>
      <c r="AL144" s="489">
        <f t="shared" si="12"/>
        <v>0</v>
      </c>
      <c r="AM144" s="488">
        <f t="shared" si="14"/>
        <v>0</v>
      </c>
      <c r="AN144" s="500">
        <f t="shared" si="13"/>
        <v>0</v>
      </c>
      <c r="AO144" s="500"/>
    </row>
    <row r="145" spans="1:41" ht="13.5" hidden="1" customHeight="1">
      <c r="A145" s="484">
        <v>141</v>
      </c>
      <c r="B145" s="483" t="str">
        <f>IFERROR(VLOOKUP(C145,[1]Sheet1!$B$6:$C$52,2,0),"")</f>
        <v/>
      </c>
      <c r="C145" s="496"/>
      <c r="D145" s="495"/>
      <c r="E145" s="494"/>
      <c r="F145" s="495"/>
      <c r="G145" s="494"/>
      <c r="H145" s="480"/>
      <c r="I145" s="480"/>
      <c r="J145" s="573"/>
      <c r="K145" s="494"/>
      <c r="L145" s="495"/>
      <c r="M145" s="494"/>
      <c r="N145" s="480"/>
      <c r="O145" s="493"/>
      <c r="AF145" s="501"/>
      <c r="AG145" s="492"/>
      <c r="AH145" s="489">
        <f t="shared" si="10"/>
        <v>0</v>
      </c>
      <c r="AI145" s="491"/>
      <c r="AJ145" s="490"/>
      <c r="AK145" s="489">
        <f t="shared" si="11"/>
        <v>0</v>
      </c>
      <c r="AL145" s="489">
        <f t="shared" si="12"/>
        <v>0</v>
      </c>
      <c r="AM145" s="488">
        <f t="shared" si="14"/>
        <v>0</v>
      </c>
      <c r="AN145" s="500">
        <f t="shared" si="13"/>
        <v>0</v>
      </c>
      <c r="AO145" s="500"/>
    </row>
    <row r="146" spans="1:41" ht="13.5" hidden="1" customHeight="1">
      <c r="A146" s="484">
        <v>142</v>
      </c>
      <c r="B146" s="483" t="str">
        <f>IFERROR(VLOOKUP(C146,[1]Sheet1!$B$6:$C$52,2,0),"")</f>
        <v/>
      </c>
      <c r="C146" s="496"/>
      <c r="D146" s="495"/>
      <c r="E146" s="494"/>
      <c r="F146" s="495"/>
      <c r="G146" s="494"/>
      <c r="H146" s="480"/>
      <c r="I146" s="480"/>
      <c r="J146" s="573"/>
      <c r="K146" s="494"/>
      <c r="L146" s="495"/>
      <c r="M146" s="494"/>
      <c r="N146" s="480"/>
      <c r="O146" s="493"/>
      <c r="AF146" s="501"/>
      <c r="AG146" s="492"/>
      <c r="AH146" s="489">
        <f t="shared" si="10"/>
        <v>0</v>
      </c>
      <c r="AI146" s="491"/>
      <c r="AJ146" s="490"/>
      <c r="AK146" s="489">
        <f t="shared" si="11"/>
        <v>0</v>
      </c>
      <c r="AL146" s="489">
        <f t="shared" si="12"/>
        <v>0</v>
      </c>
      <c r="AM146" s="488">
        <f t="shared" si="14"/>
        <v>0</v>
      </c>
      <c r="AN146" s="500">
        <f t="shared" si="13"/>
        <v>0</v>
      </c>
      <c r="AO146" s="500"/>
    </row>
    <row r="147" spans="1:41" ht="13.5" hidden="1" customHeight="1">
      <c r="A147" s="484">
        <v>143</v>
      </c>
      <c r="B147" s="483" t="str">
        <f>IFERROR(VLOOKUP(C147,[1]Sheet1!$B$6:$C$52,2,0),"")</f>
        <v/>
      </c>
      <c r="C147" s="496"/>
      <c r="D147" s="495"/>
      <c r="E147" s="494"/>
      <c r="F147" s="495"/>
      <c r="G147" s="494"/>
      <c r="H147" s="480"/>
      <c r="I147" s="480"/>
      <c r="J147" s="573"/>
      <c r="K147" s="494"/>
      <c r="L147" s="495"/>
      <c r="M147" s="494"/>
      <c r="N147" s="480"/>
      <c r="O147" s="493"/>
      <c r="AF147" s="501"/>
      <c r="AG147" s="492"/>
      <c r="AH147" s="489">
        <f t="shared" si="10"/>
        <v>0</v>
      </c>
      <c r="AI147" s="491"/>
      <c r="AJ147" s="490"/>
      <c r="AK147" s="489">
        <f t="shared" si="11"/>
        <v>0</v>
      </c>
      <c r="AL147" s="489">
        <f t="shared" si="12"/>
        <v>0</v>
      </c>
      <c r="AM147" s="488">
        <f t="shared" si="14"/>
        <v>0</v>
      </c>
      <c r="AN147" s="500">
        <f t="shared" si="13"/>
        <v>0</v>
      </c>
      <c r="AO147" s="500"/>
    </row>
    <row r="148" spans="1:41" ht="13.5" hidden="1" customHeight="1">
      <c r="A148" s="484">
        <v>144</v>
      </c>
      <c r="B148" s="483" t="str">
        <f>IFERROR(VLOOKUP(C148,[1]Sheet1!$B$6:$C$52,2,0),"")</f>
        <v/>
      </c>
      <c r="C148" s="496"/>
      <c r="D148" s="495"/>
      <c r="E148" s="494"/>
      <c r="F148" s="495"/>
      <c r="G148" s="494"/>
      <c r="H148" s="480"/>
      <c r="I148" s="480"/>
      <c r="J148" s="573"/>
      <c r="K148" s="494"/>
      <c r="L148" s="495"/>
      <c r="M148" s="494"/>
      <c r="N148" s="480"/>
      <c r="O148" s="493"/>
      <c r="AF148" s="501"/>
      <c r="AG148" s="492"/>
      <c r="AH148" s="489">
        <f t="shared" si="10"/>
        <v>0</v>
      </c>
      <c r="AI148" s="491"/>
      <c r="AJ148" s="490"/>
      <c r="AK148" s="489">
        <f t="shared" si="11"/>
        <v>0</v>
      </c>
      <c r="AL148" s="489">
        <f t="shared" si="12"/>
        <v>0</v>
      </c>
      <c r="AM148" s="488">
        <f t="shared" si="14"/>
        <v>0</v>
      </c>
      <c r="AN148" s="500">
        <f t="shared" si="13"/>
        <v>0</v>
      </c>
      <c r="AO148" s="500"/>
    </row>
    <row r="149" spans="1:41" ht="13.5" hidden="1" customHeight="1">
      <c r="A149" s="484">
        <v>145</v>
      </c>
      <c r="B149" s="483" t="str">
        <f>IFERROR(VLOOKUP(C149,[1]Sheet1!$B$6:$C$52,2,0),"")</f>
        <v/>
      </c>
      <c r="C149" s="496"/>
      <c r="D149" s="495"/>
      <c r="E149" s="494"/>
      <c r="F149" s="495"/>
      <c r="G149" s="494"/>
      <c r="H149" s="480"/>
      <c r="I149" s="480"/>
      <c r="J149" s="573"/>
      <c r="K149" s="494"/>
      <c r="L149" s="495"/>
      <c r="M149" s="494"/>
      <c r="N149" s="480"/>
      <c r="O149" s="493"/>
      <c r="AF149" s="501"/>
      <c r="AG149" s="492"/>
      <c r="AH149" s="489">
        <f t="shared" si="10"/>
        <v>0</v>
      </c>
      <c r="AI149" s="491"/>
      <c r="AJ149" s="490"/>
      <c r="AK149" s="489">
        <f t="shared" si="11"/>
        <v>0</v>
      </c>
      <c r="AL149" s="489">
        <f t="shared" si="12"/>
        <v>0</v>
      </c>
      <c r="AM149" s="488">
        <f t="shared" si="14"/>
        <v>0</v>
      </c>
      <c r="AN149" s="500">
        <f t="shared" si="13"/>
        <v>0</v>
      </c>
      <c r="AO149" s="500"/>
    </row>
    <row r="150" spans="1:41" ht="13.5" hidden="1" customHeight="1">
      <c r="A150" s="484">
        <v>146</v>
      </c>
      <c r="B150" s="483" t="str">
        <f>IFERROR(VLOOKUP(C150,[1]Sheet1!$B$6:$C$52,2,0),"")</f>
        <v/>
      </c>
      <c r="C150" s="496"/>
      <c r="D150" s="495"/>
      <c r="E150" s="494"/>
      <c r="F150" s="495"/>
      <c r="G150" s="494"/>
      <c r="H150" s="480"/>
      <c r="I150" s="480"/>
      <c r="J150" s="573"/>
      <c r="K150" s="494"/>
      <c r="L150" s="495"/>
      <c r="M150" s="494"/>
      <c r="N150" s="480"/>
      <c r="O150" s="493"/>
      <c r="AF150" s="501"/>
      <c r="AG150" s="492"/>
      <c r="AH150" s="489">
        <f t="shared" si="10"/>
        <v>0</v>
      </c>
      <c r="AI150" s="491"/>
      <c r="AJ150" s="490"/>
      <c r="AK150" s="489">
        <f t="shared" si="11"/>
        <v>0</v>
      </c>
      <c r="AL150" s="489">
        <f t="shared" si="12"/>
        <v>0</v>
      </c>
      <c r="AM150" s="488">
        <f t="shared" si="14"/>
        <v>0</v>
      </c>
      <c r="AN150" s="500">
        <f t="shared" si="13"/>
        <v>0</v>
      </c>
      <c r="AO150" s="500"/>
    </row>
    <row r="151" spans="1:41" ht="13.5" hidden="1" customHeight="1">
      <c r="A151" s="484">
        <v>147</v>
      </c>
      <c r="B151" s="483" t="str">
        <f>IFERROR(VLOOKUP(C151,[1]Sheet1!$B$6:$C$52,2,0),"")</f>
        <v/>
      </c>
      <c r="C151" s="496"/>
      <c r="D151" s="495"/>
      <c r="E151" s="494"/>
      <c r="F151" s="495"/>
      <c r="G151" s="494"/>
      <c r="H151" s="480"/>
      <c r="I151" s="480"/>
      <c r="J151" s="573"/>
      <c r="K151" s="494"/>
      <c r="L151" s="495"/>
      <c r="M151" s="494"/>
      <c r="N151" s="480"/>
      <c r="O151" s="493"/>
      <c r="AF151" s="501"/>
      <c r="AG151" s="492"/>
      <c r="AH151" s="489">
        <f t="shared" si="10"/>
        <v>0</v>
      </c>
      <c r="AI151" s="491"/>
      <c r="AJ151" s="490"/>
      <c r="AK151" s="489">
        <f t="shared" si="11"/>
        <v>0</v>
      </c>
      <c r="AL151" s="489">
        <f t="shared" si="12"/>
        <v>0</v>
      </c>
      <c r="AM151" s="488">
        <f t="shared" si="14"/>
        <v>0</v>
      </c>
      <c r="AN151" s="500">
        <f t="shared" si="13"/>
        <v>0</v>
      </c>
      <c r="AO151" s="500"/>
    </row>
    <row r="152" spans="1:41" ht="13.5" hidden="1" customHeight="1">
      <c r="A152" s="484">
        <v>148</v>
      </c>
      <c r="B152" s="483" t="str">
        <f>IFERROR(VLOOKUP(C152,[1]Sheet1!$B$6:$C$52,2,0),"")</f>
        <v/>
      </c>
      <c r="C152" s="496"/>
      <c r="D152" s="495"/>
      <c r="E152" s="494"/>
      <c r="F152" s="495"/>
      <c r="G152" s="494"/>
      <c r="H152" s="480"/>
      <c r="I152" s="480"/>
      <c r="J152" s="573"/>
      <c r="K152" s="494"/>
      <c r="L152" s="495"/>
      <c r="M152" s="494"/>
      <c r="N152" s="480"/>
      <c r="O152" s="493"/>
      <c r="AF152" s="501"/>
      <c r="AG152" s="492"/>
      <c r="AH152" s="489">
        <f t="shared" si="10"/>
        <v>0</v>
      </c>
      <c r="AI152" s="491"/>
      <c r="AJ152" s="490"/>
      <c r="AK152" s="489">
        <f t="shared" si="11"/>
        <v>0</v>
      </c>
      <c r="AL152" s="489">
        <f t="shared" si="12"/>
        <v>0</v>
      </c>
      <c r="AM152" s="488">
        <f t="shared" si="14"/>
        <v>0</v>
      </c>
      <c r="AN152" s="500">
        <f t="shared" si="13"/>
        <v>0</v>
      </c>
      <c r="AO152" s="500"/>
    </row>
    <row r="153" spans="1:41" ht="13.5" hidden="1" customHeight="1">
      <c r="A153" s="484">
        <v>149</v>
      </c>
      <c r="B153" s="483" t="str">
        <f>IFERROR(VLOOKUP(C153,[1]Sheet1!$B$6:$C$52,2,0),"")</f>
        <v/>
      </c>
      <c r="C153" s="496"/>
      <c r="D153" s="495"/>
      <c r="E153" s="494"/>
      <c r="F153" s="495"/>
      <c r="G153" s="494"/>
      <c r="H153" s="480"/>
      <c r="I153" s="480"/>
      <c r="J153" s="573"/>
      <c r="K153" s="494"/>
      <c r="L153" s="495"/>
      <c r="M153" s="494"/>
      <c r="N153" s="480"/>
      <c r="O153" s="493"/>
      <c r="AF153" s="501"/>
      <c r="AG153" s="492"/>
      <c r="AH153" s="489">
        <f t="shared" si="10"/>
        <v>0</v>
      </c>
      <c r="AI153" s="491"/>
      <c r="AJ153" s="490"/>
      <c r="AK153" s="489">
        <f t="shared" si="11"/>
        <v>0</v>
      </c>
      <c r="AL153" s="489">
        <f t="shared" si="12"/>
        <v>0</v>
      </c>
      <c r="AM153" s="488">
        <f t="shared" si="14"/>
        <v>0</v>
      </c>
      <c r="AN153" s="500">
        <f t="shared" si="13"/>
        <v>0</v>
      </c>
      <c r="AO153" s="500"/>
    </row>
    <row r="154" spans="1:41" ht="13.5" hidden="1" customHeight="1">
      <c r="A154" s="484">
        <v>150</v>
      </c>
      <c r="B154" s="483" t="str">
        <f>IFERROR(VLOOKUP(C154,[1]Sheet1!$B$6:$C$52,2,0),"")</f>
        <v/>
      </c>
      <c r="C154" s="496"/>
      <c r="D154" s="495"/>
      <c r="E154" s="494"/>
      <c r="F154" s="495"/>
      <c r="G154" s="494"/>
      <c r="H154" s="480"/>
      <c r="I154" s="480"/>
      <c r="J154" s="573"/>
      <c r="K154" s="494"/>
      <c r="L154" s="495"/>
      <c r="M154" s="494"/>
      <c r="N154" s="480"/>
      <c r="O154" s="493"/>
      <c r="AF154" s="501"/>
      <c r="AG154" s="492"/>
      <c r="AH154" s="489">
        <f t="shared" si="10"/>
        <v>0</v>
      </c>
      <c r="AI154" s="491"/>
      <c r="AJ154" s="490"/>
      <c r="AK154" s="489">
        <f t="shared" si="11"/>
        <v>0</v>
      </c>
      <c r="AL154" s="489">
        <f t="shared" si="12"/>
        <v>0</v>
      </c>
      <c r="AM154" s="488">
        <f t="shared" si="14"/>
        <v>0</v>
      </c>
      <c r="AN154" s="500">
        <f t="shared" si="13"/>
        <v>0</v>
      </c>
      <c r="AO154" s="500"/>
    </row>
    <row r="155" spans="1:41" ht="13.5" hidden="1" customHeight="1">
      <c r="A155" s="484">
        <v>151</v>
      </c>
      <c r="B155" s="483" t="str">
        <f>IFERROR(VLOOKUP(C155,[1]Sheet1!$B$6:$C$52,2,0),"")</f>
        <v/>
      </c>
      <c r="C155" s="496"/>
      <c r="D155" s="495"/>
      <c r="E155" s="494"/>
      <c r="F155" s="495"/>
      <c r="G155" s="494"/>
      <c r="H155" s="480"/>
      <c r="I155" s="480"/>
      <c r="J155" s="573"/>
      <c r="K155" s="494"/>
      <c r="L155" s="495"/>
      <c r="M155" s="494"/>
      <c r="N155" s="480"/>
      <c r="O155" s="493"/>
      <c r="AF155" s="501"/>
      <c r="AG155" s="492"/>
      <c r="AH155" s="489">
        <f t="shared" si="10"/>
        <v>0</v>
      </c>
      <c r="AI155" s="491"/>
      <c r="AJ155" s="490"/>
      <c r="AK155" s="489">
        <f t="shared" si="11"/>
        <v>0</v>
      </c>
      <c r="AL155" s="489">
        <f t="shared" si="12"/>
        <v>0</v>
      </c>
      <c r="AM155" s="488">
        <f t="shared" si="14"/>
        <v>0</v>
      </c>
      <c r="AN155" s="500">
        <f t="shared" si="13"/>
        <v>0</v>
      </c>
      <c r="AO155" s="500"/>
    </row>
    <row r="156" spans="1:41" ht="13.5" hidden="1" customHeight="1">
      <c r="A156" s="484">
        <v>152</v>
      </c>
      <c r="B156" s="483" t="str">
        <f>IFERROR(VLOOKUP(C156,[1]Sheet1!$B$6:$C$52,2,0),"")</f>
        <v/>
      </c>
      <c r="C156" s="496"/>
      <c r="D156" s="495"/>
      <c r="E156" s="494"/>
      <c r="F156" s="495"/>
      <c r="G156" s="494"/>
      <c r="H156" s="480"/>
      <c r="I156" s="480"/>
      <c r="J156" s="573"/>
      <c r="K156" s="494"/>
      <c r="L156" s="495"/>
      <c r="M156" s="494"/>
      <c r="N156" s="480"/>
      <c r="O156" s="493"/>
      <c r="AF156" s="501"/>
      <c r="AG156" s="492"/>
      <c r="AH156" s="489">
        <f t="shared" si="10"/>
        <v>0</v>
      </c>
      <c r="AI156" s="491"/>
      <c r="AJ156" s="490"/>
      <c r="AK156" s="489">
        <f t="shared" si="11"/>
        <v>0</v>
      </c>
      <c r="AL156" s="489">
        <f t="shared" si="12"/>
        <v>0</v>
      </c>
      <c r="AM156" s="488">
        <f t="shared" si="14"/>
        <v>0</v>
      </c>
      <c r="AN156" s="500">
        <f t="shared" si="13"/>
        <v>0</v>
      </c>
      <c r="AO156" s="500"/>
    </row>
    <row r="157" spans="1:41" ht="13.5" hidden="1" customHeight="1">
      <c r="A157" s="484">
        <v>153</v>
      </c>
      <c r="B157" s="483" t="str">
        <f>IFERROR(VLOOKUP(C157,[1]Sheet1!$B$6:$C$52,2,0),"")</f>
        <v/>
      </c>
      <c r="C157" s="496"/>
      <c r="D157" s="495"/>
      <c r="E157" s="494"/>
      <c r="F157" s="495"/>
      <c r="G157" s="494"/>
      <c r="H157" s="480"/>
      <c r="I157" s="480"/>
      <c r="J157" s="573"/>
      <c r="K157" s="494"/>
      <c r="L157" s="495"/>
      <c r="M157" s="494"/>
      <c r="N157" s="480"/>
      <c r="O157" s="493"/>
      <c r="AF157" s="501"/>
      <c r="AG157" s="492"/>
      <c r="AH157" s="489">
        <f t="shared" si="10"/>
        <v>0</v>
      </c>
      <c r="AI157" s="491"/>
      <c r="AJ157" s="490"/>
      <c r="AK157" s="489">
        <f t="shared" si="11"/>
        <v>0</v>
      </c>
      <c r="AL157" s="489">
        <f t="shared" si="12"/>
        <v>0</v>
      </c>
      <c r="AM157" s="488">
        <f t="shared" si="14"/>
        <v>0</v>
      </c>
      <c r="AN157" s="500">
        <f t="shared" si="13"/>
        <v>0</v>
      </c>
      <c r="AO157" s="500"/>
    </row>
    <row r="158" spans="1:41" ht="13.5" hidden="1" customHeight="1">
      <c r="A158" s="484">
        <v>154</v>
      </c>
      <c r="B158" s="483" t="str">
        <f>IFERROR(VLOOKUP(C158,[1]Sheet1!$B$6:$C$52,2,0),"")</f>
        <v/>
      </c>
      <c r="C158" s="496"/>
      <c r="D158" s="495"/>
      <c r="E158" s="494"/>
      <c r="F158" s="495"/>
      <c r="G158" s="494"/>
      <c r="H158" s="480"/>
      <c r="I158" s="480"/>
      <c r="J158" s="573"/>
      <c r="K158" s="494"/>
      <c r="L158" s="495"/>
      <c r="M158" s="494"/>
      <c r="N158" s="480"/>
      <c r="O158" s="493"/>
      <c r="AF158" s="501"/>
      <c r="AG158" s="492"/>
      <c r="AH158" s="489">
        <f t="shared" si="10"/>
        <v>0</v>
      </c>
      <c r="AI158" s="491"/>
      <c r="AJ158" s="490"/>
      <c r="AK158" s="489">
        <f t="shared" si="11"/>
        <v>0</v>
      </c>
      <c r="AL158" s="489">
        <f t="shared" si="12"/>
        <v>0</v>
      </c>
      <c r="AM158" s="488">
        <f t="shared" si="14"/>
        <v>0</v>
      </c>
      <c r="AN158" s="500">
        <f t="shared" si="13"/>
        <v>0</v>
      </c>
      <c r="AO158" s="500"/>
    </row>
    <row r="159" spans="1:41" ht="13.5" hidden="1" customHeight="1">
      <c r="A159" s="484">
        <v>155</v>
      </c>
      <c r="B159" s="483" t="str">
        <f>IFERROR(VLOOKUP(C159,[1]Sheet1!$B$6:$C$52,2,0),"")</f>
        <v/>
      </c>
      <c r="C159" s="496"/>
      <c r="D159" s="495"/>
      <c r="E159" s="494"/>
      <c r="F159" s="495"/>
      <c r="G159" s="494"/>
      <c r="H159" s="480"/>
      <c r="I159" s="480"/>
      <c r="J159" s="573"/>
      <c r="K159" s="494"/>
      <c r="L159" s="495"/>
      <c r="M159" s="494"/>
      <c r="N159" s="480"/>
      <c r="O159" s="493"/>
      <c r="AF159" s="501"/>
      <c r="AG159" s="492"/>
      <c r="AH159" s="489">
        <f t="shared" si="10"/>
        <v>0</v>
      </c>
      <c r="AI159" s="491"/>
      <c r="AJ159" s="490"/>
      <c r="AK159" s="489">
        <f t="shared" si="11"/>
        <v>0</v>
      </c>
      <c r="AL159" s="489">
        <f t="shared" si="12"/>
        <v>0</v>
      </c>
      <c r="AM159" s="488">
        <f t="shared" si="14"/>
        <v>0</v>
      </c>
      <c r="AN159" s="500">
        <f t="shared" si="13"/>
        <v>0</v>
      </c>
      <c r="AO159" s="500"/>
    </row>
    <row r="160" spans="1:41" ht="13.5" hidden="1" customHeight="1">
      <c r="A160" s="484">
        <v>156</v>
      </c>
      <c r="B160" s="483" t="str">
        <f>IFERROR(VLOOKUP(C160,[1]Sheet1!$B$6:$C$52,2,0),"")</f>
        <v/>
      </c>
      <c r="C160" s="496"/>
      <c r="D160" s="495"/>
      <c r="E160" s="494"/>
      <c r="F160" s="495"/>
      <c r="G160" s="494"/>
      <c r="H160" s="480"/>
      <c r="I160" s="480"/>
      <c r="J160" s="573"/>
      <c r="K160" s="494"/>
      <c r="L160" s="495"/>
      <c r="M160" s="494"/>
      <c r="N160" s="480"/>
      <c r="O160" s="493"/>
      <c r="AF160" s="501"/>
      <c r="AG160" s="492"/>
      <c r="AH160" s="489">
        <f t="shared" si="10"/>
        <v>0</v>
      </c>
      <c r="AI160" s="491"/>
      <c r="AJ160" s="490"/>
      <c r="AK160" s="489">
        <f t="shared" si="11"/>
        <v>0</v>
      </c>
      <c r="AL160" s="489">
        <f t="shared" si="12"/>
        <v>0</v>
      </c>
      <c r="AM160" s="488">
        <f t="shared" si="14"/>
        <v>0</v>
      </c>
      <c r="AN160" s="500">
        <f t="shared" si="13"/>
        <v>0</v>
      </c>
      <c r="AO160" s="500"/>
    </row>
    <row r="161" spans="1:41" ht="13.5" hidden="1" customHeight="1">
      <c r="A161" s="484">
        <v>157</v>
      </c>
      <c r="B161" s="483" t="str">
        <f>IFERROR(VLOOKUP(C161,[1]Sheet1!$B$6:$C$52,2,0),"")</f>
        <v/>
      </c>
      <c r="C161" s="496"/>
      <c r="D161" s="495"/>
      <c r="E161" s="494"/>
      <c r="F161" s="495"/>
      <c r="G161" s="494"/>
      <c r="H161" s="480"/>
      <c r="I161" s="480"/>
      <c r="J161" s="573"/>
      <c r="K161" s="494"/>
      <c r="L161" s="495"/>
      <c r="M161" s="494"/>
      <c r="N161" s="480"/>
      <c r="O161" s="493"/>
      <c r="AF161" s="501"/>
      <c r="AG161" s="492"/>
      <c r="AH161" s="489">
        <f t="shared" si="10"/>
        <v>0</v>
      </c>
      <c r="AI161" s="491"/>
      <c r="AJ161" s="490"/>
      <c r="AK161" s="489">
        <f t="shared" si="11"/>
        <v>0</v>
      </c>
      <c r="AL161" s="489">
        <f t="shared" si="12"/>
        <v>0</v>
      </c>
      <c r="AM161" s="488">
        <f t="shared" si="14"/>
        <v>0</v>
      </c>
      <c r="AN161" s="500">
        <f t="shared" si="13"/>
        <v>0</v>
      </c>
      <c r="AO161" s="500"/>
    </row>
    <row r="162" spans="1:41" ht="13.5" hidden="1" customHeight="1">
      <c r="A162" s="484">
        <v>158</v>
      </c>
      <c r="B162" s="483" t="str">
        <f>IFERROR(VLOOKUP(C162,[1]Sheet1!$B$6:$C$52,2,0),"")</f>
        <v/>
      </c>
      <c r="C162" s="496"/>
      <c r="D162" s="495"/>
      <c r="E162" s="494"/>
      <c r="F162" s="495"/>
      <c r="G162" s="494"/>
      <c r="H162" s="480"/>
      <c r="I162" s="480"/>
      <c r="J162" s="573"/>
      <c r="K162" s="494"/>
      <c r="L162" s="495"/>
      <c r="M162" s="494"/>
      <c r="N162" s="480"/>
      <c r="O162" s="493"/>
      <c r="AF162" s="501"/>
      <c r="AG162" s="492"/>
      <c r="AH162" s="489">
        <f t="shared" si="10"/>
        <v>0</v>
      </c>
      <c r="AI162" s="491"/>
      <c r="AJ162" s="490"/>
      <c r="AK162" s="489">
        <f t="shared" si="11"/>
        <v>0</v>
      </c>
      <c r="AL162" s="489">
        <f t="shared" si="12"/>
        <v>0</v>
      </c>
      <c r="AM162" s="488">
        <f t="shared" si="14"/>
        <v>0</v>
      </c>
      <c r="AN162" s="500">
        <f t="shared" si="13"/>
        <v>0</v>
      </c>
      <c r="AO162" s="500"/>
    </row>
    <row r="163" spans="1:41" ht="13.5" hidden="1" customHeight="1">
      <c r="A163" s="484">
        <v>159</v>
      </c>
      <c r="B163" s="483" t="str">
        <f>IFERROR(VLOOKUP(C163,[1]Sheet1!$B$6:$C$52,2,0),"")</f>
        <v/>
      </c>
      <c r="C163" s="496"/>
      <c r="D163" s="495"/>
      <c r="E163" s="494"/>
      <c r="F163" s="495"/>
      <c r="G163" s="494"/>
      <c r="H163" s="480"/>
      <c r="I163" s="480"/>
      <c r="J163" s="573"/>
      <c r="K163" s="494"/>
      <c r="L163" s="495"/>
      <c r="M163" s="494"/>
      <c r="N163" s="480"/>
      <c r="O163" s="493"/>
      <c r="AF163" s="501"/>
      <c r="AG163" s="492"/>
      <c r="AH163" s="489">
        <f t="shared" si="10"/>
        <v>0</v>
      </c>
      <c r="AI163" s="491"/>
      <c r="AJ163" s="490"/>
      <c r="AK163" s="489">
        <f t="shared" si="11"/>
        <v>0</v>
      </c>
      <c r="AL163" s="489">
        <f t="shared" si="12"/>
        <v>0</v>
      </c>
      <c r="AM163" s="488">
        <f t="shared" si="14"/>
        <v>0</v>
      </c>
      <c r="AN163" s="500">
        <f t="shared" si="13"/>
        <v>0</v>
      </c>
      <c r="AO163" s="500"/>
    </row>
    <row r="164" spans="1:41" ht="13.5" hidden="1" customHeight="1">
      <c r="A164" s="484">
        <v>160</v>
      </c>
      <c r="B164" s="483" t="str">
        <f>IFERROR(VLOOKUP(C164,[1]Sheet1!$B$6:$C$52,2,0),"")</f>
        <v/>
      </c>
      <c r="C164" s="496"/>
      <c r="D164" s="495"/>
      <c r="E164" s="494"/>
      <c r="F164" s="495"/>
      <c r="G164" s="494"/>
      <c r="H164" s="480"/>
      <c r="I164" s="480"/>
      <c r="J164" s="573"/>
      <c r="K164" s="494"/>
      <c r="L164" s="495"/>
      <c r="M164" s="494"/>
      <c r="N164" s="480"/>
      <c r="O164" s="493"/>
      <c r="AF164" s="501"/>
      <c r="AG164" s="492"/>
      <c r="AH164" s="489">
        <f t="shared" si="10"/>
        <v>0</v>
      </c>
      <c r="AI164" s="491"/>
      <c r="AJ164" s="490"/>
      <c r="AK164" s="489">
        <f t="shared" si="11"/>
        <v>0</v>
      </c>
      <c r="AL164" s="489">
        <f t="shared" si="12"/>
        <v>0</v>
      </c>
      <c r="AM164" s="488">
        <f t="shared" si="14"/>
        <v>0</v>
      </c>
      <c r="AN164" s="500">
        <f t="shared" si="13"/>
        <v>0</v>
      </c>
      <c r="AO164" s="500"/>
    </row>
    <row r="165" spans="1:41" ht="13.5" hidden="1" customHeight="1">
      <c r="A165" s="484">
        <v>161</v>
      </c>
      <c r="B165" s="483" t="str">
        <f>IFERROR(VLOOKUP(C165,[1]Sheet1!$B$6:$C$52,2,0),"")</f>
        <v/>
      </c>
      <c r="C165" s="496"/>
      <c r="D165" s="495"/>
      <c r="E165" s="494"/>
      <c r="F165" s="495"/>
      <c r="G165" s="494"/>
      <c r="H165" s="480"/>
      <c r="I165" s="480"/>
      <c r="J165" s="573"/>
      <c r="K165" s="494"/>
      <c r="L165" s="495"/>
      <c r="M165" s="494"/>
      <c r="N165" s="480"/>
      <c r="O165" s="493"/>
      <c r="AF165" s="501"/>
      <c r="AG165" s="492"/>
      <c r="AH165" s="489">
        <f t="shared" si="10"/>
        <v>0</v>
      </c>
      <c r="AI165" s="491"/>
      <c r="AJ165" s="490"/>
      <c r="AK165" s="489">
        <f t="shared" si="11"/>
        <v>0</v>
      </c>
      <c r="AL165" s="489">
        <f t="shared" si="12"/>
        <v>0</v>
      </c>
      <c r="AM165" s="488">
        <f t="shared" si="14"/>
        <v>0</v>
      </c>
      <c r="AN165" s="500">
        <f t="shared" si="13"/>
        <v>0</v>
      </c>
      <c r="AO165" s="500"/>
    </row>
    <row r="166" spans="1:41" ht="13.5" hidden="1" customHeight="1">
      <c r="A166" s="484">
        <v>162</v>
      </c>
      <c r="B166" s="483" t="str">
        <f>IFERROR(VLOOKUP(C166,[1]Sheet1!$B$6:$C$52,2,0),"")</f>
        <v/>
      </c>
      <c r="C166" s="496"/>
      <c r="D166" s="495"/>
      <c r="E166" s="494"/>
      <c r="F166" s="495"/>
      <c r="G166" s="494"/>
      <c r="H166" s="480"/>
      <c r="I166" s="480"/>
      <c r="J166" s="573"/>
      <c r="K166" s="494"/>
      <c r="L166" s="495"/>
      <c r="M166" s="494"/>
      <c r="N166" s="480"/>
      <c r="O166" s="493"/>
      <c r="AF166" s="501"/>
      <c r="AG166" s="492"/>
      <c r="AH166" s="489">
        <f t="shared" si="10"/>
        <v>0</v>
      </c>
      <c r="AI166" s="491"/>
      <c r="AJ166" s="490"/>
      <c r="AK166" s="489">
        <f t="shared" si="11"/>
        <v>0</v>
      </c>
      <c r="AL166" s="489">
        <f t="shared" si="12"/>
        <v>0</v>
      </c>
      <c r="AM166" s="488">
        <f t="shared" si="14"/>
        <v>0</v>
      </c>
      <c r="AN166" s="500">
        <f t="shared" si="13"/>
        <v>0</v>
      </c>
      <c r="AO166" s="500"/>
    </row>
    <row r="167" spans="1:41" ht="13.5" hidden="1" customHeight="1">
      <c r="A167" s="484">
        <v>163</v>
      </c>
      <c r="B167" s="483" t="str">
        <f>IFERROR(VLOOKUP(C167,[1]Sheet1!$B$6:$C$52,2,0),"")</f>
        <v/>
      </c>
      <c r="C167" s="496"/>
      <c r="D167" s="495"/>
      <c r="E167" s="494"/>
      <c r="F167" s="495"/>
      <c r="G167" s="494"/>
      <c r="H167" s="480"/>
      <c r="I167" s="480"/>
      <c r="J167" s="573"/>
      <c r="K167" s="494"/>
      <c r="L167" s="495"/>
      <c r="M167" s="494"/>
      <c r="N167" s="480"/>
      <c r="O167" s="493"/>
      <c r="AF167" s="501"/>
      <c r="AG167" s="492"/>
      <c r="AH167" s="489">
        <f t="shared" si="10"/>
        <v>0</v>
      </c>
      <c r="AI167" s="491"/>
      <c r="AJ167" s="490"/>
      <c r="AK167" s="489">
        <f t="shared" si="11"/>
        <v>0</v>
      </c>
      <c r="AL167" s="489">
        <f t="shared" si="12"/>
        <v>0</v>
      </c>
      <c r="AM167" s="488">
        <f t="shared" si="14"/>
        <v>0</v>
      </c>
      <c r="AN167" s="500">
        <f t="shared" si="13"/>
        <v>0</v>
      </c>
      <c r="AO167" s="500"/>
    </row>
    <row r="168" spans="1:41" ht="13.5" hidden="1" customHeight="1">
      <c r="A168" s="484">
        <v>164</v>
      </c>
      <c r="B168" s="483" t="str">
        <f>IFERROR(VLOOKUP(C168,[1]Sheet1!$B$6:$C$52,2,0),"")</f>
        <v/>
      </c>
      <c r="C168" s="496"/>
      <c r="D168" s="495"/>
      <c r="E168" s="494"/>
      <c r="F168" s="495"/>
      <c r="G168" s="494"/>
      <c r="H168" s="480"/>
      <c r="I168" s="480"/>
      <c r="J168" s="573"/>
      <c r="K168" s="494"/>
      <c r="L168" s="495"/>
      <c r="M168" s="494"/>
      <c r="N168" s="480"/>
      <c r="O168" s="493"/>
      <c r="AF168" s="501"/>
      <c r="AG168" s="492"/>
      <c r="AH168" s="489">
        <f t="shared" si="10"/>
        <v>0</v>
      </c>
      <c r="AI168" s="491"/>
      <c r="AJ168" s="490"/>
      <c r="AK168" s="489">
        <f t="shared" si="11"/>
        <v>0</v>
      </c>
      <c r="AL168" s="489">
        <f t="shared" si="12"/>
        <v>0</v>
      </c>
      <c r="AM168" s="488">
        <f t="shared" si="14"/>
        <v>0</v>
      </c>
      <c r="AN168" s="500">
        <f t="shared" si="13"/>
        <v>0</v>
      </c>
      <c r="AO168" s="500"/>
    </row>
    <row r="169" spans="1:41" ht="13.5" hidden="1" customHeight="1">
      <c r="A169" s="484">
        <v>165</v>
      </c>
      <c r="B169" s="483" t="str">
        <f>IFERROR(VLOOKUP(C169,[1]Sheet1!$B$6:$C$52,2,0),"")</f>
        <v/>
      </c>
      <c r="C169" s="496"/>
      <c r="D169" s="495"/>
      <c r="E169" s="494"/>
      <c r="F169" s="495"/>
      <c r="G169" s="494"/>
      <c r="H169" s="576"/>
      <c r="I169" s="480"/>
      <c r="J169" s="573"/>
      <c r="K169" s="494"/>
      <c r="L169" s="495"/>
      <c r="M169" s="494"/>
      <c r="N169" s="480"/>
      <c r="O169" s="493"/>
      <c r="AF169" s="501"/>
      <c r="AG169" s="492"/>
      <c r="AH169" s="489">
        <f t="shared" si="10"/>
        <v>0</v>
      </c>
      <c r="AI169" s="491"/>
      <c r="AJ169" s="490"/>
      <c r="AK169" s="489">
        <f t="shared" si="11"/>
        <v>0</v>
      </c>
      <c r="AL169" s="489">
        <f t="shared" si="12"/>
        <v>0</v>
      </c>
      <c r="AM169" s="488">
        <f t="shared" si="14"/>
        <v>0</v>
      </c>
      <c r="AN169" s="500">
        <f t="shared" si="13"/>
        <v>0</v>
      </c>
      <c r="AO169" s="500"/>
    </row>
    <row r="170" spans="1:41" ht="13.5" hidden="1" customHeight="1">
      <c r="A170" s="484">
        <v>166</v>
      </c>
      <c r="B170" s="483" t="str">
        <f>IFERROR(VLOOKUP(C170,[1]Sheet1!$B$6:$C$52,2,0),"")</f>
        <v/>
      </c>
      <c r="C170" s="496"/>
      <c r="D170" s="495"/>
      <c r="E170" s="494"/>
      <c r="F170" s="495"/>
      <c r="G170" s="494"/>
      <c r="H170" s="480"/>
      <c r="I170" s="480"/>
      <c r="J170" s="573"/>
      <c r="K170" s="494"/>
      <c r="L170" s="495"/>
      <c r="M170" s="494"/>
      <c r="N170" s="480"/>
      <c r="O170" s="493"/>
      <c r="AF170" s="501"/>
      <c r="AG170" s="492"/>
      <c r="AH170" s="489">
        <f t="shared" si="10"/>
        <v>0</v>
      </c>
      <c r="AI170" s="491"/>
      <c r="AJ170" s="490"/>
      <c r="AK170" s="489">
        <f t="shared" si="11"/>
        <v>0</v>
      </c>
      <c r="AL170" s="489">
        <f t="shared" si="12"/>
        <v>0</v>
      </c>
      <c r="AM170" s="488">
        <f t="shared" si="14"/>
        <v>0</v>
      </c>
      <c r="AN170" s="500">
        <f t="shared" si="13"/>
        <v>0</v>
      </c>
      <c r="AO170" s="500"/>
    </row>
    <row r="171" spans="1:41" ht="13.5" hidden="1" customHeight="1">
      <c r="A171" s="484">
        <v>167</v>
      </c>
      <c r="B171" s="483" t="str">
        <f>IFERROR(VLOOKUP(C171,[1]Sheet1!$B$6:$C$52,2,0),"")</f>
        <v/>
      </c>
      <c r="C171" s="496"/>
      <c r="D171" s="495"/>
      <c r="E171" s="494"/>
      <c r="F171" s="495"/>
      <c r="G171" s="494"/>
      <c r="H171" s="480"/>
      <c r="I171" s="480"/>
      <c r="J171" s="573"/>
      <c r="K171" s="494"/>
      <c r="L171" s="495"/>
      <c r="M171" s="494"/>
      <c r="N171" s="480"/>
      <c r="O171" s="493"/>
      <c r="AF171" s="501"/>
      <c r="AG171" s="492"/>
      <c r="AH171" s="489">
        <f t="shared" si="10"/>
        <v>0</v>
      </c>
      <c r="AI171" s="491"/>
      <c r="AJ171" s="490"/>
      <c r="AK171" s="489">
        <f t="shared" si="11"/>
        <v>0</v>
      </c>
      <c r="AL171" s="489">
        <f t="shared" si="12"/>
        <v>0</v>
      </c>
      <c r="AM171" s="488">
        <f t="shared" si="14"/>
        <v>0</v>
      </c>
      <c r="AN171" s="500">
        <f t="shared" si="13"/>
        <v>0</v>
      </c>
      <c r="AO171" s="500"/>
    </row>
    <row r="172" spans="1:41" ht="13.5" hidden="1" customHeight="1">
      <c r="A172" s="484">
        <v>168</v>
      </c>
      <c r="B172" s="483" t="str">
        <f>IFERROR(VLOOKUP(C172,[1]Sheet1!$B$6:$C$52,2,0),"")</f>
        <v/>
      </c>
      <c r="C172" s="496"/>
      <c r="D172" s="495"/>
      <c r="E172" s="494"/>
      <c r="F172" s="495"/>
      <c r="G172" s="494"/>
      <c r="H172" s="480"/>
      <c r="I172" s="480"/>
      <c r="J172" s="573"/>
      <c r="K172" s="494"/>
      <c r="L172" s="495"/>
      <c r="M172" s="494"/>
      <c r="N172" s="480"/>
      <c r="O172" s="493"/>
      <c r="AF172" s="501"/>
      <c r="AG172" s="492"/>
      <c r="AH172" s="489">
        <f t="shared" si="10"/>
        <v>0</v>
      </c>
      <c r="AI172" s="491"/>
      <c r="AJ172" s="490"/>
      <c r="AK172" s="489">
        <f t="shared" si="11"/>
        <v>0</v>
      </c>
      <c r="AL172" s="489">
        <f t="shared" si="12"/>
        <v>0</v>
      </c>
      <c r="AM172" s="488">
        <f t="shared" si="14"/>
        <v>0</v>
      </c>
      <c r="AN172" s="500">
        <f t="shared" si="13"/>
        <v>0</v>
      </c>
      <c r="AO172" s="500"/>
    </row>
    <row r="173" spans="1:41" ht="13.5" hidden="1" customHeight="1">
      <c r="A173" s="484">
        <v>169</v>
      </c>
      <c r="B173" s="483" t="str">
        <f>IFERROR(VLOOKUP(C173,[1]Sheet1!$B$6:$C$52,2,0),"")</f>
        <v/>
      </c>
      <c r="C173" s="496"/>
      <c r="D173" s="495"/>
      <c r="E173" s="494"/>
      <c r="F173" s="495"/>
      <c r="G173" s="494"/>
      <c r="H173" s="480"/>
      <c r="I173" s="480"/>
      <c r="J173" s="573"/>
      <c r="K173" s="494"/>
      <c r="L173" s="495"/>
      <c r="M173" s="494"/>
      <c r="N173" s="480"/>
      <c r="O173" s="493"/>
      <c r="AF173" s="501"/>
      <c r="AG173" s="492"/>
      <c r="AH173" s="489">
        <f t="shared" si="10"/>
        <v>0</v>
      </c>
      <c r="AI173" s="491"/>
      <c r="AJ173" s="490"/>
      <c r="AK173" s="489">
        <f t="shared" si="11"/>
        <v>0</v>
      </c>
      <c r="AL173" s="489">
        <f t="shared" si="12"/>
        <v>0</v>
      </c>
      <c r="AM173" s="488">
        <f t="shared" si="14"/>
        <v>0</v>
      </c>
      <c r="AN173" s="500">
        <f t="shared" si="13"/>
        <v>0</v>
      </c>
      <c r="AO173" s="500"/>
    </row>
    <row r="174" spans="1:41" ht="13.5" hidden="1" customHeight="1">
      <c r="A174" s="484">
        <v>170</v>
      </c>
      <c r="B174" s="483" t="str">
        <f>IFERROR(VLOOKUP(C174,[1]Sheet1!$B$6:$C$52,2,0),"")</f>
        <v/>
      </c>
      <c r="C174" s="496"/>
      <c r="D174" s="495"/>
      <c r="E174" s="494"/>
      <c r="F174" s="495"/>
      <c r="G174" s="494"/>
      <c r="H174" s="480"/>
      <c r="I174" s="480"/>
      <c r="J174" s="573"/>
      <c r="K174" s="494"/>
      <c r="L174" s="495"/>
      <c r="M174" s="494"/>
      <c r="N174" s="480"/>
      <c r="O174" s="493"/>
      <c r="AF174" s="501"/>
      <c r="AG174" s="492"/>
      <c r="AH174" s="489">
        <f t="shared" si="10"/>
        <v>0</v>
      </c>
      <c r="AI174" s="491"/>
      <c r="AJ174" s="490"/>
      <c r="AK174" s="489">
        <f t="shared" si="11"/>
        <v>0</v>
      </c>
      <c r="AL174" s="489">
        <f t="shared" si="12"/>
        <v>0</v>
      </c>
      <c r="AM174" s="488">
        <f t="shared" si="14"/>
        <v>0</v>
      </c>
      <c r="AN174" s="500">
        <f t="shared" si="13"/>
        <v>0</v>
      </c>
      <c r="AO174" s="500"/>
    </row>
    <row r="175" spans="1:41" ht="13.5" hidden="1" customHeight="1">
      <c r="A175" s="484">
        <v>171</v>
      </c>
      <c r="B175" s="483" t="str">
        <f>IFERROR(VLOOKUP(C175,[1]Sheet1!$B$6:$C$52,2,0),"")</f>
        <v/>
      </c>
      <c r="C175" s="496"/>
      <c r="D175" s="495"/>
      <c r="E175" s="494"/>
      <c r="F175" s="495"/>
      <c r="G175" s="494"/>
      <c r="H175" s="480"/>
      <c r="I175" s="480"/>
      <c r="J175" s="573"/>
      <c r="K175" s="494"/>
      <c r="L175" s="495"/>
      <c r="M175" s="494"/>
      <c r="N175" s="480"/>
      <c r="O175" s="493"/>
      <c r="AF175" s="501"/>
      <c r="AG175" s="492"/>
      <c r="AH175" s="489">
        <f t="shared" si="10"/>
        <v>0</v>
      </c>
      <c r="AI175" s="491"/>
      <c r="AJ175" s="490"/>
      <c r="AK175" s="489">
        <f t="shared" si="11"/>
        <v>0</v>
      </c>
      <c r="AL175" s="489">
        <f t="shared" si="12"/>
        <v>0</v>
      </c>
      <c r="AM175" s="488">
        <f t="shared" si="14"/>
        <v>0</v>
      </c>
      <c r="AN175" s="500">
        <f t="shared" si="13"/>
        <v>0</v>
      </c>
      <c r="AO175" s="500"/>
    </row>
    <row r="176" spans="1:41" ht="13.5" hidden="1" customHeight="1">
      <c r="A176" s="484">
        <v>172</v>
      </c>
      <c r="B176" s="483" t="str">
        <f>IFERROR(VLOOKUP(C176,[1]Sheet1!$B$6:$C$52,2,0),"")</f>
        <v/>
      </c>
      <c r="C176" s="496"/>
      <c r="D176" s="495"/>
      <c r="E176" s="494"/>
      <c r="F176" s="495"/>
      <c r="G176" s="494"/>
      <c r="H176" s="480"/>
      <c r="I176" s="480"/>
      <c r="J176" s="573"/>
      <c r="K176" s="494"/>
      <c r="L176" s="495"/>
      <c r="M176" s="494"/>
      <c r="N176" s="480"/>
      <c r="O176" s="493"/>
      <c r="AF176" s="501"/>
      <c r="AG176" s="492"/>
      <c r="AH176" s="489">
        <f t="shared" si="10"/>
        <v>0</v>
      </c>
      <c r="AI176" s="491"/>
      <c r="AJ176" s="490"/>
      <c r="AK176" s="489">
        <f t="shared" si="11"/>
        <v>0</v>
      </c>
      <c r="AL176" s="489">
        <f t="shared" si="12"/>
        <v>0</v>
      </c>
      <c r="AM176" s="488">
        <f t="shared" si="14"/>
        <v>0</v>
      </c>
      <c r="AN176" s="500">
        <f t="shared" si="13"/>
        <v>0</v>
      </c>
      <c r="AO176" s="500"/>
    </row>
    <row r="177" spans="1:41" ht="13.5" hidden="1" customHeight="1">
      <c r="A177" s="484">
        <v>173</v>
      </c>
      <c r="B177" s="483" t="str">
        <f>IFERROR(VLOOKUP(C177,[1]Sheet1!$B$6:$C$52,2,0),"")</f>
        <v/>
      </c>
      <c r="C177" s="496"/>
      <c r="D177" s="495"/>
      <c r="E177" s="494"/>
      <c r="F177" s="495"/>
      <c r="G177" s="494"/>
      <c r="H177" s="480"/>
      <c r="I177" s="480"/>
      <c r="J177" s="573"/>
      <c r="K177" s="494"/>
      <c r="L177" s="495"/>
      <c r="M177" s="494"/>
      <c r="N177" s="480"/>
      <c r="O177" s="493"/>
      <c r="AF177" s="501"/>
      <c r="AG177" s="492"/>
      <c r="AH177" s="489">
        <f t="shared" si="10"/>
        <v>0</v>
      </c>
      <c r="AI177" s="491"/>
      <c r="AJ177" s="490"/>
      <c r="AK177" s="489">
        <f t="shared" si="11"/>
        <v>0</v>
      </c>
      <c r="AL177" s="489">
        <f t="shared" si="12"/>
        <v>0</v>
      </c>
      <c r="AM177" s="488">
        <f t="shared" si="14"/>
        <v>0</v>
      </c>
      <c r="AN177" s="500">
        <f t="shared" si="13"/>
        <v>0</v>
      </c>
      <c r="AO177" s="500"/>
    </row>
    <row r="178" spans="1:41" ht="13.5" hidden="1" customHeight="1">
      <c r="A178" s="484">
        <v>174</v>
      </c>
      <c r="B178" s="483" t="str">
        <f>IFERROR(VLOOKUP(C178,[1]Sheet1!$B$6:$C$52,2,0),"")</f>
        <v/>
      </c>
      <c r="C178" s="496"/>
      <c r="D178" s="495"/>
      <c r="E178" s="494"/>
      <c r="F178" s="495"/>
      <c r="G178" s="494"/>
      <c r="H178" s="480"/>
      <c r="I178" s="480"/>
      <c r="J178" s="573"/>
      <c r="K178" s="494"/>
      <c r="L178" s="495"/>
      <c r="M178" s="494"/>
      <c r="N178" s="480"/>
      <c r="O178" s="493"/>
      <c r="AF178" s="501"/>
      <c r="AG178" s="492"/>
      <c r="AH178" s="489">
        <f t="shared" si="10"/>
        <v>0</v>
      </c>
      <c r="AI178" s="491"/>
      <c r="AJ178" s="490"/>
      <c r="AK178" s="489">
        <f t="shared" si="11"/>
        <v>0</v>
      </c>
      <c r="AL178" s="489">
        <f t="shared" si="12"/>
        <v>0</v>
      </c>
      <c r="AM178" s="488">
        <f t="shared" si="14"/>
        <v>0</v>
      </c>
      <c r="AN178" s="500">
        <f t="shared" si="13"/>
        <v>0</v>
      </c>
      <c r="AO178" s="500"/>
    </row>
    <row r="179" spans="1:41" ht="13.5" hidden="1" customHeight="1">
      <c r="A179" s="484">
        <v>175</v>
      </c>
      <c r="B179" s="483" t="str">
        <f>IFERROR(VLOOKUP(C179,[1]Sheet1!$B$6:$C$52,2,0),"")</f>
        <v/>
      </c>
      <c r="C179" s="496"/>
      <c r="D179" s="495"/>
      <c r="E179" s="494"/>
      <c r="F179" s="495"/>
      <c r="G179" s="494"/>
      <c r="H179" s="480"/>
      <c r="I179" s="480"/>
      <c r="J179" s="573"/>
      <c r="K179" s="494"/>
      <c r="L179" s="495"/>
      <c r="M179" s="494"/>
      <c r="N179" s="480"/>
      <c r="O179" s="493"/>
      <c r="AF179" s="501"/>
      <c r="AG179" s="492"/>
      <c r="AH179" s="489">
        <f t="shared" si="10"/>
        <v>0</v>
      </c>
      <c r="AI179" s="491"/>
      <c r="AJ179" s="490"/>
      <c r="AK179" s="489">
        <f t="shared" si="11"/>
        <v>0</v>
      </c>
      <c r="AL179" s="489">
        <f t="shared" si="12"/>
        <v>0</v>
      </c>
      <c r="AM179" s="488">
        <f t="shared" si="14"/>
        <v>0</v>
      </c>
      <c r="AN179" s="500">
        <f t="shared" si="13"/>
        <v>0</v>
      </c>
      <c r="AO179" s="500"/>
    </row>
    <row r="180" spans="1:41" ht="13.5" hidden="1" customHeight="1">
      <c r="A180" s="484">
        <v>176</v>
      </c>
      <c r="B180" s="483" t="str">
        <f>IFERROR(VLOOKUP(C180,[1]Sheet1!$B$6:$C$52,2,0),"")</f>
        <v/>
      </c>
      <c r="C180" s="496"/>
      <c r="D180" s="495"/>
      <c r="E180" s="494"/>
      <c r="F180" s="495"/>
      <c r="G180" s="494"/>
      <c r="H180" s="480"/>
      <c r="I180" s="480"/>
      <c r="J180" s="573"/>
      <c r="K180" s="494"/>
      <c r="L180" s="495"/>
      <c r="M180" s="494"/>
      <c r="N180" s="480"/>
      <c r="O180" s="493"/>
      <c r="AF180" s="501"/>
      <c r="AG180" s="492"/>
      <c r="AH180" s="489">
        <f t="shared" si="10"/>
        <v>0</v>
      </c>
      <c r="AI180" s="491"/>
      <c r="AJ180" s="490"/>
      <c r="AK180" s="489">
        <f t="shared" si="11"/>
        <v>0</v>
      </c>
      <c r="AL180" s="489">
        <f t="shared" si="12"/>
        <v>0</v>
      </c>
      <c r="AM180" s="488">
        <f t="shared" si="14"/>
        <v>0</v>
      </c>
      <c r="AN180" s="500">
        <f t="shared" si="13"/>
        <v>0</v>
      </c>
      <c r="AO180" s="500"/>
    </row>
    <row r="181" spans="1:41" ht="13.5" hidden="1" customHeight="1">
      <c r="A181" s="484">
        <v>177</v>
      </c>
      <c r="B181" s="483" t="str">
        <f>IFERROR(VLOOKUP(C181,[1]Sheet1!$B$6:$C$52,2,0),"")</f>
        <v/>
      </c>
      <c r="C181" s="496"/>
      <c r="D181" s="495"/>
      <c r="E181" s="494"/>
      <c r="F181" s="495"/>
      <c r="G181" s="494"/>
      <c r="H181" s="480"/>
      <c r="I181" s="480"/>
      <c r="J181" s="573"/>
      <c r="K181" s="494"/>
      <c r="L181" s="495"/>
      <c r="M181" s="494"/>
      <c r="N181" s="480"/>
      <c r="O181" s="493"/>
      <c r="AF181" s="501"/>
      <c r="AG181" s="492"/>
      <c r="AH181" s="489">
        <f t="shared" si="10"/>
        <v>0</v>
      </c>
      <c r="AI181" s="491"/>
      <c r="AJ181" s="490"/>
      <c r="AK181" s="489">
        <f t="shared" si="11"/>
        <v>0</v>
      </c>
      <c r="AL181" s="489">
        <f t="shared" si="12"/>
        <v>0</v>
      </c>
      <c r="AM181" s="488">
        <f t="shared" si="14"/>
        <v>0</v>
      </c>
      <c r="AN181" s="500">
        <f t="shared" si="13"/>
        <v>0</v>
      </c>
      <c r="AO181" s="500"/>
    </row>
    <row r="182" spans="1:41" ht="13.5" hidden="1" customHeight="1">
      <c r="A182" s="484">
        <v>178</v>
      </c>
      <c r="B182" s="483" t="str">
        <f>IFERROR(VLOOKUP(C182,[1]Sheet1!$B$6:$C$52,2,0),"")</f>
        <v/>
      </c>
      <c r="C182" s="496"/>
      <c r="D182" s="495"/>
      <c r="E182" s="494"/>
      <c r="F182" s="495"/>
      <c r="G182" s="494"/>
      <c r="H182" s="480"/>
      <c r="I182" s="480"/>
      <c r="J182" s="573"/>
      <c r="K182" s="494"/>
      <c r="L182" s="495"/>
      <c r="M182" s="494"/>
      <c r="N182" s="480"/>
      <c r="O182" s="493"/>
      <c r="AF182" s="501"/>
      <c r="AG182" s="492"/>
      <c r="AH182" s="489">
        <f t="shared" si="10"/>
        <v>0</v>
      </c>
      <c r="AI182" s="491"/>
      <c r="AJ182" s="490"/>
      <c r="AK182" s="489">
        <f t="shared" si="11"/>
        <v>0</v>
      </c>
      <c r="AL182" s="489">
        <f t="shared" si="12"/>
        <v>0</v>
      </c>
      <c r="AM182" s="488">
        <f t="shared" si="14"/>
        <v>0</v>
      </c>
      <c r="AN182" s="500">
        <f t="shared" si="13"/>
        <v>0</v>
      </c>
      <c r="AO182" s="500"/>
    </row>
    <row r="183" spans="1:41" ht="13.5" hidden="1" customHeight="1">
      <c r="A183" s="484">
        <v>179</v>
      </c>
      <c r="B183" s="483" t="str">
        <f>IFERROR(VLOOKUP(C183,[1]Sheet1!$B$6:$C$52,2,0),"")</f>
        <v/>
      </c>
      <c r="C183" s="496"/>
      <c r="D183" s="495"/>
      <c r="E183" s="494"/>
      <c r="F183" s="495"/>
      <c r="G183" s="494"/>
      <c r="H183" s="480"/>
      <c r="I183" s="480"/>
      <c r="J183" s="573"/>
      <c r="K183" s="494"/>
      <c r="L183" s="495"/>
      <c r="M183" s="494"/>
      <c r="N183" s="480"/>
      <c r="O183" s="493"/>
      <c r="AF183" s="501"/>
      <c r="AG183" s="492"/>
      <c r="AH183" s="489">
        <f t="shared" si="10"/>
        <v>0</v>
      </c>
      <c r="AI183" s="491"/>
      <c r="AJ183" s="490"/>
      <c r="AK183" s="489">
        <f t="shared" si="11"/>
        <v>0</v>
      </c>
      <c r="AL183" s="489">
        <f t="shared" si="12"/>
        <v>0</v>
      </c>
      <c r="AM183" s="488">
        <f t="shared" si="14"/>
        <v>0</v>
      </c>
      <c r="AN183" s="500">
        <f t="shared" si="13"/>
        <v>0</v>
      </c>
      <c r="AO183" s="500"/>
    </row>
    <row r="184" spans="1:41" ht="13.5" hidden="1" customHeight="1">
      <c r="A184" s="484">
        <v>180</v>
      </c>
      <c r="B184" s="483" t="str">
        <f>IFERROR(VLOOKUP(C184,[1]Sheet1!$B$6:$C$52,2,0),"")</f>
        <v/>
      </c>
      <c r="C184" s="496"/>
      <c r="D184" s="495"/>
      <c r="E184" s="494"/>
      <c r="F184" s="495"/>
      <c r="G184" s="494"/>
      <c r="H184" s="480"/>
      <c r="I184" s="480"/>
      <c r="J184" s="573"/>
      <c r="K184" s="494"/>
      <c r="L184" s="495"/>
      <c r="M184" s="494"/>
      <c r="N184" s="480"/>
      <c r="O184" s="493"/>
      <c r="AF184" s="501"/>
      <c r="AG184" s="492"/>
      <c r="AH184" s="489">
        <f t="shared" si="10"/>
        <v>0</v>
      </c>
      <c r="AI184" s="491"/>
      <c r="AJ184" s="490"/>
      <c r="AK184" s="489">
        <f t="shared" si="11"/>
        <v>0</v>
      </c>
      <c r="AL184" s="489">
        <f t="shared" si="12"/>
        <v>0</v>
      </c>
      <c r="AM184" s="488">
        <f t="shared" si="14"/>
        <v>0</v>
      </c>
      <c r="AN184" s="500">
        <f t="shared" si="13"/>
        <v>0</v>
      </c>
      <c r="AO184" s="500"/>
    </row>
    <row r="185" spans="1:41" ht="13.5" hidden="1" customHeight="1">
      <c r="A185" s="484">
        <v>181</v>
      </c>
      <c r="B185" s="483" t="str">
        <f>IFERROR(VLOOKUP(C185,[1]Sheet1!$B$6:$C$52,2,0),"")</f>
        <v/>
      </c>
      <c r="C185" s="496"/>
      <c r="D185" s="495"/>
      <c r="E185" s="494"/>
      <c r="F185" s="495"/>
      <c r="G185" s="494"/>
      <c r="H185" s="480"/>
      <c r="I185" s="480"/>
      <c r="J185" s="573"/>
      <c r="K185" s="494"/>
      <c r="L185" s="495"/>
      <c r="M185" s="494"/>
      <c r="N185" s="480"/>
      <c r="O185" s="493"/>
      <c r="AF185" s="501"/>
      <c r="AG185" s="492"/>
      <c r="AH185" s="489">
        <f t="shared" si="10"/>
        <v>0</v>
      </c>
      <c r="AI185" s="491"/>
      <c r="AJ185" s="490"/>
      <c r="AK185" s="489">
        <f t="shared" si="11"/>
        <v>0</v>
      </c>
      <c r="AL185" s="489">
        <f t="shared" si="12"/>
        <v>0</v>
      </c>
      <c r="AM185" s="488">
        <f t="shared" si="14"/>
        <v>0</v>
      </c>
      <c r="AN185" s="500">
        <f t="shared" si="13"/>
        <v>0</v>
      </c>
      <c r="AO185" s="500"/>
    </row>
    <row r="186" spans="1:41" ht="13.5" hidden="1" customHeight="1">
      <c r="A186" s="484">
        <v>182</v>
      </c>
      <c r="B186" s="483" t="str">
        <f>IFERROR(VLOOKUP(C186,[1]Sheet1!$B$6:$C$52,2,0),"")</f>
        <v/>
      </c>
      <c r="C186" s="496"/>
      <c r="D186" s="495"/>
      <c r="E186" s="494"/>
      <c r="F186" s="495"/>
      <c r="G186" s="494"/>
      <c r="H186" s="480"/>
      <c r="I186" s="480"/>
      <c r="J186" s="573"/>
      <c r="K186" s="494"/>
      <c r="L186" s="495"/>
      <c r="M186" s="494"/>
      <c r="N186" s="480"/>
      <c r="O186" s="493"/>
      <c r="AF186" s="501"/>
      <c r="AG186" s="492"/>
      <c r="AH186" s="489">
        <f t="shared" si="10"/>
        <v>0</v>
      </c>
      <c r="AI186" s="491"/>
      <c r="AJ186" s="490"/>
      <c r="AK186" s="489">
        <f t="shared" si="11"/>
        <v>0</v>
      </c>
      <c r="AL186" s="489">
        <f t="shared" si="12"/>
        <v>0</v>
      </c>
      <c r="AM186" s="488">
        <f t="shared" si="14"/>
        <v>0</v>
      </c>
      <c r="AN186" s="500">
        <f t="shared" si="13"/>
        <v>0</v>
      </c>
      <c r="AO186" s="500"/>
    </row>
    <row r="187" spans="1:41" ht="13.5" hidden="1" customHeight="1">
      <c r="A187" s="484">
        <v>183</v>
      </c>
      <c r="B187" s="483" t="str">
        <f>IFERROR(VLOOKUP(C187,[1]Sheet1!$B$6:$C$52,2,0),"")</f>
        <v/>
      </c>
      <c r="C187" s="496"/>
      <c r="D187" s="495"/>
      <c r="E187" s="494"/>
      <c r="F187" s="495"/>
      <c r="G187" s="494"/>
      <c r="H187" s="480"/>
      <c r="I187" s="480"/>
      <c r="J187" s="573"/>
      <c r="K187" s="494"/>
      <c r="L187" s="495"/>
      <c r="M187" s="494"/>
      <c r="N187" s="480"/>
      <c r="O187" s="493"/>
      <c r="AF187" s="501"/>
      <c r="AG187" s="492"/>
      <c r="AH187" s="489">
        <f t="shared" si="10"/>
        <v>0</v>
      </c>
      <c r="AI187" s="491"/>
      <c r="AJ187" s="490"/>
      <c r="AK187" s="489">
        <f t="shared" si="11"/>
        <v>0</v>
      </c>
      <c r="AL187" s="489">
        <f t="shared" si="12"/>
        <v>0</v>
      </c>
      <c r="AM187" s="488">
        <f t="shared" si="14"/>
        <v>0</v>
      </c>
      <c r="AN187" s="500">
        <f t="shared" si="13"/>
        <v>0</v>
      </c>
      <c r="AO187" s="500"/>
    </row>
    <row r="188" spans="1:41" ht="13.5" hidden="1" customHeight="1">
      <c r="A188" s="484">
        <v>184</v>
      </c>
      <c r="B188" s="483" t="str">
        <f>IFERROR(VLOOKUP(C188,[1]Sheet1!$B$6:$C$52,2,0),"")</f>
        <v/>
      </c>
      <c r="C188" s="496"/>
      <c r="D188" s="495"/>
      <c r="E188" s="494"/>
      <c r="F188" s="495"/>
      <c r="G188" s="494"/>
      <c r="H188" s="480"/>
      <c r="I188" s="480"/>
      <c r="J188" s="573"/>
      <c r="K188" s="494"/>
      <c r="L188" s="495"/>
      <c r="M188" s="494"/>
      <c r="N188" s="480"/>
      <c r="O188" s="493"/>
      <c r="AF188" s="501"/>
      <c r="AG188" s="492"/>
      <c r="AH188" s="489">
        <f t="shared" si="10"/>
        <v>0</v>
      </c>
      <c r="AI188" s="491"/>
      <c r="AJ188" s="490"/>
      <c r="AK188" s="489">
        <f t="shared" si="11"/>
        <v>0</v>
      </c>
      <c r="AL188" s="489">
        <f t="shared" si="12"/>
        <v>0</v>
      </c>
      <c r="AM188" s="488">
        <f t="shared" si="14"/>
        <v>0</v>
      </c>
      <c r="AN188" s="500">
        <f t="shared" si="13"/>
        <v>0</v>
      </c>
      <c r="AO188" s="500"/>
    </row>
    <row r="189" spans="1:41" ht="13.5" hidden="1" customHeight="1">
      <c r="A189" s="484">
        <v>185</v>
      </c>
      <c r="B189" s="483" t="str">
        <f>IFERROR(VLOOKUP(C189,[1]Sheet1!$B$6:$C$52,2,0),"")</f>
        <v/>
      </c>
      <c r="C189" s="496"/>
      <c r="D189" s="495"/>
      <c r="E189" s="494"/>
      <c r="F189" s="495"/>
      <c r="G189" s="494"/>
      <c r="H189" s="480"/>
      <c r="I189" s="480"/>
      <c r="J189" s="573"/>
      <c r="K189" s="494"/>
      <c r="L189" s="495"/>
      <c r="M189" s="494"/>
      <c r="N189" s="480"/>
      <c r="O189" s="493"/>
      <c r="AF189" s="501"/>
      <c r="AG189" s="492"/>
      <c r="AH189" s="489">
        <f t="shared" si="10"/>
        <v>0</v>
      </c>
      <c r="AI189" s="491"/>
      <c r="AJ189" s="490"/>
      <c r="AK189" s="489">
        <f t="shared" si="11"/>
        <v>0</v>
      </c>
      <c r="AL189" s="489">
        <f t="shared" si="12"/>
        <v>0</v>
      </c>
      <c r="AM189" s="488">
        <f t="shared" si="14"/>
        <v>0</v>
      </c>
      <c r="AN189" s="500">
        <f t="shared" si="13"/>
        <v>0</v>
      </c>
      <c r="AO189" s="500"/>
    </row>
    <row r="190" spans="1:41" ht="13.5" hidden="1" customHeight="1">
      <c r="A190" s="484">
        <v>186</v>
      </c>
      <c r="B190" s="483" t="str">
        <f>IFERROR(VLOOKUP(C190,[1]Sheet1!$B$6:$C$52,2,0),"")</f>
        <v/>
      </c>
      <c r="C190" s="496"/>
      <c r="D190" s="495"/>
      <c r="E190" s="494"/>
      <c r="F190" s="495"/>
      <c r="G190" s="494"/>
      <c r="H190" s="480"/>
      <c r="I190" s="480"/>
      <c r="J190" s="573"/>
      <c r="K190" s="494"/>
      <c r="L190" s="495"/>
      <c r="M190" s="494"/>
      <c r="N190" s="480"/>
      <c r="O190" s="493"/>
      <c r="AF190" s="501"/>
      <c r="AG190" s="492"/>
      <c r="AH190" s="489">
        <f t="shared" si="10"/>
        <v>0</v>
      </c>
      <c r="AI190" s="491"/>
      <c r="AJ190" s="490"/>
      <c r="AK190" s="489">
        <f t="shared" si="11"/>
        <v>0</v>
      </c>
      <c r="AL190" s="489">
        <f t="shared" si="12"/>
        <v>0</v>
      </c>
      <c r="AM190" s="488">
        <f t="shared" si="14"/>
        <v>0</v>
      </c>
      <c r="AN190" s="500">
        <f t="shared" si="13"/>
        <v>0</v>
      </c>
      <c r="AO190" s="500"/>
    </row>
    <row r="191" spans="1:41" ht="13.5" hidden="1" customHeight="1">
      <c r="A191" s="484">
        <v>187</v>
      </c>
      <c r="B191" s="483" t="str">
        <f>IFERROR(VLOOKUP(C191,[1]Sheet1!$B$6:$C$52,2,0),"")</f>
        <v/>
      </c>
      <c r="C191" s="496"/>
      <c r="D191" s="495"/>
      <c r="E191" s="494"/>
      <c r="F191" s="495"/>
      <c r="G191" s="494"/>
      <c r="H191" s="480"/>
      <c r="I191" s="480"/>
      <c r="J191" s="573"/>
      <c r="K191" s="494"/>
      <c r="L191" s="495"/>
      <c r="M191" s="494"/>
      <c r="N191" s="480"/>
      <c r="O191" s="493"/>
      <c r="AF191" s="501"/>
      <c r="AG191" s="492"/>
      <c r="AH191" s="489">
        <f t="shared" si="10"/>
        <v>0</v>
      </c>
      <c r="AI191" s="491"/>
      <c r="AJ191" s="490"/>
      <c r="AK191" s="489">
        <f t="shared" si="11"/>
        <v>0</v>
      </c>
      <c r="AL191" s="489">
        <f t="shared" si="12"/>
        <v>0</v>
      </c>
      <c r="AM191" s="488">
        <f t="shared" si="14"/>
        <v>0</v>
      </c>
      <c r="AN191" s="500">
        <f t="shared" si="13"/>
        <v>0</v>
      </c>
      <c r="AO191" s="500"/>
    </row>
    <row r="192" spans="1:41" ht="13.5" hidden="1" customHeight="1">
      <c r="A192" s="484">
        <v>188</v>
      </c>
      <c r="B192" s="483" t="str">
        <f>IFERROR(VLOOKUP(C192,[1]Sheet1!$B$6:$C$52,2,0),"")</f>
        <v/>
      </c>
      <c r="C192" s="496"/>
      <c r="D192" s="495"/>
      <c r="E192" s="494"/>
      <c r="F192" s="495"/>
      <c r="G192" s="494"/>
      <c r="H192" s="480"/>
      <c r="I192" s="480"/>
      <c r="J192" s="573"/>
      <c r="K192" s="494"/>
      <c r="L192" s="495"/>
      <c r="M192" s="494"/>
      <c r="N192" s="480"/>
      <c r="O192" s="493"/>
      <c r="AF192" s="501"/>
      <c r="AG192" s="492"/>
      <c r="AH192" s="489">
        <f t="shared" si="10"/>
        <v>0</v>
      </c>
      <c r="AI192" s="491"/>
      <c r="AJ192" s="490"/>
      <c r="AK192" s="489">
        <f t="shared" si="11"/>
        <v>0</v>
      </c>
      <c r="AL192" s="489">
        <f t="shared" si="12"/>
        <v>0</v>
      </c>
      <c r="AM192" s="488">
        <f t="shared" si="14"/>
        <v>0</v>
      </c>
      <c r="AN192" s="500">
        <f t="shared" si="13"/>
        <v>0</v>
      </c>
      <c r="AO192" s="500"/>
    </row>
    <row r="193" spans="1:49" ht="13.5" hidden="1" customHeight="1">
      <c r="A193" s="484">
        <v>189</v>
      </c>
      <c r="B193" s="483" t="str">
        <f>IFERROR(VLOOKUP(C193,[1]Sheet1!$B$6:$C$52,2,0),"")</f>
        <v/>
      </c>
      <c r="C193" s="496"/>
      <c r="D193" s="495"/>
      <c r="E193" s="494"/>
      <c r="F193" s="495"/>
      <c r="G193" s="494"/>
      <c r="H193" s="480"/>
      <c r="I193" s="480"/>
      <c r="J193" s="573"/>
      <c r="K193" s="494"/>
      <c r="L193" s="495"/>
      <c r="M193" s="494"/>
      <c r="N193" s="480"/>
      <c r="O193" s="493"/>
      <c r="AF193" s="501"/>
      <c r="AG193" s="492"/>
      <c r="AH193" s="489">
        <f t="shared" si="10"/>
        <v>0</v>
      </c>
      <c r="AI193" s="491"/>
      <c r="AJ193" s="490"/>
      <c r="AK193" s="489">
        <f t="shared" si="11"/>
        <v>0</v>
      </c>
      <c r="AL193" s="489">
        <f t="shared" si="12"/>
        <v>0</v>
      </c>
      <c r="AM193" s="488">
        <f t="shared" si="14"/>
        <v>0</v>
      </c>
      <c r="AN193" s="500">
        <f t="shared" si="13"/>
        <v>0</v>
      </c>
      <c r="AO193" s="500"/>
    </row>
    <row r="194" spans="1:49" ht="13.5" hidden="1" customHeight="1">
      <c r="A194" s="484">
        <v>190</v>
      </c>
      <c r="B194" s="483" t="str">
        <f>IFERROR(VLOOKUP(C194,[1]Sheet1!$B$6:$C$52,2,0),"")</f>
        <v/>
      </c>
      <c r="C194" s="496"/>
      <c r="D194" s="495"/>
      <c r="E194" s="494"/>
      <c r="F194" s="495"/>
      <c r="G194" s="494"/>
      <c r="H194" s="480"/>
      <c r="I194" s="480"/>
      <c r="J194" s="573"/>
      <c r="K194" s="494"/>
      <c r="L194" s="495"/>
      <c r="M194" s="494"/>
      <c r="N194" s="480"/>
      <c r="O194" s="493"/>
      <c r="AF194" s="501"/>
      <c r="AG194" s="492"/>
      <c r="AH194" s="489">
        <f t="shared" si="10"/>
        <v>0</v>
      </c>
      <c r="AI194" s="491"/>
      <c r="AJ194" s="490"/>
      <c r="AK194" s="489">
        <f t="shared" si="11"/>
        <v>0</v>
      </c>
      <c r="AL194" s="489">
        <f t="shared" si="12"/>
        <v>0</v>
      </c>
      <c r="AM194" s="488">
        <f t="shared" si="14"/>
        <v>0</v>
      </c>
      <c r="AN194" s="500">
        <f t="shared" si="13"/>
        <v>0</v>
      </c>
      <c r="AO194" s="500"/>
    </row>
    <row r="195" spans="1:49" ht="13.5" hidden="1" customHeight="1">
      <c r="A195" s="484">
        <v>191</v>
      </c>
      <c r="B195" s="483" t="str">
        <f>IFERROR(VLOOKUP(C195,[1]Sheet1!$B$6:$C$52,2,0),"")</f>
        <v/>
      </c>
      <c r="C195" s="496"/>
      <c r="D195" s="495"/>
      <c r="E195" s="494"/>
      <c r="F195" s="495"/>
      <c r="G195" s="494"/>
      <c r="H195" s="480"/>
      <c r="I195" s="480"/>
      <c r="J195" s="573"/>
      <c r="K195" s="494"/>
      <c r="L195" s="495"/>
      <c r="M195" s="494"/>
      <c r="N195" s="480"/>
      <c r="O195" s="493"/>
      <c r="AF195" s="501"/>
      <c r="AG195" s="492"/>
      <c r="AH195" s="489">
        <f t="shared" si="10"/>
        <v>0</v>
      </c>
      <c r="AI195" s="491"/>
      <c r="AJ195" s="490"/>
      <c r="AK195" s="489">
        <f t="shared" si="11"/>
        <v>0</v>
      </c>
      <c r="AL195" s="489">
        <f t="shared" si="12"/>
        <v>0</v>
      </c>
      <c r="AM195" s="488">
        <f t="shared" si="14"/>
        <v>0</v>
      </c>
      <c r="AN195" s="500">
        <f t="shared" si="13"/>
        <v>0</v>
      </c>
      <c r="AO195" s="500"/>
    </row>
    <row r="196" spans="1:49" ht="13.5" hidden="1" customHeight="1">
      <c r="A196" s="484">
        <v>192</v>
      </c>
      <c r="B196" s="483" t="str">
        <f>IFERROR(VLOOKUP(C196,[1]Sheet1!$B$6:$C$52,2,0),"")</f>
        <v/>
      </c>
      <c r="C196" s="496"/>
      <c r="D196" s="495"/>
      <c r="E196" s="494"/>
      <c r="F196" s="495"/>
      <c r="G196" s="494"/>
      <c r="H196" s="480"/>
      <c r="I196" s="480"/>
      <c r="J196" s="573"/>
      <c r="K196" s="494"/>
      <c r="L196" s="495"/>
      <c r="M196" s="494"/>
      <c r="N196" s="480"/>
      <c r="O196" s="493"/>
      <c r="AF196" s="501"/>
      <c r="AG196" s="492"/>
      <c r="AH196" s="489">
        <f t="shared" si="10"/>
        <v>0</v>
      </c>
      <c r="AI196" s="491"/>
      <c r="AJ196" s="490"/>
      <c r="AK196" s="489">
        <f t="shared" si="11"/>
        <v>0</v>
      </c>
      <c r="AL196" s="489">
        <f t="shared" si="12"/>
        <v>0</v>
      </c>
      <c r="AM196" s="488">
        <f t="shared" si="14"/>
        <v>0</v>
      </c>
      <c r="AN196" s="500">
        <f t="shared" si="13"/>
        <v>0</v>
      </c>
      <c r="AO196" s="500"/>
    </row>
    <row r="197" spans="1:49" ht="13.5" hidden="1" customHeight="1">
      <c r="A197" s="484">
        <v>193</v>
      </c>
      <c r="B197" s="483" t="str">
        <f>IFERROR(VLOOKUP(C197,[1]Sheet1!$B$6:$C$52,2,0),"")</f>
        <v/>
      </c>
      <c r="C197" s="496"/>
      <c r="D197" s="495"/>
      <c r="E197" s="494"/>
      <c r="F197" s="495"/>
      <c r="G197" s="494"/>
      <c r="H197" s="480"/>
      <c r="I197" s="480"/>
      <c r="J197" s="573"/>
      <c r="K197" s="494"/>
      <c r="L197" s="495"/>
      <c r="M197" s="494"/>
      <c r="N197" s="480"/>
      <c r="O197" s="493"/>
      <c r="AF197" s="501"/>
      <c r="AG197" s="492"/>
      <c r="AH197" s="489">
        <f t="shared" ref="AH197:AH258" si="15">AF197-AG197</f>
        <v>0</v>
      </c>
      <c r="AI197" s="491"/>
      <c r="AJ197" s="490"/>
      <c r="AK197" s="489">
        <f t="shared" si="11"/>
        <v>0</v>
      </c>
      <c r="AL197" s="489">
        <f t="shared" si="12"/>
        <v>0</v>
      </c>
      <c r="AM197" s="488">
        <f t="shared" si="14"/>
        <v>0</v>
      </c>
      <c r="AN197" s="500">
        <f t="shared" ref="AN197:AO258" si="16">ROUNDUP(AM197*$AM$261,-3)</f>
        <v>0</v>
      </c>
      <c r="AO197" s="500"/>
    </row>
    <row r="198" spans="1:49" ht="13.5" hidden="1" customHeight="1">
      <c r="A198" s="484">
        <v>194</v>
      </c>
      <c r="B198" s="483" t="str">
        <f>IFERROR(VLOOKUP(C198,[1]Sheet1!$B$6:$C$52,2,0),"")</f>
        <v/>
      </c>
      <c r="C198" s="496"/>
      <c r="D198" s="495"/>
      <c r="E198" s="494"/>
      <c r="F198" s="495"/>
      <c r="G198" s="494"/>
      <c r="H198" s="480"/>
      <c r="I198" s="480"/>
      <c r="J198" s="573"/>
      <c r="K198" s="494"/>
      <c r="L198" s="495"/>
      <c r="M198" s="494"/>
      <c r="N198" s="480"/>
      <c r="O198" s="493"/>
      <c r="AF198" s="501"/>
      <c r="AG198" s="492"/>
      <c r="AH198" s="489">
        <f t="shared" si="15"/>
        <v>0</v>
      </c>
      <c r="AI198" s="491"/>
      <c r="AJ198" s="490"/>
      <c r="AK198" s="489">
        <f t="shared" si="11"/>
        <v>0</v>
      </c>
      <c r="AL198" s="489">
        <f t="shared" si="12"/>
        <v>0</v>
      </c>
      <c r="AM198" s="488">
        <f t="shared" si="14"/>
        <v>0</v>
      </c>
      <c r="AN198" s="500">
        <f t="shared" si="16"/>
        <v>0</v>
      </c>
      <c r="AO198" s="500"/>
    </row>
    <row r="199" spans="1:49" ht="13.5" hidden="1" customHeight="1">
      <c r="A199" s="484">
        <v>195</v>
      </c>
      <c r="B199" s="483" t="str">
        <f>IFERROR(VLOOKUP(C199,[1]Sheet1!$B$6:$C$52,2,0),"")</f>
        <v/>
      </c>
      <c r="C199" s="496"/>
      <c r="D199" s="495"/>
      <c r="E199" s="494"/>
      <c r="F199" s="495"/>
      <c r="G199" s="494"/>
      <c r="H199" s="480"/>
      <c r="I199" s="480"/>
      <c r="J199" s="573"/>
      <c r="K199" s="494"/>
      <c r="L199" s="495"/>
      <c r="M199" s="494"/>
      <c r="N199" s="480"/>
      <c r="O199" s="493"/>
      <c r="AF199" s="501"/>
      <c r="AG199" s="492"/>
      <c r="AH199" s="489">
        <f t="shared" si="15"/>
        <v>0</v>
      </c>
      <c r="AI199" s="491"/>
      <c r="AJ199" s="490"/>
      <c r="AK199" s="489">
        <f t="shared" si="11"/>
        <v>0</v>
      </c>
      <c r="AL199" s="489">
        <f t="shared" si="12"/>
        <v>0</v>
      </c>
      <c r="AM199" s="488">
        <f t="shared" si="14"/>
        <v>0</v>
      </c>
      <c r="AN199" s="500">
        <f t="shared" si="16"/>
        <v>0</v>
      </c>
      <c r="AO199" s="500"/>
    </row>
    <row r="200" spans="1:49" ht="13.5" hidden="1" customHeight="1">
      <c r="A200" s="484">
        <v>196</v>
      </c>
      <c r="B200" s="483" t="str">
        <f>IFERROR(VLOOKUP(C200,[1]Sheet1!$B$6:$C$52,2,0),"")</f>
        <v/>
      </c>
      <c r="C200" s="496"/>
      <c r="D200" s="495"/>
      <c r="E200" s="494"/>
      <c r="F200" s="495"/>
      <c r="G200" s="494"/>
      <c r="H200" s="480"/>
      <c r="I200" s="480"/>
      <c r="J200" s="573"/>
      <c r="K200" s="494"/>
      <c r="L200" s="495"/>
      <c r="M200" s="494"/>
      <c r="N200" s="480"/>
      <c r="O200" s="493"/>
      <c r="AF200" s="501"/>
      <c r="AG200" s="492"/>
      <c r="AH200" s="489">
        <f t="shared" si="15"/>
        <v>0</v>
      </c>
      <c r="AI200" s="491"/>
      <c r="AJ200" s="490"/>
      <c r="AK200" s="489">
        <f t="shared" si="11"/>
        <v>0</v>
      </c>
      <c r="AL200" s="489">
        <f t="shared" si="12"/>
        <v>0</v>
      </c>
      <c r="AM200" s="488">
        <f t="shared" si="14"/>
        <v>0</v>
      </c>
      <c r="AN200" s="500">
        <f t="shared" si="16"/>
        <v>0</v>
      </c>
      <c r="AO200" s="500"/>
    </row>
    <row r="201" spans="1:49" ht="13.5" hidden="1" customHeight="1">
      <c r="A201" s="484">
        <v>197</v>
      </c>
      <c r="B201" s="483" t="str">
        <f>IFERROR(VLOOKUP(C201,[1]Sheet1!$B$6:$C$52,2,0),"")</f>
        <v/>
      </c>
      <c r="C201" s="496"/>
      <c r="D201" s="495"/>
      <c r="E201" s="494"/>
      <c r="F201" s="495"/>
      <c r="G201" s="494"/>
      <c r="H201" s="480"/>
      <c r="I201" s="480"/>
      <c r="J201" s="573"/>
      <c r="K201" s="494"/>
      <c r="L201" s="495"/>
      <c r="M201" s="494"/>
      <c r="N201" s="480"/>
      <c r="O201" s="493"/>
      <c r="AF201" s="501"/>
      <c r="AG201" s="492"/>
      <c r="AH201" s="489">
        <f t="shared" si="15"/>
        <v>0</v>
      </c>
      <c r="AI201" s="491"/>
      <c r="AJ201" s="490"/>
      <c r="AK201" s="489">
        <f t="shared" ref="AK201:AK258" si="17">MIN(AI201,AJ201)</f>
        <v>0</v>
      </c>
      <c r="AL201" s="489">
        <f t="shared" ref="AL201:AL258" si="18">MIN(AH201,AK201)</f>
        <v>0</v>
      </c>
      <c r="AM201" s="488">
        <f t="shared" si="14"/>
        <v>0</v>
      </c>
      <c r="AN201" s="500">
        <f t="shared" si="16"/>
        <v>0</v>
      </c>
      <c r="AO201" s="500"/>
    </row>
    <row r="202" spans="1:49" ht="13.5" hidden="1" customHeight="1">
      <c r="A202" s="484">
        <v>198</v>
      </c>
      <c r="B202" s="483" t="str">
        <f>IFERROR(VLOOKUP(C202,[1]Sheet1!$B$6:$C$52,2,0),"")</f>
        <v/>
      </c>
      <c r="C202" s="496"/>
      <c r="D202" s="495"/>
      <c r="E202" s="494"/>
      <c r="F202" s="495"/>
      <c r="G202" s="494"/>
      <c r="H202" s="480"/>
      <c r="I202" s="480"/>
      <c r="J202" s="573"/>
      <c r="K202" s="494"/>
      <c r="L202" s="495"/>
      <c r="M202" s="494"/>
      <c r="N202" s="480"/>
      <c r="O202" s="493"/>
      <c r="AF202" s="501"/>
      <c r="AG202" s="492"/>
      <c r="AH202" s="489">
        <f t="shared" si="15"/>
        <v>0</v>
      </c>
      <c r="AI202" s="491"/>
      <c r="AJ202" s="490"/>
      <c r="AK202" s="489">
        <f t="shared" si="17"/>
        <v>0</v>
      </c>
      <c r="AL202" s="489">
        <f t="shared" si="18"/>
        <v>0</v>
      </c>
      <c r="AM202" s="488">
        <f t="shared" ref="AM202:AM258" si="19">ROUNDDOWN(AL202,-3)</f>
        <v>0</v>
      </c>
      <c r="AN202" s="500">
        <f t="shared" si="16"/>
        <v>0</v>
      </c>
      <c r="AO202" s="500"/>
    </row>
    <row r="203" spans="1:49" ht="13.5" hidden="1" customHeight="1">
      <c r="A203" s="484">
        <v>199</v>
      </c>
      <c r="B203" s="483" t="str">
        <f>IFERROR(VLOOKUP(C203,[1]Sheet1!$B$6:$C$52,2,0),"")</f>
        <v/>
      </c>
      <c r="C203" s="496"/>
      <c r="D203" s="495"/>
      <c r="E203" s="494"/>
      <c r="F203" s="495"/>
      <c r="G203" s="494"/>
      <c r="H203" s="480"/>
      <c r="I203" s="480"/>
      <c r="J203" s="573"/>
      <c r="K203" s="494"/>
      <c r="L203" s="495"/>
      <c r="M203" s="494"/>
      <c r="N203" s="480"/>
      <c r="O203" s="493"/>
      <c r="AF203" s="501"/>
      <c r="AG203" s="492"/>
      <c r="AH203" s="489">
        <f t="shared" si="15"/>
        <v>0</v>
      </c>
      <c r="AI203" s="491"/>
      <c r="AJ203" s="490"/>
      <c r="AK203" s="489">
        <f t="shared" si="17"/>
        <v>0</v>
      </c>
      <c r="AL203" s="489">
        <f t="shared" si="18"/>
        <v>0</v>
      </c>
      <c r="AM203" s="488">
        <f t="shared" si="19"/>
        <v>0</v>
      </c>
      <c r="AN203" s="500">
        <f t="shared" si="16"/>
        <v>0</v>
      </c>
      <c r="AO203" s="500"/>
    </row>
    <row r="204" spans="1:49" ht="13.5" hidden="1" customHeight="1">
      <c r="A204" s="484">
        <v>200</v>
      </c>
      <c r="B204" s="483" t="str">
        <f>IFERROR(VLOOKUP(C204,[1]Sheet1!$B$6:$C$52,2,0),"")</f>
        <v/>
      </c>
      <c r="C204" s="496"/>
      <c r="D204" s="495"/>
      <c r="E204" s="494"/>
      <c r="F204" s="495"/>
      <c r="G204" s="494"/>
      <c r="H204" s="480"/>
      <c r="I204" s="480"/>
      <c r="J204" s="573"/>
      <c r="K204" s="494"/>
      <c r="L204" s="495"/>
      <c r="M204" s="494"/>
      <c r="N204" s="480"/>
      <c r="O204" s="493"/>
      <c r="AF204" s="501"/>
      <c r="AG204" s="492"/>
      <c r="AH204" s="489">
        <f t="shared" si="15"/>
        <v>0</v>
      </c>
      <c r="AI204" s="491"/>
      <c r="AJ204" s="490"/>
      <c r="AK204" s="489">
        <f t="shared" si="17"/>
        <v>0</v>
      </c>
      <c r="AL204" s="489">
        <f t="shared" si="18"/>
        <v>0</v>
      </c>
      <c r="AM204" s="488">
        <f t="shared" si="19"/>
        <v>0</v>
      </c>
      <c r="AN204" s="500">
        <f t="shared" si="16"/>
        <v>0</v>
      </c>
      <c r="AO204" s="500"/>
    </row>
    <row r="205" spans="1:49" ht="13.5" hidden="1" customHeight="1">
      <c r="A205" s="484">
        <v>201</v>
      </c>
      <c r="B205" s="483" t="str">
        <f>IFERROR(VLOOKUP(C205,[1]Sheet1!$B$6:$C$52,2,0),"")</f>
        <v/>
      </c>
      <c r="C205" s="496"/>
      <c r="D205" s="495"/>
      <c r="E205" s="494"/>
      <c r="F205" s="495"/>
      <c r="G205" s="494"/>
      <c r="H205" s="480"/>
      <c r="I205" s="480"/>
      <c r="J205" s="573"/>
      <c r="K205" s="494"/>
      <c r="L205" s="495"/>
      <c r="M205" s="494"/>
      <c r="N205" s="480"/>
      <c r="O205" s="493"/>
      <c r="AF205" s="501"/>
      <c r="AG205" s="492"/>
      <c r="AH205" s="489">
        <f t="shared" si="15"/>
        <v>0</v>
      </c>
      <c r="AI205" s="491"/>
      <c r="AJ205" s="490"/>
      <c r="AK205" s="489">
        <f t="shared" si="17"/>
        <v>0</v>
      </c>
      <c r="AL205" s="489">
        <f t="shared" si="18"/>
        <v>0</v>
      </c>
      <c r="AM205" s="488">
        <f t="shared" si="19"/>
        <v>0</v>
      </c>
      <c r="AN205" s="500">
        <f t="shared" si="16"/>
        <v>0</v>
      </c>
      <c r="AO205" s="500"/>
    </row>
    <row r="206" spans="1:49" ht="13.5" hidden="1" customHeight="1">
      <c r="A206" s="484">
        <v>202</v>
      </c>
      <c r="B206" s="483" t="str">
        <f>IFERROR(VLOOKUP(C206,[1]Sheet1!$B$6:$C$52,2,0),"")</f>
        <v/>
      </c>
      <c r="C206" s="496"/>
      <c r="D206" s="495"/>
      <c r="E206" s="494"/>
      <c r="F206" s="495"/>
      <c r="G206" s="494"/>
      <c r="H206" s="480"/>
      <c r="I206" s="480"/>
      <c r="J206" s="573"/>
      <c r="K206" s="494"/>
      <c r="L206" s="495"/>
      <c r="M206" s="494"/>
      <c r="N206" s="480"/>
      <c r="O206" s="493"/>
      <c r="AF206" s="501"/>
      <c r="AG206" s="492"/>
      <c r="AH206" s="489">
        <f t="shared" si="15"/>
        <v>0</v>
      </c>
      <c r="AI206" s="491"/>
      <c r="AJ206" s="490"/>
      <c r="AK206" s="489">
        <f t="shared" si="17"/>
        <v>0</v>
      </c>
      <c r="AL206" s="489">
        <f t="shared" si="18"/>
        <v>0</v>
      </c>
      <c r="AM206" s="488">
        <f t="shared" si="19"/>
        <v>0</v>
      </c>
      <c r="AN206" s="500">
        <f t="shared" si="16"/>
        <v>0</v>
      </c>
      <c r="AO206" s="500"/>
    </row>
    <row r="207" spans="1:49" ht="13.5" hidden="1" customHeight="1">
      <c r="A207" s="484">
        <v>203</v>
      </c>
      <c r="B207" s="483" t="str">
        <f>IFERROR(VLOOKUP(C207,[1]Sheet1!$B$6:$C$52,2,0),"")</f>
        <v/>
      </c>
      <c r="C207" s="496"/>
      <c r="D207" s="495"/>
      <c r="E207" s="494"/>
      <c r="F207" s="495"/>
      <c r="G207" s="494"/>
      <c r="H207" s="480"/>
      <c r="I207" s="480"/>
      <c r="J207" s="573"/>
      <c r="K207" s="494"/>
      <c r="L207" s="495"/>
      <c r="M207" s="494"/>
      <c r="N207" s="480"/>
      <c r="O207" s="493"/>
      <c r="AF207" s="501"/>
      <c r="AG207" s="492"/>
      <c r="AH207" s="489">
        <f t="shared" si="15"/>
        <v>0</v>
      </c>
      <c r="AI207" s="491"/>
      <c r="AJ207" s="490"/>
      <c r="AK207" s="489">
        <f t="shared" si="17"/>
        <v>0</v>
      </c>
      <c r="AL207" s="489">
        <f t="shared" si="18"/>
        <v>0</v>
      </c>
      <c r="AM207" s="488">
        <f t="shared" si="19"/>
        <v>0</v>
      </c>
      <c r="AN207" s="500">
        <f t="shared" si="16"/>
        <v>0</v>
      </c>
      <c r="AO207" s="500"/>
    </row>
    <row r="208" spans="1:49" ht="13.5" hidden="1" customHeight="1">
      <c r="A208" s="484">
        <v>204</v>
      </c>
      <c r="B208" s="483" t="str">
        <f>IFERROR(VLOOKUP(C208,[1]Sheet1!$B$6:$C$52,2,0),"")</f>
        <v/>
      </c>
      <c r="C208" s="496"/>
      <c r="D208" s="495"/>
      <c r="E208" s="494"/>
      <c r="F208" s="495"/>
      <c r="G208" s="494"/>
      <c r="H208" s="480"/>
      <c r="I208" s="480"/>
      <c r="J208" s="573"/>
      <c r="K208" s="494"/>
      <c r="L208" s="495"/>
      <c r="M208" s="494"/>
      <c r="N208" s="480"/>
      <c r="O208" s="493"/>
      <c r="AF208" s="501"/>
      <c r="AG208" s="492"/>
      <c r="AH208" s="489">
        <f t="shared" si="15"/>
        <v>0</v>
      </c>
      <c r="AI208" s="491"/>
      <c r="AJ208" s="490"/>
      <c r="AK208" s="489">
        <f t="shared" si="17"/>
        <v>0</v>
      </c>
      <c r="AL208" s="489">
        <f t="shared" si="18"/>
        <v>0</v>
      </c>
      <c r="AM208" s="488">
        <f t="shared" si="19"/>
        <v>0</v>
      </c>
      <c r="AN208" s="500">
        <f t="shared" si="16"/>
        <v>0</v>
      </c>
      <c r="AO208" s="500"/>
      <c r="AS208" s="511" t="s">
        <v>816</v>
      </c>
      <c r="AT208" s="510" t="s">
        <v>817</v>
      </c>
      <c r="AU208" s="510" t="s">
        <v>818</v>
      </c>
      <c r="AV208" s="509" t="s">
        <v>819</v>
      </c>
      <c r="AW208" s="508" t="s">
        <v>774</v>
      </c>
    </row>
    <row r="209" spans="1:49" ht="13.5" hidden="1" customHeight="1">
      <c r="A209" s="484">
        <v>205</v>
      </c>
      <c r="B209" s="483" t="str">
        <f>IFERROR(VLOOKUP(C209,[1]Sheet1!$B$6:$C$52,2,0),"")</f>
        <v/>
      </c>
      <c r="C209" s="496"/>
      <c r="D209" s="495"/>
      <c r="E209" s="494"/>
      <c r="F209" s="495"/>
      <c r="G209" s="494"/>
      <c r="H209" s="480"/>
      <c r="I209" s="480"/>
      <c r="J209" s="573"/>
      <c r="K209" s="494"/>
      <c r="L209" s="495"/>
      <c r="M209" s="494"/>
      <c r="N209" s="480"/>
      <c r="O209" s="493"/>
      <c r="AF209" s="501"/>
      <c r="AG209" s="492"/>
      <c r="AH209" s="489">
        <f t="shared" si="15"/>
        <v>0</v>
      </c>
      <c r="AI209" s="491"/>
      <c r="AJ209" s="490"/>
      <c r="AK209" s="489">
        <f t="shared" si="17"/>
        <v>0</v>
      </c>
      <c r="AL209" s="489">
        <f t="shared" si="18"/>
        <v>0</v>
      </c>
      <c r="AM209" s="488">
        <f t="shared" si="19"/>
        <v>0</v>
      </c>
      <c r="AN209" s="500">
        <f t="shared" si="16"/>
        <v>0</v>
      </c>
      <c r="AO209" s="500"/>
      <c r="AS209" s="503" t="s">
        <v>820</v>
      </c>
      <c r="AT209" s="486">
        <f>SUMIF($C$5:$C$304,"北海道",AM5:AM304)</f>
        <v>0</v>
      </c>
      <c r="AU209" s="507">
        <f>SUMIF(C5:C304,"北海道",AN5:AN304)</f>
        <v>0</v>
      </c>
      <c r="AV209" s="502">
        <f>COUNTIF(C5:C304,"北海道")</f>
        <v>0</v>
      </c>
      <c r="AW209" s="497">
        <v>1</v>
      </c>
    </row>
    <row r="210" spans="1:49" ht="13.5" hidden="1" customHeight="1">
      <c r="A210" s="484">
        <v>206</v>
      </c>
      <c r="B210" s="483" t="str">
        <f>IFERROR(VLOOKUP(C210,[1]Sheet1!$B$6:$C$52,2,0),"")</f>
        <v/>
      </c>
      <c r="C210" s="496"/>
      <c r="D210" s="495"/>
      <c r="E210" s="494"/>
      <c r="F210" s="495"/>
      <c r="G210" s="494"/>
      <c r="H210" s="480"/>
      <c r="I210" s="480"/>
      <c r="J210" s="573"/>
      <c r="K210" s="494"/>
      <c r="L210" s="495"/>
      <c r="M210" s="494"/>
      <c r="N210" s="480"/>
      <c r="O210" s="493"/>
      <c r="AF210" s="501"/>
      <c r="AG210" s="492"/>
      <c r="AH210" s="489">
        <f t="shared" si="15"/>
        <v>0</v>
      </c>
      <c r="AI210" s="491"/>
      <c r="AJ210" s="490"/>
      <c r="AK210" s="489">
        <f t="shared" si="17"/>
        <v>0</v>
      </c>
      <c r="AL210" s="489">
        <f t="shared" si="18"/>
        <v>0</v>
      </c>
      <c r="AM210" s="488">
        <f t="shared" si="19"/>
        <v>0</v>
      </c>
      <c r="AN210" s="500">
        <f t="shared" si="16"/>
        <v>0</v>
      </c>
      <c r="AO210" s="500"/>
      <c r="AS210" s="503" t="s">
        <v>821</v>
      </c>
      <c r="AT210" s="486">
        <f>SUMIF(C5:C304,"青森県",AM5:AM304)</f>
        <v>0</v>
      </c>
      <c r="AU210" s="502">
        <f>SUMIF(C5:C304,"青森県",AN5:AN304)</f>
        <v>0</v>
      </c>
      <c r="AV210" s="502">
        <f>COUNTIF(C5:C304,"青森県")</f>
        <v>0</v>
      </c>
      <c r="AW210" s="497">
        <v>2</v>
      </c>
    </row>
    <row r="211" spans="1:49" ht="13.5" hidden="1" customHeight="1">
      <c r="A211" s="484">
        <v>207</v>
      </c>
      <c r="B211" s="483" t="str">
        <f>IFERROR(VLOOKUP(C211,[1]Sheet1!$B$6:$C$52,2,0),"")</f>
        <v/>
      </c>
      <c r="C211" s="496"/>
      <c r="D211" s="495"/>
      <c r="E211" s="494"/>
      <c r="F211" s="495"/>
      <c r="G211" s="494"/>
      <c r="H211" s="480"/>
      <c r="I211" s="480"/>
      <c r="J211" s="573"/>
      <c r="K211" s="494"/>
      <c r="L211" s="495"/>
      <c r="M211" s="494"/>
      <c r="N211" s="480"/>
      <c r="O211" s="493"/>
      <c r="AF211" s="501"/>
      <c r="AG211" s="492"/>
      <c r="AH211" s="489">
        <f t="shared" si="15"/>
        <v>0</v>
      </c>
      <c r="AI211" s="491"/>
      <c r="AJ211" s="490"/>
      <c r="AK211" s="489">
        <f t="shared" si="17"/>
        <v>0</v>
      </c>
      <c r="AL211" s="489">
        <f t="shared" si="18"/>
        <v>0</v>
      </c>
      <c r="AM211" s="488">
        <f t="shared" si="19"/>
        <v>0</v>
      </c>
      <c r="AN211" s="500">
        <f t="shared" si="16"/>
        <v>0</v>
      </c>
      <c r="AO211" s="500"/>
      <c r="AS211" s="503" t="s">
        <v>822</v>
      </c>
      <c r="AT211" s="486">
        <f>SUMIF(C5:C304,"岩手県",AM5:AM304)</f>
        <v>0</v>
      </c>
      <c r="AU211" s="502">
        <f>SUMIF(C5:C304,"岩手県",AN5:AN304)</f>
        <v>0</v>
      </c>
      <c r="AV211" s="502">
        <f>COUNTIF(C5:C304,"岩手県")</f>
        <v>0</v>
      </c>
      <c r="AW211" s="497">
        <v>3</v>
      </c>
    </row>
    <row r="212" spans="1:49" ht="13.5" hidden="1" customHeight="1">
      <c r="A212" s="484">
        <v>208</v>
      </c>
      <c r="B212" s="483" t="str">
        <f>IFERROR(VLOOKUP(C212,[1]Sheet1!$B$6:$C$52,2,0),"")</f>
        <v/>
      </c>
      <c r="C212" s="496"/>
      <c r="D212" s="495"/>
      <c r="E212" s="494"/>
      <c r="F212" s="495"/>
      <c r="G212" s="494"/>
      <c r="H212" s="480"/>
      <c r="I212" s="480"/>
      <c r="J212" s="573"/>
      <c r="K212" s="494"/>
      <c r="L212" s="495"/>
      <c r="M212" s="494"/>
      <c r="N212" s="480"/>
      <c r="O212" s="493"/>
      <c r="AF212" s="501"/>
      <c r="AG212" s="492"/>
      <c r="AH212" s="489">
        <f t="shared" si="15"/>
        <v>0</v>
      </c>
      <c r="AI212" s="491"/>
      <c r="AJ212" s="490"/>
      <c r="AK212" s="489">
        <f t="shared" si="17"/>
        <v>0</v>
      </c>
      <c r="AL212" s="489">
        <f t="shared" si="18"/>
        <v>0</v>
      </c>
      <c r="AM212" s="488">
        <f t="shared" si="19"/>
        <v>0</v>
      </c>
      <c r="AN212" s="500">
        <f t="shared" si="16"/>
        <v>0</v>
      </c>
      <c r="AO212" s="500"/>
      <c r="AS212" s="503" t="s">
        <v>823</v>
      </c>
      <c r="AT212" s="486">
        <f ca="1">SUMIF(C5:C304,"宮城県",AM5:AM258)</f>
        <v>0</v>
      </c>
      <c r="AU212" s="505">
        <f>SUMIF(C5:C304,"宮城県",AN5:AN304)</f>
        <v>0</v>
      </c>
      <c r="AV212" s="502">
        <f>COUNTIF(C5:C304,"宮城県")</f>
        <v>0</v>
      </c>
      <c r="AW212" s="497">
        <v>4</v>
      </c>
    </row>
    <row r="213" spans="1:49" ht="13.5" hidden="1" customHeight="1">
      <c r="A213" s="484">
        <v>209</v>
      </c>
      <c r="B213" s="483" t="str">
        <f>IFERROR(VLOOKUP(C213,[1]Sheet1!$B$6:$C$52,2,0),"")</f>
        <v/>
      </c>
      <c r="C213" s="496"/>
      <c r="D213" s="495"/>
      <c r="E213" s="494"/>
      <c r="F213" s="495"/>
      <c r="G213" s="494"/>
      <c r="H213" s="480"/>
      <c r="I213" s="480"/>
      <c r="J213" s="573"/>
      <c r="K213" s="494"/>
      <c r="L213" s="495"/>
      <c r="M213" s="494"/>
      <c r="N213" s="480"/>
      <c r="O213" s="493"/>
      <c r="AF213" s="501"/>
      <c r="AG213" s="492"/>
      <c r="AH213" s="489">
        <f t="shared" si="15"/>
        <v>0</v>
      </c>
      <c r="AI213" s="491"/>
      <c r="AJ213" s="490"/>
      <c r="AK213" s="489">
        <f t="shared" si="17"/>
        <v>0</v>
      </c>
      <c r="AL213" s="489">
        <f t="shared" si="18"/>
        <v>0</v>
      </c>
      <c r="AM213" s="488">
        <f t="shared" si="19"/>
        <v>0</v>
      </c>
      <c r="AN213" s="500">
        <f t="shared" si="16"/>
        <v>0</v>
      </c>
      <c r="AO213" s="500"/>
      <c r="AS213" s="503" t="s">
        <v>824</v>
      </c>
      <c r="AT213" s="486">
        <f>SUMIF(C5:C304,"秋田県",AM5:AM304)</f>
        <v>0</v>
      </c>
      <c r="AU213" s="502">
        <f>SUMIF(C5:C258,"秋田県",AN5:AN258)</f>
        <v>0</v>
      </c>
      <c r="AV213" s="502">
        <f>COUNTIF(C5:C304,"秋田県")</f>
        <v>0</v>
      </c>
      <c r="AW213" s="497">
        <v>5</v>
      </c>
    </row>
    <row r="214" spans="1:49" ht="13.5" hidden="1" customHeight="1">
      <c r="A214" s="484">
        <v>210</v>
      </c>
      <c r="B214" s="483" t="str">
        <f>IFERROR(VLOOKUP(C214,[1]Sheet1!$B$6:$C$52,2,0),"")</f>
        <v/>
      </c>
      <c r="C214" s="496"/>
      <c r="D214" s="495"/>
      <c r="E214" s="494"/>
      <c r="F214" s="495"/>
      <c r="G214" s="494"/>
      <c r="H214" s="480"/>
      <c r="I214" s="480"/>
      <c r="J214" s="573"/>
      <c r="K214" s="494"/>
      <c r="L214" s="495"/>
      <c r="M214" s="494"/>
      <c r="N214" s="480"/>
      <c r="O214" s="493"/>
      <c r="AF214" s="501"/>
      <c r="AG214" s="492"/>
      <c r="AH214" s="489">
        <f t="shared" si="15"/>
        <v>0</v>
      </c>
      <c r="AI214" s="491"/>
      <c r="AJ214" s="490"/>
      <c r="AK214" s="489">
        <f t="shared" si="17"/>
        <v>0</v>
      </c>
      <c r="AL214" s="489">
        <f t="shared" si="18"/>
        <v>0</v>
      </c>
      <c r="AM214" s="488">
        <f t="shared" si="19"/>
        <v>0</v>
      </c>
      <c r="AN214" s="500">
        <f t="shared" si="16"/>
        <v>0</v>
      </c>
      <c r="AO214" s="500"/>
      <c r="AS214" s="503" t="s">
        <v>825</v>
      </c>
      <c r="AT214" s="486">
        <f>SUMIF(C5:C304,"山形県",AM5:AM304)</f>
        <v>0</v>
      </c>
      <c r="AU214" s="505">
        <f>SUMIF(C5:C304,"山形県",AN5:AN304)</f>
        <v>0</v>
      </c>
      <c r="AV214" s="502">
        <f>COUNTIF(C5:C304,"山形県")</f>
        <v>0</v>
      </c>
      <c r="AW214" s="497">
        <v>6</v>
      </c>
    </row>
    <row r="215" spans="1:49" ht="13.5" hidden="1" customHeight="1">
      <c r="A215" s="484">
        <v>211</v>
      </c>
      <c r="B215" s="483" t="str">
        <f>IFERROR(VLOOKUP(C215,[1]Sheet1!$B$6:$C$52,2,0),"")</f>
        <v/>
      </c>
      <c r="C215" s="496"/>
      <c r="D215" s="495"/>
      <c r="E215" s="494"/>
      <c r="F215" s="495"/>
      <c r="G215" s="494"/>
      <c r="H215" s="480"/>
      <c r="I215" s="480"/>
      <c r="J215" s="573"/>
      <c r="K215" s="494"/>
      <c r="L215" s="495"/>
      <c r="M215" s="494"/>
      <c r="N215" s="480"/>
      <c r="O215" s="493"/>
      <c r="AF215" s="501"/>
      <c r="AG215" s="492"/>
      <c r="AH215" s="489">
        <f t="shared" si="15"/>
        <v>0</v>
      </c>
      <c r="AI215" s="491"/>
      <c r="AJ215" s="490"/>
      <c r="AK215" s="489">
        <f t="shared" si="17"/>
        <v>0</v>
      </c>
      <c r="AL215" s="489">
        <f t="shared" si="18"/>
        <v>0</v>
      </c>
      <c r="AM215" s="488">
        <f t="shared" si="19"/>
        <v>0</v>
      </c>
      <c r="AN215" s="500">
        <f t="shared" si="16"/>
        <v>0</v>
      </c>
      <c r="AO215" s="500"/>
      <c r="AS215" s="503" t="s">
        <v>826</v>
      </c>
      <c r="AT215" s="486">
        <f>SUMIF(C5:C304,"福島県",AM5:AM304)</f>
        <v>0</v>
      </c>
      <c r="AU215" s="502">
        <f>SUMIF(C5:C304,"福島県",AN5:AN304)</f>
        <v>0</v>
      </c>
      <c r="AV215" s="502">
        <f>COUNTIF(C5:C304,"福島県")</f>
        <v>0</v>
      </c>
      <c r="AW215" s="497">
        <v>7</v>
      </c>
    </row>
    <row r="216" spans="1:49" ht="13.5" hidden="1" customHeight="1">
      <c r="A216" s="484">
        <v>212</v>
      </c>
      <c r="B216" s="483" t="str">
        <f>IFERROR(VLOOKUP(C216,[1]Sheet1!$B$6:$C$52,2,0),"")</f>
        <v/>
      </c>
      <c r="C216" s="496"/>
      <c r="D216" s="495"/>
      <c r="E216" s="494"/>
      <c r="F216" s="495"/>
      <c r="G216" s="494"/>
      <c r="H216" s="480"/>
      <c r="I216" s="480"/>
      <c r="J216" s="573"/>
      <c r="K216" s="494"/>
      <c r="L216" s="495"/>
      <c r="M216" s="494"/>
      <c r="N216" s="480"/>
      <c r="O216" s="493"/>
      <c r="AF216" s="501"/>
      <c r="AG216" s="492"/>
      <c r="AH216" s="489">
        <f t="shared" si="15"/>
        <v>0</v>
      </c>
      <c r="AI216" s="491"/>
      <c r="AJ216" s="490"/>
      <c r="AK216" s="489">
        <f t="shared" si="17"/>
        <v>0</v>
      </c>
      <c r="AL216" s="489">
        <f t="shared" si="18"/>
        <v>0</v>
      </c>
      <c r="AM216" s="488">
        <f t="shared" si="19"/>
        <v>0</v>
      </c>
      <c r="AN216" s="500">
        <f t="shared" si="16"/>
        <v>0</v>
      </c>
      <c r="AO216" s="500"/>
      <c r="AS216" s="503" t="s">
        <v>827</v>
      </c>
      <c r="AT216" s="486">
        <f>SUMIF(C5:C304,"茨城県",AM5:AM304)</f>
        <v>0</v>
      </c>
      <c r="AU216" s="502">
        <f>SUMIF(C5:C304,"茨城県",AN5:AN304)</f>
        <v>0</v>
      </c>
      <c r="AV216" s="502">
        <f>COUNTIF(C5:C304,"茨城県")</f>
        <v>0</v>
      </c>
      <c r="AW216" s="497">
        <v>8</v>
      </c>
    </row>
    <row r="217" spans="1:49" ht="13.5" hidden="1" customHeight="1">
      <c r="A217" s="484">
        <v>213</v>
      </c>
      <c r="B217" s="483" t="str">
        <f>IFERROR(VLOOKUP(C217,[1]Sheet1!$B$6:$C$52,2,0),"")</f>
        <v/>
      </c>
      <c r="C217" s="496"/>
      <c r="D217" s="495"/>
      <c r="E217" s="494"/>
      <c r="F217" s="495"/>
      <c r="G217" s="494"/>
      <c r="H217" s="480"/>
      <c r="I217" s="480"/>
      <c r="J217" s="573"/>
      <c r="K217" s="494"/>
      <c r="L217" s="495"/>
      <c r="M217" s="494"/>
      <c r="N217" s="480"/>
      <c r="O217" s="493"/>
      <c r="AF217" s="501"/>
      <c r="AG217" s="492"/>
      <c r="AH217" s="489">
        <f t="shared" si="15"/>
        <v>0</v>
      </c>
      <c r="AI217" s="491"/>
      <c r="AJ217" s="490"/>
      <c r="AK217" s="489">
        <f t="shared" si="17"/>
        <v>0</v>
      </c>
      <c r="AL217" s="489">
        <f t="shared" si="18"/>
        <v>0</v>
      </c>
      <c r="AM217" s="488">
        <f t="shared" si="19"/>
        <v>0</v>
      </c>
      <c r="AN217" s="500">
        <f t="shared" si="16"/>
        <v>0</v>
      </c>
      <c r="AO217" s="500"/>
      <c r="AS217" s="503" t="s">
        <v>828</v>
      </c>
      <c r="AT217" s="486">
        <f>SUMIF(C5:C304,"栃木県",AM5:AM304)</f>
        <v>0</v>
      </c>
      <c r="AU217" s="502">
        <f>SUMIF(C5:C304,"栃木県",AN5:AN304)</f>
        <v>0</v>
      </c>
      <c r="AV217" s="502">
        <f>COUNTIF(C5:C304,"栃木県")</f>
        <v>0</v>
      </c>
      <c r="AW217" s="497">
        <v>9</v>
      </c>
    </row>
    <row r="218" spans="1:49" ht="13.5" hidden="1" customHeight="1">
      <c r="A218" s="484">
        <v>214</v>
      </c>
      <c r="B218" s="483" t="str">
        <f>IFERROR(VLOOKUP(C218,[1]Sheet1!$B$6:$C$52,2,0),"")</f>
        <v/>
      </c>
      <c r="C218" s="496"/>
      <c r="D218" s="495"/>
      <c r="E218" s="494"/>
      <c r="F218" s="495"/>
      <c r="G218" s="494"/>
      <c r="H218" s="480"/>
      <c r="I218" s="480"/>
      <c r="J218" s="573"/>
      <c r="K218" s="494"/>
      <c r="L218" s="495"/>
      <c r="M218" s="494"/>
      <c r="N218" s="480"/>
      <c r="O218" s="493"/>
      <c r="AF218" s="501"/>
      <c r="AG218" s="492"/>
      <c r="AH218" s="489">
        <f t="shared" si="15"/>
        <v>0</v>
      </c>
      <c r="AI218" s="491"/>
      <c r="AJ218" s="490"/>
      <c r="AK218" s="489">
        <f t="shared" si="17"/>
        <v>0</v>
      </c>
      <c r="AL218" s="489">
        <f t="shared" si="18"/>
        <v>0</v>
      </c>
      <c r="AM218" s="488">
        <f t="shared" si="19"/>
        <v>0</v>
      </c>
      <c r="AN218" s="500">
        <f t="shared" si="16"/>
        <v>0</v>
      </c>
      <c r="AO218" s="500"/>
      <c r="AS218" s="503" t="s">
        <v>829</v>
      </c>
      <c r="AT218" s="486">
        <f>SUMIF(C5:C304,"群馬県",AM5:AM304)</f>
        <v>0</v>
      </c>
      <c r="AU218" s="486">
        <f>SUMIF(C5:C304,"群馬県",AN5:AN304)</f>
        <v>0</v>
      </c>
      <c r="AV218" s="502">
        <f>COUNTIF(C5:C304,"群馬県")</f>
        <v>0</v>
      </c>
      <c r="AW218" s="497">
        <v>10</v>
      </c>
    </row>
    <row r="219" spans="1:49" ht="13.5" hidden="1" customHeight="1">
      <c r="A219" s="484">
        <v>215</v>
      </c>
      <c r="B219" s="483" t="str">
        <f>IFERROR(VLOOKUP(C219,[1]Sheet1!$B$6:$C$52,2,0),"")</f>
        <v/>
      </c>
      <c r="C219" s="496"/>
      <c r="D219" s="495"/>
      <c r="E219" s="494"/>
      <c r="F219" s="495"/>
      <c r="G219" s="494"/>
      <c r="H219" s="480"/>
      <c r="I219" s="480"/>
      <c r="J219" s="573"/>
      <c r="K219" s="494"/>
      <c r="L219" s="495"/>
      <c r="M219" s="494"/>
      <c r="N219" s="480"/>
      <c r="O219" s="493"/>
      <c r="AF219" s="501"/>
      <c r="AG219" s="492"/>
      <c r="AH219" s="489">
        <f t="shared" si="15"/>
        <v>0</v>
      </c>
      <c r="AI219" s="491"/>
      <c r="AJ219" s="490"/>
      <c r="AK219" s="489">
        <f t="shared" si="17"/>
        <v>0</v>
      </c>
      <c r="AL219" s="489">
        <f t="shared" si="18"/>
        <v>0</v>
      </c>
      <c r="AM219" s="488">
        <f t="shared" si="19"/>
        <v>0</v>
      </c>
      <c r="AN219" s="500">
        <f t="shared" si="16"/>
        <v>0</v>
      </c>
      <c r="AO219" s="500"/>
      <c r="AS219" s="503" t="s">
        <v>830</v>
      </c>
      <c r="AT219" s="486">
        <f>SUMIF(C5:C304,"埼玉県",AM5:AM304)</f>
        <v>0</v>
      </c>
      <c r="AU219" s="505">
        <f>SUMIF(C5:C304,"埼玉県",AN5:AN304)</f>
        <v>0</v>
      </c>
      <c r="AV219" s="502">
        <f>COUNTIF(C5:C304,"埼玉県")</f>
        <v>0</v>
      </c>
      <c r="AW219" s="497">
        <v>11</v>
      </c>
    </row>
    <row r="220" spans="1:49" ht="13.5" hidden="1" customHeight="1">
      <c r="A220" s="484">
        <v>216</v>
      </c>
      <c r="B220" s="483" t="str">
        <f>IFERROR(VLOOKUP(C220,[1]Sheet1!$B$6:$C$52,2,0),"")</f>
        <v/>
      </c>
      <c r="C220" s="496"/>
      <c r="D220" s="495"/>
      <c r="E220" s="494"/>
      <c r="F220" s="495"/>
      <c r="G220" s="494"/>
      <c r="H220" s="480"/>
      <c r="I220" s="480"/>
      <c r="J220" s="573"/>
      <c r="K220" s="494"/>
      <c r="L220" s="495"/>
      <c r="M220" s="494"/>
      <c r="N220" s="480"/>
      <c r="O220" s="493"/>
      <c r="AF220" s="501"/>
      <c r="AG220" s="492"/>
      <c r="AH220" s="489">
        <f t="shared" si="15"/>
        <v>0</v>
      </c>
      <c r="AI220" s="491"/>
      <c r="AJ220" s="490"/>
      <c r="AK220" s="489">
        <f t="shared" ref="AK220" si="20">MIN(AI220,AJ220)</f>
        <v>0</v>
      </c>
      <c r="AL220" s="489">
        <f t="shared" ref="AL220" si="21">MIN(AH220,AK220)</f>
        <v>0</v>
      </c>
      <c r="AM220" s="488">
        <f t="shared" ref="AM220" si="22">ROUNDDOWN(AL220,-3)</f>
        <v>0</v>
      </c>
      <c r="AN220" s="500">
        <f t="shared" ref="AN220" si="23">ROUNDUP(AM220*$AM$261,-3)</f>
        <v>0</v>
      </c>
      <c r="AO220" s="500"/>
      <c r="AS220" s="503"/>
      <c r="AT220" s="486"/>
      <c r="AU220" s="505"/>
      <c r="AV220" s="502"/>
      <c r="AW220" s="497"/>
    </row>
    <row r="221" spans="1:49" ht="13.5" hidden="1" customHeight="1">
      <c r="A221" s="484">
        <v>217</v>
      </c>
      <c r="B221" s="483" t="str">
        <f>IFERROR(VLOOKUP(C221,[1]Sheet1!$B$6:$C$52,2,0),"")</f>
        <v/>
      </c>
      <c r="C221" s="496"/>
      <c r="D221" s="495"/>
      <c r="E221" s="494"/>
      <c r="F221" s="495"/>
      <c r="G221" s="494"/>
      <c r="H221" s="480"/>
      <c r="I221" s="480"/>
      <c r="J221" s="573"/>
      <c r="K221" s="494"/>
      <c r="L221" s="495"/>
      <c r="M221" s="494"/>
      <c r="N221" s="480"/>
      <c r="O221" s="493"/>
      <c r="AF221" s="501"/>
      <c r="AG221" s="492"/>
      <c r="AH221" s="489">
        <f t="shared" si="15"/>
        <v>0</v>
      </c>
      <c r="AI221" s="491"/>
      <c r="AJ221" s="490"/>
      <c r="AK221" s="489">
        <f t="shared" si="17"/>
        <v>0</v>
      </c>
      <c r="AL221" s="489">
        <f t="shared" si="18"/>
        <v>0</v>
      </c>
      <c r="AM221" s="488">
        <f t="shared" si="19"/>
        <v>0</v>
      </c>
      <c r="AN221" s="500">
        <f t="shared" si="16"/>
        <v>0</v>
      </c>
      <c r="AO221" s="500"/>
      <c r="AS221" s="503" t="s">
        <v>831</v>
      </c>
      <c r="AT221" s="486">
        <f>SUMIF(C5:C304,"千葉県",AM5:AM304)</f>
        <v>0</v>
      </c>
      <c r="AU221" s="502">
        <f>SUMIF(C5:C304,"千葉県",AN5:AN304)</f>
        <v>0</v>
      </c>
      <c r="AV221" s="502">
        <f>COUNTIF(C5:C304,"千葉県")</f>
        <v>0</v>
      </c>
      <c r="AW221" s="497">
        <v>12</v>
      </c>
    </row>
    <row r="222" spans="1:49" ht="13.5" hidden="1" customHeight="1">
      <c r="A222" s="484">
        <v>218</v>
      </c>
      <c r="B222" s="483" t="str">
        <f>IFERROR(VLOOKUP(C222,[1]Sheet1!$B$6:$C$52,2,0),"")</f>
        <v/>
      </c>
      <c r="C222" s="496"/>
      <c r="D222" s="495"/>
      <c r="E222" s="494"/>
      <c r="F222" s="495"/>
      <c r="G222" s="494"/>
      <c r="H222" s="480"/>
      <c r="I222" s="480"/>
      <c r="J222" s="573"/>
      <c r="K222" s="494"/>
      <c r="L222" s="495"/>
      <c r="M222" s="494"/>
      <c r="N222" s="480"/>
      <c r="O222" s="493"/>
      <c r="AF222" s="501"/>
      <c r="AG222" s="492"/>
      <c r="AH222" s="489">
        <f t="shared" si="15"/>
        <v>0</v>
      </c>
      <c r="AI222" s="491"/>
      <c r="AJ222" s="490"/>
      <c r="AK222" s="489">
        <f t="shared" si="17"/>
        <v>0</v>
      </c>
      <c r="AL222" s="489">
        <f t="shared" si="18"/>
        <v>0</v>
      </c>
      <c r="AM222" s="488">
        <f t="shared" si="19"/>
        <v>0</v>
      </c>
      <c r="AN222" s="500">
        <f t="shared" si="16"/>
        <v>0</v>
      </c>
      <c r="AO222" s="500"/>
      <c r="AS222" s="503" t="s">
        <v>832</v>
      </c>
      <c r="AT222" s="486">
        <f>SUMIF(C5:C304,"東京都",AM5:AM304)</f>
        <v>0</v>
      </c>
      <c r="AU222" s="502">
        <f>SUMIF(C5:C304,"東京都",AN5:AN304)</f>
        <v>0</v>
      </c>
      <c r="AV222" s="502">
        <f>COUNTIF(C5:C304,"東京都")</f>
        <v>0</v>
      </c>
      <c r="AW222" s="497">
        <v>13</v>
      </c>
    </row>
    <row r="223" spans="1:49" ht="13.5" hidden="1" customHeight="1">
      <c r="A223" s="484">
        <v>219</v>
      </c>
      <c r="B223" s="483" t="str">
        <f>IFERROR(VLOOKUP(C223,[1]Sheet1!$B$6:$C$52,2,0),"")</f>
        <v/>
      </c>
      <c r="C223" s="496"/>
      <c r="D223" s="495"/>
      <c r="E223" s="494"/>
      <c r="F223" s="495"/>
      <c r="G223" s="494"/>
      <c r="H223" s="480"/>
      <c r="I223" s="480"/>
      <c r="J223" s="573"/>
      <c r="K223" s="494"/>
      <c r="L223" s="495"/>
      <c r="M223" s="494"/>
      <c r="N223" s="480"/>
      <c r="O223" s="493"/>
      <c r="AF223" s="501"/>
      <c r="AG223" s="492"/>
      <c r="AH223" s="489">
        <f t="shared" si="15"/>
        <v>0</v>
      </c>
      <c r="AI223" s="491"/>
      <c r="AJ223" s="490"/>
      <c r="AK223" s="489">
        <f t="shared" si="17"/>
        <v>0</v>
      </c>
      <c r="AL223" s="489">
        <f t="shared" si="18"/>
        <v>0</v>
      </c>
      <c r="AM223" s="488">
        <f t="shared" si="19"/>
        <v>0</v>
      </c>
      <c r="AN223" s="500">
        <f t="shared" si="16"/>
        <v>0</v>
      </c>
      <c r="AO223" s="500"/>
      <c r="AS223" s="503" t="s">
        <v>833</v>
      </c>
      <c r="AT223" s="486">
        <f>SUMIF(C5:C304,"神奈川県",AM5:AM304)</f>
        <v>0</v>
      </c>
      <c r="AU223" s="505">
        <f>SUMIF(C5:C304,"神奈川県",AN5:AN304)</f>
        <v>0</v>
      </c>
      <c r="AV223" s="502">
        <f>COUNTIF(C5:C304,"神奈川県")</f>
        <v>0</v>
      </c>
      <c r="AW223" s="497">
        <v>14</v>
      </c>
    </row>
    <row r="224" spans="1:49" ht="13.5" hidden="1" customHeight="1">
      <c r="A224" s="484">
        <v>220</v>
      </c>
      <c r="B224" s="483" t="str">
        <f>IFERROR(VLOOKUP(C224,[1]Sheet1!$B$6:$C$52,2,0),"")</f>
        <v/>
      </c>
      <c r="C224" s="496"/>
      <c r="D224" s="495"/>
      <c r="E224" s="494"/>
      <c r="F224" s="495"/>
      <c r="G224" s="494"/>
      <c r="H224" s="480"/>
      <c r="I224" s="480"/>
      <c r="J224" s="573"/>
      <c r="K224" s="494"/>
      <c r="L224" s="495"/>
      <c r="M224" s="494"/>
      <c r="N224" s="480"/>
      <c r="O224" s="493"/>
      <c r="AF224" s="501"/>
      <c r="AG224" s="492"/>
      <c r="AH224" s="489">
        <f t="shared" si="15"/>
        <v>0</v>
      </c>
      <c r="AI224" s="491"/>
      <c r="AJ224" s="490"/>
      <c r="AK224" s="489">
        <f t="shared" si="17"/>
        <v>0</v>
      </c>
      <c r="AL224" s="489">
        <f t="shared" si="18"/>
        <v>0</v>
      </c>
      <c r="AM224" s="488">
        <f t="shared" si="19"/>
        <v>0</v>
      </c>
      <c r="AN224" s="500">
        <f t="shared" si="16"/>
        <v>0</v>
      </c>
      <c r="AO224" s="500"/>
      <c r="AS224" s="503" t="s">
        <v>834</v>
      </c>
      <c r="AT224" s="486">
        <f>SUMIF(C5:C304,"新潟県",AM5:AM304)</f>
        <v>0</v>
      </c>
      <c r="AU224" s="502">
        <f>SUMIF(C5:C304,"新潟県",AN5:AN304)</f>
        <v>0</v>
      </c>
      <c r="AV224" s="502">
        <f>COUNTIF(C5:C304,"新潟県")</f>
        <v>0</v>
      </c>
      <c r="AW224" s="497">
        <v>15</v>
      </c>
    </row>
    <row r="225" spans="1:49" ht="13.5" hidden="1" customHeight="1">
      <c r="A225" s="484">
        <v>221</v>
      </c>
      <c r="B225" s="483" t="str">
        <f>IFERROR(VLOOKUP(C225,[1]Sheet1!$B$6:$C$52,2,0),"")</f>
        <v/>
      </c>
      <c r="C225" s="496"/>
      <c r="D225" s="495"/>
      <c r="E225" s="494"/>
      <c r="F225" s="495"/>
      <c r="G225" s="494"/>
      <c r="H225" s="480"/>
      <c r="I225" s="480"/>
      <c r="J225" s="573"/>
      <c r="K225" s="494"/>
      <c r="L225" s="495"/>
      <c r="M225" s="494"/>
      <c r="N225" s="480"/>
      <c r="O225" s="493"/>
      <c r="AF225" s="501"/>
      <c r="AG225" s="492"/>
      <c r="AH225" s="489">
        <f t="shared" si="15"/>
        <v>0</v>
      </c>
      <c r="AI225" s="491"/>
      <c r="AJ225" s="490"/>
      <c r="AK225" s="489">
        <f t="shared" si="17"/>
        <v>0</v>
      </c>
      <c r="AL225" s="489">
        <f t="shared" si="18"/>
        <v>0</v>
      </c>
      <c r="AM225" s="488">
        <f t="shared" si="19"/>
        <v>0</v>
      </c>
      <c r="AN225" s="500">
        <f t="shared" si="16"/>
        <v>0</v>
      </c>
      <c r="AO225" s="500"/>
      <c r="AS225" s="503" t="s">
        <v>835</v>
      </c>
      <c r="AT225" s="486">
        <f>SUMIF(C5:C304,"富山県",AM5:AM304)</f>
        <v>0</v>
      </c>
      <c r="AU225" s="502">
        <f>SUMIF(C5:C304,"富山県",AN5:AN304)</f>
        <v>0</v>
      </c>
      <c r="AV225" s="502">
        <f>COUNTIF(C5:C304,"富山県")</f>
        <v>0</v>
      </c>
      <c r="AW225" s="497">
        <v>16</v>
      </c>
    </row>
    <row r="226" spans="1:49" ht="13.5" hidden="1" customHeight="1">
      <c r="A226" s="484">
        <v>222</v>
      </c>
      <c r="B226" s="483" t="str">
        <f>IFERROR(VLOOKUP(C226,[1]Sheet1!$B$6:$C$52,2,0),"")</f>
        <v/>
      </c>
      <c r="C226" s="496"/>
      <c r="D226" s="495"/>
      <c r="E226" s="494"/>
      <c r="F226" s="495"/>
      <c r="G226" s="494"/>
      <c r="H226" s="480"/>
      <c r="I226" s="480"/>
      <c r="J226" s="573"/>
      <c r="K226" s="494"/>
      <c r="L226" s="495"/>
      <c r="M226" s="494"/>
      <c r="N226" s="480"/>
      <c r="O226" s="493"/>
      <c r="AF226" s="501"/>
      <c r="AG226" s="492"/>
      <c r="AH226" s="489">
        <f t="shared" si="15"/>
        <v>0</v>
      </c>
      <c r="AI226" s="491"/>
      <c r="AJ226" s="490"/>
      <c r="AK226" s="489">
        <f t="shared" si="17"/>
        <v>0</v>
      </c>
      <c r="AL226" s="489">
        <f t="shared" si="18"/>
        <v>0</v>
      </c>
      <c r="AM226" s="488">
        <f t="shared" si="19"/>
        <v>0</v>
      </c>
      <c r="AN226" s="500">
        <f t="shared" si="16"/>
        <v>0</v>
      </c>
      <c r="AO226" s="500"/>
      <c r="AS226" s="503" t="s">
        <v>836</v>
      </c>
      <c r="AT226" s="486">
        <f>SUMIF(C5:C304,"石川県",AM5:AM304)</f>
        <v>0</v>
      </c>
      <c r="AU226" s="502">
        <f>SUMIF(C5:C304,"石川県",AN5:AN304)</f>
        <v>0</v>
      </c>
      <c r="AV226" s="502">
        <f>COUNTIF(C5:C304,"石川県")</f>
        <v>0</v>
      </c>
      <c r="AW226" s="497">
        <v>17</v>
      </c>
    </row>
    <row r="227" spans="1:49" ht="13.5" hidden="1" customHeight="1">
      <c r="A227" s="484">
        <v>223</v>
      </c>
      <c r="B227" s="483" t="str">
        <f>IFERROR(VLOOKUP(C227,[1]Sheet1!$B$6:$C$52,2,0),"")</f>
        <v/>
      </c>
      <c r="C227" s="496"/>
      <c r="D227" s="495"/>
      <c r="E227" s="494"/>
      <c r="F227" s="495"/>
      <c r="G227" s="494"/>
      <c r="H227" s="480"/>
      <c r="I227" s="480"/>
      <c r="J227" s="573"/>
      <c r="K227" s="494"/>
      <c r="L227" s="495"/>
      <c r="M227" s="494"/>
      <c r="N227" s="480"/>
      <c r="O227" s="493"/>
      <c r="AF227" s="501"/>
      <c r="AG227" s="492"/>
      <c r="AH227" s="489">
        <f t="shared" si="15"/>
        <v>0</v>
      </c>
      <c r="AI227" s="491"/>
      <c r="AJ227" s="490"/>
      <c r="AK227" s="489">
        <f t="shared" si="17"/>
        <v>0</v>
      </c>
      <c r="AL227" s="489">
        <f t="shared" si="18"/>
        <v>0</v>
      </c>
      <c r="AM227" s="488">
        <f t="shared" si="19"/>
        <v>0</v>
      </c>
      <c r="AN227" s="500">
        <f t="shared" si="16"/>
        <v>0</v>
      </c>
      <c r="AO227" s="500"/>
      <c r="AS227" s="503" t="s">
        <v>837</v>
      </c>
      <c r="AT227" s="486">
        <f>SUMIF(C5:C304,"福井県",AM5:AM304)</f>
        <v>0</v>
      </c>
      <c r="AU227" s="502">
        <f>SUMIF(C5:C304,"福井県",AN5:AN304)</f>
        <v>0</v>
      </c>
      <c r="AV227" s="502">
        <f>COUNTIF(C5:C304,"福井県")</f>
        <v>0</v>
      </c>
      <c r="AW227" s="497">
        <v>18</v>
      </c>
    </row>
    <row r="228" spans="1:49" ht="13.5" hidden="1" customHeight="1">
      <c r="A228" s="484">
        <v>224</v>
      </c>
      <c r="B228" s="483" t="str">
        <f>IFERROR(VLOOKUP(C228,[1]Sheet1!$B$6:$C$52,2,0),"")</f>
        <v/>
      </c>
      <c r="C228" s="496"/>
      <c r="D228" s="495"/>
      <c r="E228" s="494"/>
      <c r="F228" s="495"/>
      <c r="G228" s="494"/>
      <c r="H228" s="480"/>
      <c r="I228" s="480"/>
      <c r="J228" s="573"/>
      <c r="K228" s="494"/>
      <c r="L228" s="495"/>
      <c r="M228" s="494"/>
      <c r="N228" s="480"/>
      <c r="O228" s="493"/>
      <c r="AF228" s="501"/>
      <c r="AG228" s="492"/>
      <c r="AH228" s="489">
        <f t="shared" si="15"/>
        <v>0</v>
      </c>
      <c r="AI228" s="491"/>
      <c r="AJ228" s="490"/>
      <c r="AK228" s="489">
        <f t="shared" si="17"/>
        <v>0</v>
      </c>
      <c r="AL228" s="489">
        <f t="shared" si="18"/>
        <v>0</v>
      </c>
      <c r="AM228" s="488">
        <f t="shared" si="19"/>
        <v>0</v>
      </c>
      <c r="AN228" s="500">
        <f t="shared" si="16"/>
        <v>0</v>
      </c>
      <c r="AO228" s="500"/>
      <c r="AS228" s="503" t="s">
        <v>838</v>
      </c>
      <c r="AT228" s="486">
        <f>SUMIF(C5:C304,"山梨県",AM5:AM304)</f>
        <v>0</v>
      </c>
      <c r="AU228" s="502">
        <f>SUMIF(C5:C304,"山梨県",AN5:AN304)</f>
        <v>0</v>
      </c>
      <c r="AV228" s="502">
        <f>COUNTIF(C5:C304,"山梨県")</f>
        <v>0</v>
      </c>
      <c r="AW228" s="497">
        <v>19</v>
      </c>
    </row>
    <row r="229" spans="1:49" ht="13.5" hidden="1" customHeight="1">
      <c r="A229" s="484">
        <v>225</v>
      </c>
      <c r="B229" s="483" t="str">
        <f>IFERROR(VLOOKUP(C229,[1]Sheet1!$B$6:$C$52,2,0),"")</f>
        <v/>
      </c>
      <c r="C229" s="496"/>
      <c r="D229" s="495"/>
      <c r="E229" s="494"/>
      <c r="F229" s="495"/>
      <c r="G229" s="494"/>
      <c r="H229" s="480"/>
      <c r="I229" s="480"/>
      <c r="J229" s="573"/>
      <c r="K229" s="494"/>
      <c r="L229" s="495"/>
      <c r="M229" s="494"/>
      <c r="N229" s="480"/>
      <c r="O229" s="493"/>
      <c r="AF229" s="501"/>
      <c r="AG229" s="492"/>
      <c r="AH229" s="489">
        <f t="shared" si="15"/>
        <v>0</v>
      </c>
      <c r="AI229" s="491"/>
      <c r="AJ229" s="490"/>
      <c r="AK229" s="489">
        <f t="shared" si="17"/>
        <v>0</v>
      </c>
      <c r="AL229" s="489">
        <f t="shared" si="18"/>
        <v>0</v>
      </c>
      <c r="AM229" s="488">
        <f t="shared" si="19"/>
        <v>0</v>
      </c>
      <c r="AN229" s="500">
        <f t="shared" si="16"/>
        <v>0</v>
      </c>
      <c r="AO229" s="500"/>
      <c r="AS229" s="506" t="s">
        <v>839</v>
      </c>
      <c r="AT229" s="486">
        <f>SUMIF(C5:C304,"長野県",AM5:AM304)</f>
        <v>0</v>
      </c>
      <c r="AU229" s="502">
        <f>SUMIF(C5:C304,"長野県",AN5:AN304)</f>
        <v>0</v>
      </c>
      <c r="AV229" s="502">
        <f>COUNTIF(C5:C304,"長野県")</f>
        <v>0</v>
      </c>
      <c r="AW229" s="497">
        <v>20</v>
      </c>
    </row>
    <row r="230" spans="1:49" ht="13.5" hidden="1" customHeight="1">
      <c r="A230" s="484">
        <v>226</v>
      </c>
      <c r="B230" s="483" t="str">
        <f>IFERROR(VLOOKUP(C230,[1]Sheet1!$B$6:$C$52,2,0),"")</f>
        <v/>
      </c>
      <c r="C230" s="496"/>
      <c r="D230" s="495"/>
      <c r="E230" s="494"/>
      <c r="F230" s="495"/>
      <c r="G230" s="494"/>
      <c r="H230" s="480"/>
      <c r="I230" s="480"/>
      <c r="J230" s="573"/>
      <c r="K230" s="494"/>
      <c r="L230" s="495"/>
      <c r="M230" s="494"/>
      <c r="N230" s="480"/>
      <c r="O230" s="493"/>
      <c r="AF230" s="501"/>
      <c r="AG230" s="492"/>
      <c r="AH230" s="489">
        <f t="shared" si="15"/>
        <v>0</v>
      </c>
      <c r="AI230" s="491"/>
      <c r="AJ230" s="490"/>
      <c r="AK230" s="489">
        <f t="shared" si="17"/>
        <v>0</v>
      </c>
      <c r="AL230" s="489">
        <f t="shared" si="18"/>
        <v>0</v>
      </c>
      <c r="AM230" s="488">
        <f t="shared" si="19"/>
        <v>0</v>
      </c>
      <c r="AN230" s="500">
        <f t="shared" si="16"/>
        <v>0</v>
      </c>
      <c r="AO230" s="500"/>
      <c r="AS230" s="503" t="s">
        <v>840</v>
      </c>
      <c r="AT230" s="486">
        <f>SUMIF(C5:C304,"岐阜県",AM5:AM304)</f>
        <v>0</v>
      </c>
      <c r="AU230" s="502">
        <f>SUMIF(C5:C304,"岐阜県",AN5:AN304)</f>
        <v>0</v>
      </c>
      <c r="AV230" s="502">
        <f>COUNTIF(C5:C304,"岐阜県")</f>
        <v>0</v>
      </c>
      <c r="AW230" s="497">
        <v>21</v>
      </c>
    </row>
    <row r="231" spans="1:49" ht="13.5" hidden="1" customHeight="1">
      <c r="A231" s="484">
        <v>227</v>
      </c>
      <c r="B231" s="483" t="str">
        <f>IFERROR(VLOOKUP(C231,[1]Sheet1!$B$6:$C$52,2,0),"")</f>
        <v/>
      </c>
      <c r="C231" s="496"/>
      <c r="D231" s="495"/>
      <c r="E231" s="494"/>
      <c r="F231" s="495"/>
      <c r="G231" s="494"/>
      <c r="H231" s="480"/>
      <c r="I231" s="480"/>
      <c r="J231" s="573"/>
      <c r="K231" s="494"/>
      <c r="L231" s="495"/>
      <c r="M231" s="494"/>
      <c r="N231" s="480"/>
      <c r="O231" s="493"/>
      <c r="AF231" s="501"/>
      <c r="AG231" s="492"/>
      <c r="AH231" s="489">
        <f t="shared" si="15"/>
        <v>0</v>
      </c>
      <c r="AI231" s="491"/>
      <c r="AJ231" s="490"/>
      <c r="AK231" s="489">
        <f t="shared" si="17"/>
        <v>0</v>
      </c>
      <c r="AL231" s="489">
        <f t="shared" si="18"/>
        <v>0</v>
      </c>
      <c r="AM231" s="488">
        <f t="shared" si="19"/>
        <v>0</v>
      </c>
      <c r="AN231" s="500">
        <f t="shared" si="16"/>
        <v>0</v>
      </c>
      <c r="AO231" s="500"/>
      <c r="AS231" s="503" t="s">
        <v>841</v>
      </c>
      <c r="AT231" s="486">
        <f>SUMIF(C5:C304,"静岡県",AM5:AM304)</f>
        <v>0</v>
      </c>
      <c r="AU231" s="486">
        <f>SUMIF(C5:C304,"静岡県",AN5:AN304)</f>
        <v>0</v>
      </c>
      <c r="AV231" s="502">
        <f>COUNTIF(C5:C304,"静岡県")</f>
        <v>0</v>
      </c>
      <c r="AW231" s="497">
        <v>22</v>
      </c>
    </row>
    <row r="232" spans="1:49" ht="13.5" hidden="1" customHeight="1">
      <c r="A232" s="484">
        <v>228</v>
      </c>
      <c r="B232" s="483" t="str">
        <f>IFERROR(VLOOKUP(C232,[1]Sheet1!$B$6:$C$52,2,0),"")</f>
        <v/>
      </c>
      <c r="C232" s="496"/>
      <c r="D232" s="495"/>
      <c r="E232" s="494"/>
      <c r="F232" s="495"/>
      <c r="G232" s="494"/>
      <c r="H232" s="480"/>
      <c r="I232" s="480"/>
      <c r="J232" s="573"/>
      <c r="K232" s="494"/>
      <c r="L232" s="495"/>
      <c r="M232" s="494"/>
      <c r="N232" s="480"/>
      <c r="O232" s="493"/>
      <c r="AF232" s="501"/>
      <c r="AG232" s="492"/>
      <c r="AH232" s="489">
        <f t="shared" si="15"/>
        <v>0</v>
      </c>
      <c r="AI232" s="491"/>
      <c r="AJ232" s="490"/>
      <c r="AK232" s="489">
        <f t="shared" si="17"/>
        <v>0</v>
      </c>
      <c r="AL232" s="489">
        <f t="shared" si="18"/>
        <v>0</v>
      </c>
      <c r="AM232" s="488">
        <f t="shared" si="19"/>
        <v>0</v>
      </c>
      <c r="AN232" s="500">
        <f t="shared" si="16"/>
        <v>0</v>
      </c>
      <c r="AO232" s="500"/>
      <c r="AS232" s="503" t="s">
        <v>842</v>
      </c>
      <c r="AT232" s="486">
        <f>SUMIF(C5:C304,"愛知県",AM5:AM304)</f>
        <v>0</v>
      </c>
      <c r="AU232" s="505">
        <f>SUMIF(C5:C304,"愛知県",AN5:AN304)</f>
        <v>0</v>
      </c>
      <c r="AV232" s="502">
        <f>COUNTIF(C5:C304,"愛知県")</f>
        <v>0</v>
      </c>
      <c r="AW232" s="497">
        <v>23</v>
      </c>
    </row>
    <row r="233" spans="1:49" ht="13.5" hidden="1" customHeight="1">
      <c r="A233" s="484">
        <v>229</v>
      </c>
      <c r="B233" s="483" t="str">
        <f>IFERROR(VLOOKUP(C233,[1]Sheet1!$B$6:$C$52,2,0),"")</f>
        <v/>
      </c>
      <c r="C233" s="496"/>
      <c r="D233" s="495"/>
      <c r="E233" s="494"/>
      <c r="F233" s="495"/>
      <c r="G233" s="494"/>
      <c r="H233" s="480"/>
      <c r="I233" s="480"/>
      <c r="J233" s="573"/>
      <c r="K233" s="494"/>
      <c r="L233" s="495"/>
      <c r="M233" s="494"/>
      <c r="N233" s="480"/>
      <c r="O233" s="493"/>
      <c r="AF233" s="501"/>
      <c r="AG233" s="492"/>
      <c r="AH233" s="489">
        <f t="shared" si="15"/>
        <v>0</v>
      </c>
      <c r="AI233" s="491"/>
      <c r="AJ233" s="490"/>
      <c r="AK233" s="489">
        <f t="shared" si="17"/>
        <v>0</v>
      </c>
      <c r="AL233" s="489">
        <f t="shared" si="18"/>
        <v>0</v>
      </c>
      <c r="AM233" s="488">
        <f t="shared" si="19"/>
        <v>0</v>
      </c>
      <c r="AN233" s="500">
        <f t="shared" si="16"/>
        <v>0</v>
      </c>
      <c r="AO233" s="500"/>
      <c r="AS233" s="503" t="s">
        <v>843</v>
      </c>
      <c r="AT233" s="486">
        <f>SUMIF(C5:C304,"三重県",AM5:AM304)</f>
        <v>0</v>
      </c>
      <c r="AU233" s="502">
        <f>SUMIF(C5:C304,"三重県",AN5:AN304)</f>
        <v>0</v>
      </c>
      <c r="AV233" s="502">
        <f>COUNTIF(C5:C304,"三重県")</f>
        <v>0</v>
      </c>
      <c r="AW233" s="497">
        <v>24</v>
      </c>
    </row>
    <row r="234" spans="1:49" ht="13.5" hidden="1" customHeight="1">
      <c r="A234" s="484">
        <v>230</v>
      </c>
      <c r="B234" s="483" t="str">
        <f>IFERROR(VLOOKUP(C234,[1]Sheet1!$B$6:$C$52,2,0),"")</f>
        <v/>
      </c>
      <c r="C234" s="496"/>
      <c r="D234" s="495"/>
      <c r="E234" s="494"/>
      <c r="F234" s="495"/>
      <c r="G234" s="494"/>
      <c r="H234" s="480"/>
      <c r="I234" s="480"/>
      <c r="J234" s="573"/>
      <c r="K234" s="494"/>
      <c r="L234" s="495"/>
      <c r="M234" s="494"/>
      <c r="N234" s="480"/>
      <c r="O234" s="493"/>
      <c r="AF234" s="501"/>
      <c r="AG234" s="492"/>
      <c r="AH234" s="489">
        <f t="shared" si="15"/>
        <v>0</v>
      </c>
      <c r="AI234" s="491"/>
      <c r="AJ234" s="490"/>
      <c r="AK234" s="489">
        <f t="shared" si="17"/>
        <v>0</v>
      </c>
      <c r="AL234" s="489">
        <f t="shared" si="18"/>
        <v>0</v>
      </c>
      <c r="AM234" s="488">
        <f t="shared" si="19"/>
        <v>0</v>
      </c>
      <c r="AN234" s="500">
        <f t="shared" si="16"/>
        <v>0</v>
      </c>
      <c r="AO234" s="500"/>
      <c r="AS234" s="503" t="s">
        <v>844</v>
      </c>
      <c r="AT234" s="486">
        <f>SUMIF(C5:C304,"滋賀県",AM5:AM304)</f>
        <v>0</v>
      </c>
      <c r="AU234" s="502">
        <f>SUMIF(C5:C304,"滋賀県",AN5:AN304)</f>
        <v>0</v>
      </c>
      <c r="AV234" s="502">
        <f>COUNTIF(C5:C304,"滋賀県")</f>
        <v>0</v>
      </c>
      <c r="AW234" s="497">
        <v>25</v>
      </c>
    </row>
    <row r="235" spans="1:49" ht="13.5" hidden="1" customHeight="1">
      <c r="A235" s="484">
        <v>231</v>
      </c>
      <c r="B235" s="483" t="str">
        <f>IFERROR(VLOOKUP(C235,[1]Sheet1!$B$6:$C$52,2,0),"")</f>
        <v/>
      </c>
      <c r="C235" s="496"/>
      <c r="D235" s="495"/>
      <c r="E235" s="494"/>
      <c r="F235" s="495"/>
      <c r="G235" s="494"/>
      <c r="H235" s="480"/>
      <c r="I235" s="480"/>
      <c r="J235" s="573"/>
      <c r="K235" s="494"/>
      <c r="L235" s="495"/>
      <c r="M235" s="494"/>
      <c r="N235" s="480"/>
      <c r="O235" s="493"/>
      <c r="AF235" s="501"/>
      <c r="AG235" s="492"/>
      <c r="AH235" s="489">
        <f t="shared" si="15"/>
        <v>0</v>
      </c>
      <c r="AI235" s="491"/>
      <c r="AJ235" s="490"/>
      <c r="AK235" s="489">
        <f t="shared" si="17"/>
        <v>0</v>
      </c>
      <c r="AL235" s="489">
        <f t="shared" si="18"/>
        <v>0</v>
      </c>
      <c r="AM235" s="488">
        <f t="shared" si="19"/>
        <v>0</v>
      </c>
      <c r="AN235" s="500">
        <f t="shared" si="16"/>
        <v>0</v>
      </c>
      <c r="AO235" s="500"/>
      <c r="AS235" s="503" t="s">
        <v>845</v>
      </c>
      <c r="AT235" s="486">
        <f>SUMIF(C5:C258,"京都府",AM5:AM258)</f>
        <v>0</v>
      </c>
      <c r="AU235" s="502">
        <f>SUMIF(C5:C304,"京都府",AN5:AN304)</f>
        <v>0</v>
      </c>
      <c r="AV235" s="502">
        <f>COUNTIF(C5:C304,"京都府")</f>
        <v>0</v>
      </c>
      <c r="AW235" s="497">
        <v>26</v>
      </c>
    </row>
    <row r="236" spans="1:49" ht="13.5" hidden="1" customHeight="1">
      <c r="A236" s="484">
        <v>232</v>
      </c>
      <c r="B236" s="483" t="str">
        <f>IFERROR(VLOOKUP(C236,[1]Sheet1!$B$6:$C$52,2,0),"")</f>
        <v/>
      </c>
      <c r="C236" s="496"/>
      <c r="D236" s="495"/>
      <c r="E236" s="494"/>
      <c r="F236" s="495"/>
      <c r="G236" s="494"/>
      <c r="H236" s="480"/>
      <c r="I236" s="480"/>
      <c r="J236" s="573"/>
      <c r="K236" s="494"/>
      <c r="L236" s="495"/>
      <c r="M236" s="494"/>
      <c r="N236" s="480"/>
      <c r="O236" s="493"/>
      <c r="AF236" s="501"/>
      <c r="AG236" s="492"/>
      <c r="AH236" s="489">
        <f t="shared" si="15"/>
        <v>0</v>
      </c>
      <c r="AI236" s="491"/>
      <c r="AJ236" s="490"/>
      <c r="AK236" s="489">
        <f t="shared" si="17"/>
        <v>0</v>
      </c>
      <c r="AL236" s="489">
        <f t="shared" si="18"/>
        <v>0</v>
      </c>
      <c r="AM236" s="488">
        <f t="shared" si="19"/>
        <v>0</v>
      </c>
      <c r="AN236" s="500">
        <f t="shared" si="16"/>
        <v>0</v>
      </c>
      <c r="AO236" s="500"/>
      <c r="AS236" s="503" t="s">
        <v>846</v>
      </c>
      <c r="AT236" s="486">
        <f>SUMIF(C5:C304,"大阪府",AM5:AM304)</f>
        <v>0</v>
      </c>
      <c r="AU236" s="502">
        <f>SUMIF(C5:C304,"大阪府",AN5:AN304)</f>
        <v>0</v>
      </c>
      <c r="AV236" s="502">
        <f>COUNTIF(C5:C304,"大阪府")</f>
        <v>0</v>
      </c>
      <c r="AW236" s="497">
        <v>27</v>
      </c>
    </row>
    <row r="237" spans="1:49" ht="13.5" hidden="1" customHeight="1">
      <c r="A237" s="484">
        <v>233</v>
      </c>
      <c r="B237" s="483" t="str">
        <f>IFERROR(VLOOKUP(C237,[1]Sheet1!$B$6:$C$52,2,0),"")</f>
        <v/>
      </c>
      <c r="C237" s="496"/>
      <c r="D237" s="495"/>
      <c r="E237" s="494"/>
      <c r="F237" s="495"/>
      <c r="G237" s="494"/>
      <c r="H237" s="480"/>
      <c r="I237" s="480"/>
      <c r="J237" s="573"/>
      <c r="K237" s="494"/>
      <c r="L237" s="495"/>
      <c r="M237" s="494"/>
      <c r="N237" s="480"/>
      <c r="O237" s="493"/>
      <c r="AF237" s="501"/>
      <c r="AG237" s="492"/>
      <c r="AH237" s="489">
        <f t="shared" si="15"/>
        <v>0</v>
      </c>
      <c r="AI237" s="491"/>
      <c r="AJ237" s="490"/>
      <c r="AK237" s="489">
        <f t="shared" si="17"/>
        <v>0</v>
      </c>
      <c r="AL237" s="489">
        <f t="shared" si="18"/>
        <v>0</v>
      </c>
      <c r="AM237" s="488">
        <f t="shared" si="19"/>
        <v>0</v>
      </c>
      <c r="AN237" s="500">
        <f t="shared" si="16"/>
        <v>0</v>
      </c>
      <c r="AO237" s="500"/>
      <c r="AS237" s="503" t="s">
        <v>847</v>
      </c>
      <c r="AT237" s="504">
        <f>SUMIF(C5:C304,"兵庫県",AM5:AM304)</f>
        <v>0</v>
      </c>
      <c r="AU237" s="502">
        <f>SUMIF(C5:C304,"兵庫県",AN5:AN304)</f>
        <v>0</v>
      </c>
      <c r="AV237" s="502">
        <f>COUNTIF(C5:C304,"兵庫県")</f>
        <v>0</v>
      </c>
      <c r="AW237" s="497">
        <v>28</v>
      </c>
    </row>
    <row r="238" spans="1:49" ht="13.5" hidden="1" customHeight="1">
      <c r="A238" s="484">
        <v>234</v>
      </c>
      <c r="B238" s="483" t="str">
        <f>IFERROR(VLOOKUP(C238,[1]Sheet1!$B$6:$C$52,2,0),"")</f>
        <v/>
      </c>
      <c r="C238" s="496"/>
      <c r="D238" s="495"/>
      <c r="E238" s="494"/>
      <c r="F238" s="495"/>
      <c r="G238" s="494"/>
      <c r="H238" s="480"/>
      <c r="I238" s="480"/>
      <c r="J238" s="573"/>
      <c r="K238" s="494"/>
      <c r="L238" s="495"/>
      <c r="M238" s="494"/>
      <c r="N238" s="480"/>
      <c r="O238" s="493"/>
      <c r="AF238" s="501"/>
      <c r="AG238" s="492"/>
      <c r="AH238" s="489">
        <f t="shared" si="15"/>
        <v>0</v>
      </c>
      <c r="AI238" s="491"/>
      <c r="AJ238" s="490"/>
      <c r="AK238" s="489">
        <f t="shared" si="17"/>
        <v>0</v>
      </c>
      <c r="AL238" s="489">
        <f t="shared" si="18"/>
        <v>0</v>
      </c>
      <c r="AM238" s="488">
        <f t="shared" si="19"/>
        <v>0</v>
      </c>
      <c r="AN238" s="500">
        <f t="shared" si="16"/>
        <v>0</v>
      </c>
      <c r="AO238" s="500"/>
      <c r="AS238" s="503" t="s">
        <v>848</v>
      </c>
      <c r="AT238" s="486">
        <f>SUMIF(C5:C304,"奈良県",AM5:AM304)</f>
        <v>0</v>
      </c>
      <c r="AU238" s="502">
        <f>SUMIF(C5:C304,"奈良県",AN5:AN304)</f>
        <v>0</v>
      </c>
      <c r="AV238" s="502">
        <f>COUNTIF(C5:C304,"奈良県")</f>
        <v>0</v>
      </c>
      <c r="AW238" s="497">
        <v>29</v>
      </c>
    </row>
    <row r="239" spans="1:49" ht="13.5" hidden="1" customHeight="1">
      <c r="A239" s="484">
        <v>235</v>
      </c>
      <c r="B239" s="483" t="str">
        <f>IFERROR(VLOOKUP(C239,[1]Sheet1!$B$6:$C$52,2,0),"")</f>
        <v/>
      </c>
      <c r="C239" s="496"/>
      <c r="D239" s="495"/>
      <c r="E239" s="494"/>
      <c r="F239" s="495"/>
      <c r="G239" s="494"/>
      <c r="H239" s="480"/>
      <c r="I239" s="480"/>
      <c r="J239" s="573"/>
      <c r="K239" s="494"/>
      <c r="L239" s="495"/>
      <c r="M239" s="494"/>
      <c r="N239" s="480"/>
      <c r="O239" s="493"/>
      <c r="AF239" s="501"/>
      <c r="AG239" s="492"/>
      <c r="AH239" s="489">
        <f t="shared" si="15"/>
        <v>0</v>
      </c>
      <c r="AI239" s="491"/>
      <c r="AJ239" s="490"/>
      <c r="AK239" s="489">
        <f t="shared" si="17"/>
        <v>0</v>
      </c>
      <c r="AL239" s="489">
        <f t="shared" si="18"/>
        <v>0</v>
      </c>
      <c r="AM239" s="488">
        <f t="shared" si="19"/>
        <v>0</v>
      </c>
      <c r="AN239" s="500">
        <f t="shared" si="16"/>
        <v>0</v>
      </c>
      <c r="AO239" s="500"/>
      <c r="AS239" s="503" t="s">
        <v>849</v>
      </c>
      <c r="AT239" s="486">
        <f>SUMIF(C5:C304,"和歌山県",AM5:AM304)</f>
        <v>0</v>
      </c>
      <c r="AU239" s="502">
        <f>SUMIF(C5:C304,"和歌山県",AN5:AN304)</f>
        <v>0</v>
      </c>
      <c r="AV239" s="502">
        <f>COUNTIF(C5:C304,"和歌山県")</f>
        <v>0</v>
      </c>
      <c r="AW239" s="497">
        <v>30</v>
      </c>
    </row>
    <row r="240" spans="1:49" ht="13.5" hidden="1" customHeight="1">
      <c r="A240" s="484">
        <v>236</v>
      </c>
      <c r="B240" s="483" t="str">
        <f>IFERROR(VLOOKUP(C240,[1]Sheet1!$B$6:$C$52,2,0),"")</f>
        <v/>
      </c>
      <c r="C240" s="496"/>
      <c r="D240" s="495"/>
      <c r="E240" s="494"/>
      <c r="F240" s="495"/>
      <c r="G240" s="494"/>
      <c r="H240" s="480"/>
      <c r="I240" s="480"/>
      <c r="J240" s="573"/>
      <c r="K240" s="494"/>
      <c r="L240" s="495"/>
      <c r="M240" s="494"/>
      <c r="N240" s="480"/>
      <c r="O240" s="493"/>
      <c r="AF240" s="501"/>
      <c r="AG240" s="492"/>
      <c r="AH240" s="489">
        <f t="shared" si="15"/>
        <v>0</v>
      </c>
      <c r="AI240" s="491"/>
      <c r="AJ240" s="490"/>
      <c r="AK240" s="489">
        <f t="shared" si="17"/>
        <v>0</v>
      </c>
      <c r="AL240" s="489">
        <f t="shared" si="18"/>
        <v>0</v>
      </c>
      <c r="AM240" s="488">
        <f t="shared" si="19"/>
        <v>0</v>
      </c>
      <c r="AN240" s="500">
        <f t="shared" si="16"/>
        <v>0</v>
      </c>
      <c r="AO240" s="500"/>
      <c r="AS240" s="503" t="s">
        <v>850</v>
      </c>
      <c r="AT240" s="486">
        <f>SUMIF(C5:C304,"鳥取県",AM5:AM304)</f>
        <v>0</v>
      </c>
      <c r="AU240" s="502">
        <f>SUMIF(C5:C304,"鳥取県",AN5:AN304)</f>
        <v>0</v>
      </c>
      <c r="AV240" s="502">
        <f>COUNTIF(C5:C304,"鳥取県")</f>
        <v>0</v>
      </c>
      <c r="AW240" s="497">
        <v>31</v>
      </c>
    </row>
    <row r="241" spans="1:49" ht="13.5" hidden="1" customHeight="1">
      <c r="A241" s="484">
        <v>237</v>
      </c>
      <c r="B241" s="483" t="str">
        <f>IFERROR(VLOOKUP(C241,[1]Sheet1!$B$6:$C$52,2,0),"")</f>
        <v/>
      </c>
      <c r="C241" s="496"/>
      <c r="D241" s="495"/>
      <c r="E241" s="494"/>
      <c r="F241" s="495"/>
      <c r="G241" s="494"/>
      <c r="H241" s="480"/>
      <c r="I241" s="480"/>
      <c r="J241" s="573"/>
      <c r="K241" s="494"/>
      <c r="L241" s="495"/>
      <c r="M241" s="494"/>
      <c r="N241" s="480"/>
      <c r="O241" s="493"/>
      <c r="AF241" s="501"/>
      <c r="AG241" s="492"/>
      <c r="AH241" s="489">
        <f t="shared" si="15"/>
        <v>0</v>
      </c>
      <c r="AI241" s="491"/>
      <c r="AJ241" s="490"/>
      <c r="AK241" s="489">
        <f t="shared" si="17"/>
        <v>0</v>
      </c>
      <c r="AL241" s="489">
        <f t="shared" si="18"/>
        <v>0</v>
      </c>
      <c r="AM241" s="488">
        <f t="shared" si="19"/>
        <v>0</v>
      </c>
      <c r="AN241" s="500">
        <f t="shared" si="16"/>
        <v>0</v>
      </c>
      <c r="AO241" s="500"/>
      <c r="AS241" s="503" t="s">
        <v>851</v>
      </c>
      <c r="AT241" s="486">
        <f>SUMIF(C5:C304,"島根県",AM5:AM304)</f>
        <v>0</v>
      </c>
      <c r="AU241" s="502">
        <f>SUMIF(C5:C304,"島根県",AN5:AN304)</f>
        <v>0</v>
      </c>
      <c r="AV241" s="502">
        <f>COUNTIF(C5:C304,"島根県")</f>
        <v>0</v>
      </c>
      <c r="AW241" s="497">
        <v>32</v>
      </c>
    </row>
    <row r="242" spans="1:49" ht="13.5" hidden="1" customHeight="1">
      <c r="A242" s="484">
        <v>238</v>
      </c>
      <c r="B242" s="483" t="str">
        <f>IFERROR(VLOOKUP(C242,[1]Sheet1!$B$6:$C$52,2,0),"")</f>
        <v/>
      </c>
      <c r="C242" s="496"/>
      <c r="D242" s="495"/>
      <c r="E242" s="494"/>
      <c r="F242" s="495"/>
      <c r="G242" s="494"/>
      <c r="H242" s="480"/>
      <c r="I242" s="480"/>
      <c r="J242" s="573"/>
      <c r="K242" s="494"/>
      <c r="L242" s="495"/>
      <c r="M242" s="494"/>
      <c r="N242" s="480"/>
      <c r="O242" s="493"/>
      <c r="AF242" s="501"/>
      <c r="AG242" s="492"/>
      <c r="AH242" s="489">
        <f t="shared" si="15"/>
        <v>0</v>
      </c>
      <c r="AI242" s="491"/>
      <c r="AJ242" s="490"/>
      <c r="AK242" s="489">
        <f t="shared" si="17"/>
        <v>0</v>
      </c>
      <c r="AL242" s="489">
        <f t="shared" si="18"/>
        <v>0</v>
      </c>
      <c r="AM242" s="488">
        <f t="shared" si="19"/>
        <v>0</v>
      </c>
      <c r="AN242" s="500">
        <f t="shared" si="16"/>
        <v>0</v>
      </c>
      <c r="AO242" s="500"/>
      <c r="AS242" s="503" t="s">
        <v>852</v>
      </c>
      <c r="AT242" s="486">
        <f>SUMIF(C5:C304,"岡山県",AM5:AM304)</f>
        <v>0</v>
      </c>
      <c r="AU242" s="502">
        <f>SUMIF(C5:C304,"岡山県",AN5:AN304)</f>
        <v>0</v>
      </c>
      <c r="AV242" s="502">
        <f>COUNTIF(C5:C304,"岡山県")</f>
        <v>0</v>
      </c>
      <c r="AW242" s="497">
        <v>33</v>
      </c>
    </row>
    <row r="243" spans="1:49" ht="13.5" hidden="1" customHeight="1">
      <c r="A243" s="484">
        <v>239</v>
      </c>
      <c r="B243" s="483" t="str">
        <f>IFERROR(VLOOKUP(C243,[1]Sheet1!$B$6:$C$52,2,0),"")</f>
        <v/>
      </c>
      <c r="C243" s="496"/>
      <c r="D243" s="495"/>
      <c r="E243" s="494"/>
      <c r="F243" s="495"/>
      <c r="G243" s="494"/>
      <c r="H243" s="480"/>
      <c r="I243" s="480"/>
      <c r="J243" s="573"/>
      <c r="K243" s="494"/>
      <c r="L243" s="495"/>
      <c r="M243" s="494"/>
      <c r="N243" s="480"/>
      <c r="O243" s="493"/>
      <c r="AF243" s="501"/>
      <c r="AG243" s="492"/>
      <c r="AH243" s="489">
        <f t="shared" si="15"/>
        <v>0</v>
      </c>
      <c r="AI243" s="491"/>
      <c r="AJ243" s="490"/>
      <c r="AK243" s="489">
        <f t="shared" si="17"/>
        <v>0</v>
      </c>
      <c r="AL243" s="489">
        <f t="shared" si="18"/>
        <v>0</v>
      </c>
      <c r="AM243" s="488">
        <f t="shared" si="19"/>
        <v>0</v>
      </c>
      <c r="AN243" s="500">
        <f t="shared" si="16"/>
        <v>0</v>
      </c>
      <c r="AO243" s="500"/>
      <c r="AS243" s="503" t="s">
        <v>853</v>
      </c>
      <c r="AT243" s="486">
        <f>SUMIF(C5:C304,"広島県",AM5:AM304)</f>
        <v>0</v>
      </c>
      <c r="AU243" s="502">
        <f>SUMIF(C5:C304,"広島県",AN5:AN304)</f>
        <v>0</v>
      </c>
      <c r="AV243" s="502">
        <f>COUNTIF(C5:C304,"広島県")</f>
        <v>0</v>
      </c>
      <c r="AW243" s="497">
        <v>34</v>
      </c>
    </row>
    <row r="244" spans="1:49" ht="13.5" hidden="1" customHeight="1">
      <c r="A244" s="484">
        <v>240</v>
      </c>
      <c r="B244" s="483" t="str">
        <f>IFERROR(VLOOKUP(C244,[1]Sheet1!$B$6:$C$52,2,0),"")</f>
        <v/>
      </c>
      <c r="C244" s="496"/>
      <c r="D244" s="495"/>
      <c r="E244" s="494"/>
      <c r="F244" s="495"/>
      <c r="G244" s="494"/>
      <c r="H244" s="480"/>
      <c r="I244" s="480"/>
      <c r="J244" s="573"/>
      <c r="K244" s="494"/>
      <c r="L244" s="495"/>
      <c r="M244" s="494"/>
      <c r="N244" s="480"/>
      <c r="O244" s="493"/>
      <c r="AF244" s="501"/>
      <c r="AG244" s="492"/>
      <c r="AH244" s="489">
        <f t="shared" si="15"/>
        <v>0</v>
      </c>
      <c r="AI244" s="491"/>
      <c r="AJ244" s="490"/>
      <c r="AK244" s="489">
        <f t="shared" si="17"/>
        <v>0</v>
      </c>
      <c r="AL244" s="489">
        <f t="shared" si="18"/>
        <v>0</v>
      </c>
      <c r="AM244" s="488">
        <f t="shared" si="19"/>
        <v>0</v>
      </c>
      <c r="AN244" s="500">
        <f t="shared" si="16"/>
        <v>0</v>
      </c>
      <c r="AO244" s="500"/>
      <c r="AS244" s="503" t="s">
        <v>854</v>
      </c>
      <c r="AT244" s="486">
        <f>SUMIF(C5:C304,"山口県",AM5:AM304)</f>
        <v>0</v>
      </c>
      <c r="AU244" s="486">
        <f>SUMIF(C5:C304,"山口県",AN5:AN304)</f>
        <v>0</v>
      </c>
      <c r="AV244" s="502">
        <f>COUNTIF(C5:C304,"山口県")</f>
        <v>0</v>
      </c>
      <c r="AW244" s="497">
        <v>35</v>
      </c>
    </row>
    <row r="245" spans="1:49" ht="13.5" hidden="1" customHeight="1">
      <c r="A245" s="484">
        <v>241</v>
      </c>
      <c r="B245" s="483" t="str">
        <f>IFERROR(VLOOKUP(C245,[1]Sheet1!$B$6:$C$52,2,0),"")</f>
        <v/>
      </c>
      <c r="C245" s="496"/>
      <c r="D245" s="495"/>
      <c r="E245" s="494"/>
      <c r="F245" s="495"/>
      <c r="G245" s="494"/>
      <c r="H245" s="480"/>
      <c r="I245" s="480"/>
      <c r="J245" s="573"/>
      <c r="K245" s="494"/>
      <c r="L245" s="495"/>
      <c r="M245" s="494"/>
      <c r="N245" s="480"/>
      <c r="O245" s="493"/>
      <c r="AF245" s="501"/>
      <c r="AG245" s="492"/>
      <c r="AH245" s="489">
        <f t="shared" si="15"/>
        <v>0</v>
      </c>
      <c r="AI245" s="491"/>
      <c r="AJ245" s="490"/>
      <c r="AK245" s="489">
        <f t="shared" si="17"/>
        <v>0</v>
      </c>
      <c r="AL245" s="489">
        <f t="shared" si="18"/>
        <v>0</v>
      </c>
      <c r="AM245" s="488">
        <f t="shared" si="19"/>
        <v>0</v>
      </c>
      <c r="AN245" s="500">
        <f t="shared" si="16"/>
        <v>0</v>
      </c>
      <c r="AO245" s="500"/>
      <c r="AS245" s="503" t="s">
        <v>855</v>
      </c>
      <c r="AT245" s="486">
        <f>SUMIF(C5:C304,"徳島県",AM5:AM304)</f>
        <v>0</v>
      </c>
      <c r="AU245" s="486">
        <f>SUMIF(C5:C304,"徳島県",AN5:AN304)</f>
        <v>0</v>
      </c>
      <c r="AV245" s="502">
        <f>COUNTIF(C5:C304,"徳島県")</f>
        <v>0</v>
      </c>
      <c r="AW245" s="497">
        <v>36</v>
      </c>
    </row>
    <row r="246" spans="1:49" ht="13.5" hidden="1" customHeight="1">
      <c r="A246" s="484">
        <v>242</v>
      </c>
      <c r="B246" s="483" t="str">
        <f>IFERROR(VLOOKUP(C246,[1]Sheet1!$B$6:$C$52,2,0),"")</f>
        <v/>
      </c>
      <c r="C246" s="496"/>
      <c r="D246" s="495"/>
      <c r="E246" s="494"/>
      <c r="F246" s="495"/>
      <c r="G246" s="494"/>
      <c r="H246" s="480"/>
      <c r="I246" s="480"/>
      <c r="J246" s="573"/>
      <c r="K246" s="494"/>
      <c r="L246" s="495"/>
      <c r="M246" s="494"/>
      <c r="N246" s="480"/>
      <c r="O246" s="493"/>
      <c r="AF246" s="501"/>
      <c r="AG246" s="492"/>
      <c r="AH246" s="489">
        <f t="shared" si="15"/>
        <v>0</v>
      </c>
      <c r="AI246" s="491"/>
      <c r="AJ246" s="490"/>
      <c r="AK246" s="489">
        <f t="shared" si="17"/>
        <v>0</v>
      </c>
      <c r="AL246" s="489">
        <f t="shared" si="18"/>
        <v>0</v>
      </c>
      <c r="AM246" s="488">
        <f t="shared" si="19"/>
        <v>0</v>
      </c>
      <c r="AN246" s="500">
        <f t="shared" si="16"/>
        <v>0</v>
      </c>
      <c r="AO246" s="500"/>
      <c r="AS246" s="503" t="s">
        <v>856</v>
      </c>
      <c r="AT246" s="486">
        <f>SUMIF(C5:C304,"香川県",AM5:AM304)</f>
        <v>0</v>
      </c>
      <c r="AU246" s="486">
        <f>SUMIF(C5:C304,"香川県",AN5:AN304)</f>
        <v>0</v>
      </c>
      <c r="AV246" s="502">
        <f>COUNTIF(C5:C304,"香川県")</f>
        <v>0</v>
      </c>
      <c r="AW246" s="497">
        <v>37</v>
      </c>
    </row>
    <row r="247" spans="1:49" ht="13.5" hidden="1" customHeight="1">
      <c r="A247" s="484">
        <v>243</v>
      </c>
      <c r="B247" s="483" t="str">
        <f>IFERROR(VLOOKUP(C247,[1]Sheet1!$B$6:$C$52,2,0),"")</f>
        <v/>
      </c>
      <c r="C247" s="496"/>
      <c r="D247" s="495"/>
      <c r="E247" s="494"/>
      <c r="F247" s="495"/>
      <c r="G247" s="494"/>
      <c r="H247" s="480"/>
      <c r="I247" s="480"/>
      <c r="J247" s="573"/>
      <c r="K247" s="494"/>
      <c r="L247" s="495"/>
      <c r="M247" s="494"/>
      <c r="N247" s="480"/>
      <c r="O247" s="493"/>
      <c r="AF247" s="501"/>
      <c r="AG247" s="492"/>
      <c r="AH247" s="489">
        <f t="shared" si="15"/>
        <v>0</v>
      </c>
      <c r="AI247" s="491"/>
      <c r="AJ247" s="490"/>
      <c r="AK247" s="489">
        <f t="shared" si="17"/>
        <v>0</v>
      </c>
      <c r="AL247" s="489">
        <f t="shared" si="18"/>
        <v>0</v>
      </c>
      <c r="AM247" s="488">
        <f t="shared" si="19"/>
        <v>0</v>
      </c>
      <c r="AN247" s="500">
        <f t="shared" si="16"/>
        <v>0</v>
      </c>
      <c r="AO247" s="500"/>
      <c r="AS247" s="503" t="s">
        <v>857</v>
      </c>
      <c r="AT247" s="486">
        <f>SUMIF(C5:C258,"愛媛県",AM5:AM258)</f>
        <v>0</v>
      </c>
      <c r="AU247" s="486">
        <f>SUMIF(C5:C304,"愛媛県",AN5:AN304)</f>
        <v>0</v>
      </c>
      <c r="AV247" s="502">
        <f>COUNTIF(C5:C304,"愛媛県")</f>
        <v>0</v>
      </c>
      <c r="AW247" s="497">
        <v>38</v>
      </c>
    </row>
    <row r="248" spans="1:49" ht="13.5" hidden="1" customHeight="1">
      <c r="A248" s="484">
        <v>244</v>
      </c>
      <c r="B248" s="483" t="str">
        <f>IFERROR(VLOOKUP(C248,[1]Sheet1!$B$6:$C$52,2,0),"")</f>
        <v/>
      </c>
      <c r="C248" s="496"/>
      <c r="D248" s="495"/>
      <c r="E248" s="494"/>
      <c r="F248" s="495"/>
      <c r="G248" s="494"/>
      <c r="H248" s="480"/>
      <c r="I248" s="480"/>
      <c r="J248" s="573"/>
      <c r="K248" s="494"/>
      <c r="L248" s="495"/>
      <c r="M248" s="494"/>
      <c r="N248" s="480"/>
      <c r="O248" s="493"/>
      <c r="AF248" s="501"/>
      <c r="AG248" s="492"/>
      <c r="AH248" s="489">
        <f t="shared" si="15"/>
        <v>0</v>
      </c>
      <c r="AI248" s="491"/>
      <c r="AJ248" s="490"/>
      <c r="AK248" s="489">
        <f t="shared" si="17"/>
        <v>0</v>
      </c>
      <c r="AL248" s="489">
        <f t="shared" si="18"/>
        <v>0</v>
      </c>
      <c r="AM248" s="488">
        <f t="shared" si="19"/>
        <v>0</v>
      </c>
      <c r="AN248" s="500">
        <f t="shared" si="16"/>
        <v>0</v>
      </c>
      <c r="AO248" s="500"/>
      <c r="AS248" s="503" t="s">
        <v>858</v>
      </c>
      <c r="AT248" s="486">
        <f>SUMIF(C5:C304,"高知県",AM5:AM304)</f>
        <v>0</v>
      </c>
      <c r="AU248" s="486">
        <f>SUMIF(C5:C304,"高知県",AN5:AN304)</f>
        <v>0</v>
      </c>
      <c r="AV248" s="502">
        <f>COUNTIF(C5:C304,"高知県")</f>
        <v>0</v>
      </c>
      <c r="AW248" s="497">
        <v>39</v>
      </c>
    </row>
    <row r="249" spans="1:49" ht="13.5" hidden="1" customHeight="1">
      <c r="A249" s="484">
        <v>245</v>
      </c>
      <c r="B249" s="483" t="str">
        <f>IFERROR(VLOOKUP(C249,[1]Sheet1!$B$6:$C$52,2,0),"")</f>
        <v/>
      </c>
      <c r="C249" s="496"/>
      <c r="D249" s="495"/>
      <c r="E249" s="494"/>
      <c r="F249" s="495"/>
      <c r="G249" s="494"/>
      <c r="H249" s="480"/>
      <c r="I249" s="480"/>
      <c r="J249" s="573"/>
      <c r="K249" s="494"/>
      <c r="L249" s="495"/>
      <c r="M249" s="494"/>
      <c r="N249" s="480"/>
      <c r="O249" s="493"/>
      <c r="AF249" s="501"/>
      <c r="AG249" s="492"/>
      <c r="AH249" s="489">
        <f t="shared" si="15"/>
        <v>0</v>
      </c>
      <c r="AI249" s="491"/>
      <c r="AJ249" s="490"/>
      <c r="AK249" s="489">
        <f t="shared" si="17"/>
        <v>0</v>
      </c>
      <c r="AL249" s="489">
        <f t="shared" si="18"/>
        <v>0</v>
      </c>
      <c r="AM249" s="488">
        <f t="shared" si="19"/>
        <v>0</v>
      </c>
      <c r="AN249" s="500">
        <f t="shared" si="16"/>
        <v>0</v>
      </c>
      <c r="AO249" s="500"/>
      <c r="AS249" s="503" t="s">
        <v>859</v>
      </c>
      <c r="AT249" s="486">
        <f>SUMIF(C5:C304,"福岡県",AM5:AM304)</f>
        <v>0</v>
      </c>
      <c r="AU249" s="486">
        <f>SUMIF(C5:C304,"福岡県",AN5:AN304)</f>
        <v>0</v>
      </c>
      <c r="AV249" s="502">
        <f>COUNTIF(C5:C304,"福岡県")</f>
        <v>0</v>
      </c>
      <c r="AW249" s="497">
        <v>40</v>
      </c>
    </row>
    <row r="250" spans="1:49" ht="13.5" hidden="1" customHeight="1">
      <c r="A250" s="484">
        <v>246</v>
      </c>
      <c r="B250" s="483" t="str">
        <f>IFERROR(VLOOKUP(C250,[1]Sheet1!$B$6:$C$52,2,0),"")</f>
        <v/>
      </c>
      <c r="C250" s="496"/>
      <c r="D250" s="495"/>
      <c r="E250" s="494"/>
      <c r="F250" s="495"/>
      <c r="G250" s="494"/>
      <c r="H250" s="480"/>
      <c r="I250" s="480"/>
      <c r="J250" s="573"/>
      <c r="K250" s="494"/>
      <c r="L250" s="495"/>
      <c r="M250" s="494"/>
      <c r="N250" s="480"/>
      <c r="O250" s="493"/>
      <c r="AF250" s="501"/>
      <c r="AG250" s="492"/>
      <c r="AH250" s="489">
        <f t="shared" si="15"/>
        <v>0</v>
      </c>
      <c r="AI250" s="491"/>
      <c r="AJ250" s="490"/>
      <c r="AK250" s="489">
        <f t="shared" si="17"/>
        <v>0</v>
      </c>
      <c r="AL250" s="489">
        <f t="shared" si="18"/>
        <v>0</v>
      </c>
      <c r="AM250" s="488">
        <f t="shared" si="19"/>
        <v>0</v>
      </c>
      <c r="AN250" s="500">
        <f t="shared" si="16"/>
        <v>0</v>
      </c>
      <c r="AO250" s="500"/>
      <c r="AS250" s="503" t="s">
        <v>860</v>
      </c>
      <c r="AT250" s="486">
        <f>SUMIF(C5:C304,"佐賀県",AM5:AM304)</f>
        <v>0</v>
      </c>
      <c r="AU250" s="486">
        <f>SUMIF(C5:C304,"佐賀県",AN5:AN304)</f>
        <v>0</v>
      </c>
      <c r="AV250" s="502">
        <f>COUNTIF(C5:C304,"佐賀県")</f>
        <v>0</v>
      </c>
      <c r="AW250" s="497">
        <v>41</v>
      </c>
    </row>
    <row r="251" spans="1:49" ht="13.5" hidden="1" customHeight="1">
      <c r="A251" s="484">
        <v>247</v>
      </c>
      <c r="B251" s="483" t="str">
        <f>IFERROR(VLOOKUP(C251,[1]Sheet1!$B$6:$C$52,2,0),"")</f>
        <v/>
      </c>
      <c r="C251" s="496"/>
      <c r="D251" s="495"/>
      <c r="E251" s="494"/>
      <c r="F251" s="495"/>
      <c r="G251" s="494"/>
      <c r="H251" s="480"/>
      <c r="I251" s="480"/>
      <c r="J251" s="573"/>
      <c r="K251" s="494"/>
      <c r="L251" s="495"/>
      <c r="M251" s="494"/>
      <c r="N251" s="480"/>
      <c r="O251" s="493"/>
      <c r="AF251" s="501"/>
      <c r="AG251" s="492"/>
      <c r="AH251" s="489">
        <f t="shared" si="15"/>
        <v>0</v>
      </c>
      <c r="AI251" s="491"/>
      <c r="AJ251" s="490"/>
      <c r="AK251" s="489">
        <f t="shared" si="17"/>
        <v>0</v>
      </c>
      <c r="AL251" s="489">
        <f t="shared" si="18"/>
        <v>0</v>
      </c>
      <c r="AM251" s="488">
        <f t="shared" si="19"/>
        <v>0</v>
      </c>
      <c r="AN251" s="500">
        <f t="shared" si="16"/>
        <v>0</v>
      </c>
      <c r="AO251" s="500"/>
      <c r="AS251" s="503" t="s">
        <v>861</v>
      </c>
      <c r="AT251" s="486">
        <f>SUMIF(C5:C304,"長崎県",AM5:AM304)</f>
        <v>0</v>
      </c>
      <c r="AU251" s="486">
        <f>SUMIF(C5:C304,"長崎県",AN5:AN304)</f>
        <v>0</v>
      </c>
      <c r="AV251" s="502">
        <f>COUNTIF(C5:C304,"長崎県")</f>
        <v>0</v>
      </c>
      <c r="AW251" s="497">
        <v>42</v>
      </c>
    </row>
    <row r="252" spans="1:49" ht="13.5" hidden="1" customHeight="1">
      <c r="A252" s="484">
        <v>248</v>
      </c>
      <c r="B252" s="483" t="str">
        <f>IFERROR(VLOOKUP(C252,[1]Sheet1!$B$6:$C$52,2,0),"")</f>
        <v/>
      </c>
      <c r="C252" s="496"/>
      <c r="D252" s="495"/>
      <c r="E252" s="494"/>
      <c r="F252" s="495"/>
      <c r="G252" s="494"/>
      <c r="H252" s="480"/>
      <c r="I252" s="480"/>
      <c r="J252" s="573"/>
      <c r="K252" s="494"/>
      <c r="L252" s="495"/>
      <c r="M252" s="494"/>
      <c r="N252" s="480"/>
      <c r="O252" s="493"/>
      <c r="AF252" s="501"/>
      <c r="AG252" s="492"/>
      <c r="AH252" s="489">
        <f t="shared" si="15"/>
        <v>0</v>
      </c>
      <c r="AI252" s="491"/>
      <c r="AJ252" s="490"/>
      <c r="AK252" s="489">
        <f t="shared" si="17"/>
        <v>0</v>
      </c>
      <c r="AL252" s="489">
        <f t="shared" si="18"/>
        <v>0</v>
      </c>
      <c r="AM252" s="488">
        <f t="shared" si="19"/>
        <v>0</v>
      </c>
      <c r="AN252" s="500">
        <f t="shared" si="16"/>
        <v>0</v>
      </c>
      <c r="AO252" s="500"/>
      <c r="AS252" s="503" t="s">
        <v>862</v>
      </c>
      <c r="AT252" s="486">
        <f>SUMIF(C5:C304,"熊本県",AM5:AM304)</f>
        <v>0</v>
      </c>
      <c r="AU252" s="486">
        <f>SUMIF(C5:C304,"熊本県",AN5:AN304)</f>
        <v>0</v>
      </c>
      <c r="AV252" s="502">
        <f>COUNTIF(C5:C304,"熊本県")</f>
        <v>0</v>
      </c>
      <c r="AW252" s="497">
        <v>43</v>
      </c>
    </row>
    <row r="253" spans="1:49" ht="13.5" hidden="1" customHeight="1">
      <c r="A253" s="484">
        <v>249</v>
      </c>
      <c r="B253" s="483" t="str">
        <f>IFERROR(VLOOKUP(C253,[1]Sheet1!$B$6:$C$52,2,0),"")</f>
        <v/>
      </c>
      <c r="C253" s="496"/>
      <c r="D253" s="495"/>
      <c r="E253" s="494"/>
      <c r="F253" s="495"/>
      <c r="G253" s="494"/>
      <c r="H253" s="480"/>
      <c r="I253" s="480"/>
      <c r="J253" s="573"/>
      <c r="K253" s="494"/>
      <c r="L253" s="495"/>
      <c r="M253" s="494"/>
      <c r="N253" s="480"/>
      <c r="O253" s="493"/>
      <c r="AF253" s="501"/>
      <c r="AG253" s="492"/>
      <c r="AH253" s="489">
        <f t="shared" si="15"/>
        <v>0</v>
      </c>
      <c r="AI253" s="491"/>
      <c r="AJ253" s="490"/>
      <c r="AK253" s="489">
        <f t="shared" si="17"/>
        <v>0</v>
      </c>
      <c r="AL253" s="489">
        <f t="shared" si="18"/>
        <v>0</v>
      </c>
      <c r="AM253" s="488">
        <f t="shared" si="19"/>
        <v>0</v>
      </c>
      <c r="AN253" s="500">
        <f t="shared" si="16"/>
        <v>0</v>
      </c>
      <c r="AO253" s="500"/>
      <c r="AS253" s="503" t="s">
        <v>863</v>
      </c>
      <c r="AT253" s="486">
        <f>SUMIF(C5:C304,"大分県",AM5:AM304)</f>
        <v>0</v>
      </c>
      <c r="AU253" s="486">
        <f>SUMIF(C5:C304,"大分県",AN5:AN304)</f>
        <v>0</v>
      </c>
      <c r="AV253" s="502">
        <f>COUNTIF(C5:C304,"大分県")</f>
        <v>0</v>
      </c>
      <c r="AW253" s="497">
        <v>44</v>
      </c>
    </row>
    <row r="254" spans="1:49" ht="13.5" hidden="1" customHeight="1">
      <c r="A254" s="484">
        <v>250</v>
      </c>
      <c r="B254" s="483" t="str">
        <f>IFERROR(VLOOKUP(C254,[1]Sheet1!$B$6:$C$52,2,0),"")</f>
        <v/>
      </c>
      <c r="C254" s="496"/>
      <c r="D254" s="495"/>
      <c r="E254" s="494"/>
      <c r="F254" s="495"/>
      <c r="G254" s="494"/>
      <c r="H254" s="480"/>
      <c r="I254" s="480"/>
      <c r="J254" s="573"/>
      <c r="K254" s="494"/>
      <c r="L254" s="495"/>
      <c r="M254" s="494"/>
      <c r="N254" s="480"/>
      <c r="O254" s="493"/>
      <c r="AF254" s="501"/>
      <c r="AG254" s="492"/>
      <c r="AH254" s="489">
        <f t="shared" si="15"/>
        <v>0</v>
      </c>
      <c r="AI254" s="491"/>
      <c r="AJ254" s="490"/>
      <c r="AK254" s="489">
        <f t="shared" si="17"/>
        <v>0</v>
      </c>
      <c r="AL254" s="489">
        <f t="shared" si="18"/>
        <v>0</v>
      </c>
      <c r="AM254" s="488">
        <f t="shared" si="19"/>
        <v>0</v>
      </c>
      <c r="AN254" s="500">
        <f t="shared" si="16"/>
        <v>0</v>
      </c>
      <c r="AO254" s="500"/>
      <c r="AS254" s="503" t="s">
        <v>864</v>
      </c>
      <c r="AT254" s="486">
        <f>SUMIF(C5:C304,"宮崎県",AM5:AM304)</f>
        <v>0</v>
      </c>
      <c r="AU254" s="486">
        <f>SUMIF(C5:C304,"宮崎県",AN5:AN304)</f>
        <v>0</v>
      </c>
      <c r="AV254" s="502">
        <f>COUNTIF(C5:C304,"宮崎県")</f>
        <v>0</v>
      </c>
      <c r="AW254" s="497">
        <v>45</v>
      </c>
    </row>
    <row r="255" spans="1:49" ht="13.5" hidden="1" customHeight="1">
      <c r="A255" s="484">
        <v>251</v>
      </c>
      <c r="B255" s="483" t="str">
        <f>IFERROR(VLOOKUP(C255,[1]Sheet1!$B$6:$C$52,2,0),"")</f>
        <v/>
      </c>
      <c r="C255" s="496"/>
      <c r="D255" s="495"/>
      <c r="E255" s="494"/>
      <c r="F255" s="495"/>
      <c r="G255" s="494"/>
      <c r="H255" s="480"/>
      <c r="I255" s="480"/>
      <c r="J255" s="573"/>
      <c r="K255" s="494"/>
      <c r="L255" s="495"/>
      <c r="M255" s="494"/>
      <c r="N255" s="480"/>
      <c r="O255" s="493"/>
      <c r="AF255" s="501"/>
      <c r="AG255" s="492"/>
      <c r="AH255" s="489">
        <f t="shared" si="15"/>
        <v>0</v>
      </c>
      <c r="AI255" s="491"/>
      <c r="AJ255" s="490"/>
      <c r="AK255" s="489">
        <f t="shared" si="17"/>
        <v>0</v>
      </c>
      <c r="AL255" s="489">
        <f t="shared" si="18"/>
        <v>0</v>
      </c>
      <c r="AM255" s="488">
        <f t="shared" si="19"/>
        <v>0</v>
      </c>
      <c r="AN255" s="500">
        <f t="shared" si="16"/>
        <v>0</v>
      </c>
      <c r="AO255" s="500"/>
      <c r="AS255" s="503" t="s">
        <v>865</v>
      </c>
      <c r="AT255" s="486">
        <f>SUMIF(C5:C304,"鹿児島県",AM5:AM304)</f>
        <v>0</v>
      </c>
      <c r="AU255" s="486">
        <f>SUMIF(C5:C304,"鹿児島県",AN5:AN304)</f>
        <v>0</v>
      </c>
      <c r="AV255" s="502">
        <f>COUNTIF(C5:C304,"鹿児島県")</f>
        <v>0</v>
      </c>
      <c r="AW255" s="497">
        <v>46</v>
      </c>
    </row>
    <row r="256" spans="1:49" ht="13.5" hidden="1" customHeight="1" thickBot="1">
      <c r="A256" s="484">
        <v>252</v>
      </c>
      <c r="B256" s="483" t="str">
        <f>IFERROR(VLOOKUP(C256,[1]Sheet1!$B$6:$C$52,2,0),"")</f>
        <v/>
      </c>
      <c r="C256" s="496"/>
      <c r="D256" s="495"/>
      <c r="E256" s="494"/>
      <c r="F256" s="495"/>
      <c r="G256" s="494"/>
      <c r="H256" s="480"/>
      <c r="I256" s="480"/>
      <c r="J256" s="573"/>
      <c r="K256" s="494"/>
      <c r="L256" s="495"/>
      <c r="M256" s="494"/>
      <c r="N256" s="480"/>
      <c r="O256" s="493"/>
      <c r="AF256" s="501"/>
      <c r="AG256" s="492"/>
      <c r="AH256" s="489">
        <f t="shared" si="15"/>
        <v>0</v>
      </c>
      <c r="AI256" s="491"/>
      <c r="AJ256" s="490"/>
      <c r="AK256" s="489">
        <f t="shared" si="17"/>
        <v>0</v>
      </c>
      <c r="AL256" s="489">
        <f t="shared" si="18"/>
        <v>0</v>
      </c>
      <c r="AM256" s="488">
        <f t="shared" si="19"/>
        <v>0</v>
      </c>
      <c r="AN256" s="500">
        <f t="shared" si="16"/>
        <v>0</v>
      </c>
      <c r="AO256" s="500"/>
      <c r="AS256" s="499" t="s">
        <v>866</v>
      </c>
      <c r="AT256" s="498">
        <f>SUMIF(C5:C304,"沖縄県",AM5:AM304)</f>
        <v>0</v>
      </c>
      <c r="AU256" s="498">
        <f>SUMIF(C5:C304,"沖縄県",AN5:AN304)</f>
        <v>0</v>
      </c>
      <c r="AV256" s="498">
        <f>COUNTIF(C5:C304,"沖縄県")</f>
        <v>0</v>
      </c>
      <c r="AW256" s="497">
        <v>47</v>
      </c>
    </row>
    <row r="257" spans="1:48" ht="13.5" hidden="1" customHeight="1" thickTop="1">
      <c r="A257" s="484">
        <v>253</v>
      </c>
      <c r="B257" s="483" t="str">
        <f>IFERROR(VLOOKUP(C257,[1]Sheet1!$B$6:$C$52,2,0),"")</f>
        <v/>
      </c>
      <c r="C257" s="496"/>
      <c r="D257" s="495"/>
      <c r="E257" s="494"/>
      <c r="F257" s="495"/>
      <c r="G257" s="494"/>
      <c r="H257" s="480"/>
      <c r="I257" s="480"/>
      <c r="J257" s="573"/>
      <c r="K257" s="494"/>
      <c r="L257" s="495"/>
      <c r="M257" s="494"/>
      <c r="N257" s="480"/>
      <c r="O257" s="493"/>
      <c r="AF257" s="501"/>
      <c r="AG257" s="492"/>
      <c r="AH257" s="489">
        <f t="shared" si="15"/>
        <v>0</v>
      </c>
      <c r="AI257" s="491"/>
      <c r="AJ257" s="490"/>
      <c r="AK257" s="489">
        <f t="shared" si="17"/>
        <v>0</v>
      </c>
      <c r="AL257" s="489">
        <f t="shared" si="18"/>
        <v>0</v>
      </c>
      <c r="AM257" s="488">
        <f t="shared" si="19"/>
        <v>0</v>
      </c>
      <c r="AN257" s="577">
        <f t="shared" si="16"/>
        <v>0</v>
      </c>
      <c r="AO257" s="577"/>
      <c r="AS257" s="487" t="s">
        <v>867</v>
      </c>
      <c r="AT257" s="486">
        <f ca="1">SUM(AT209:AT256)</f>
        <v>0</v>
      </c>
      <c r="AU257" s="485">
        <f>SUM(AU209:AU256)</f>
        <v>0</v>
      </c>
      <c r="AV257" s="485">
        <f>SUM(AV209:AV256)</f>
        <v>0</v>
      </c>
    </row>
    <row r="258" spans="1:48" ht="13.5" hidden="1" customHeight="1" thickBot="1">
      <c r="A258" s="484">
        <v>253</v>
      </c>
      <c r="B258" s="483" t="str">
        <f>IFERROR(VLOOKUP(C258,[1]Sheet1!$B$6:$C$52,2,0),"")</f>
        <v/>
      </c>
      <c r="C258" s="482"/>
      <c r="D258" s="481"/>
      <c r="E258" s="478"/>
      <c r="F258" s="481" t="str">
        <f t="shared" ref="F258" si="24">TEXT(D258,"[$-ja-JP]ggge年m月d日")</f>
        <v>明治33年1月0日</v>
      </c>
      <c r="G258" s="478" t="str">
        <f t="shared" ref="G258" si="25">CONCATENATE(F258,E258)</f>
        <v>明治33年1月0日</v>
      </c>
      <c r="H258" s="477"/>
      <c r="I258" s="480"/>
      <c r="J258" s="479"/>
      <c r="K258" s="478"/>
      <c r="L258" s="495" t="str">
        <f t="shared" ref="L258" si="26">TEXT(J258,"[$-ja-JP]ggge年m月d日")</f>
        <v>明治33年1月0日</v>
      </c>
      <c r="M258" s="494" t="str">
        <f t="shared" ref="M258" si="27">CONCATENATE(L258,K258)</f>
        <v>明治33年1月0日</v>
      </c>
      <c r="N258" s="477"/>
      <c r="O258" s="476"/>
      <c r="AF258" s="475"/>
      <c r="AG258" s="474">
        <v>0</v>
      </c>
      <c r="AH258" s="471">
        <f t="shared" si="15"/>
        <v>0</v>
      </c>
      <c r="AI258" s="473"/>
      <c r="AJ258" s="472"/>
      <c r="AK258" s="471">
        <f t="shared" si="17"/>
        <v>0</v>
      </c>
      <c r="AL258" s="471">
        <f t="shared" si="18"/>
        <v>0</v>
      </c>
      <c r="AM258" s="470">
        <f t="shared" si="19"/>
        <v>0</v>
      </c>
      <c r="AN258" s="469">
        <f t="shared" si="16"/>
        <v>0</v>
      </c>
      <c r="AO258" s="469">
        <f t="shared" si="16"/>
        <v>0</v>
      </c>
      <c r="AT258" s="451" t="e">
        <f>AM259</f>
        <v>#REF!</v>
      </c>
      <c r="AU258" s="451" t="e">
        <f>AN259</f>
        <v>#REF!</v>
      </c>
    </row>
    <row r="259" spans="1:48" ht="13.5" customHeight="1" thickBot="1">
      <c r="B259" s="468"/>
      <c r="C259" s="467"/>
      <c r="D259" s="466"/>
      <c r="E259" s="465"/>
      <c r="F259" s="466"/>
      <c r="G259" s="465"/>
      <c r="H259" s="464"/>
      <c r="I259" s="464"/>
      <c r="J259" s="464"/>
      <c r="K259" s="463"/>
      <c r="L259" s="464"/>
      <c r="M259" s="463"/>
      <c r="N259" s="462" t="s">
        <v>868</v>
      </c>
      <c r="O259" s="461"/>
      <c r="AF259" s="460" t="e">
        <f t="shared" ref="AF259:AO259" si="28">SUM(AF5:AF258)</f>
        <v>#REF!</v>
      </c>
      <c r="AG259" s="460" t="e">
        <f t="shared" si="28"/>
        <v>#REF!</v>
      </c>
      <c r="AH259" s="460" t="e">
        <f t="shared" si="28"/>
        <v>#REF!</v>
      </c>
      <c r="AI259" s="460" t="e">
        <f t="shared" si="28"/>
        <v>#REF!</v>
      </c>
      <c r="AJ259" s="460" t="e">
        <f t="shared" si="28"/>
        <v>#REF!</v>
      </c>
      <c r="AK259" s="460" t="e">
        <f t="shared" si="28"/>
        <v>#REF!</v>
      </c>
      <c r="AL259" s="460" t="e">
        <f t="shared" si="28"/>
        <v>#REF!</v>
      </c>
      <c r="AM259" s="460" t="e">
        <f t="shared" si="28"/>
        <v>#REF!</v>
      </c>
      <c r="AN259" s="460" t="e">
        <f t="shared" si="28"/>
        <v>#REF!</v>
      </c>
      <c r="AO259" s="460">
        <f t="shared" si="28"/>
        <v>0</v>
      </c>
    </row>
    <row r="260" spans="1:48" ht="13.5" customHeight="1">
      <c r="C260" s="459"/>
    </row>
    <row r="261" spans="1:48" ht="13.5" customHeight="1">
      <c r="C261" s="451" t="s">
        <v>869</v>
      </c>
      <c r="AM261" s="453">
        <v>0.95958018700000003</v>
      </c>
    </row>
    <row r="263" spans="1:48" ht="13.5" customHeight="1">
      <c r="AL263" s="1415" t="s">
        <v>870</v>
      </c>
      <c r="AM263" s="1416"/>
      <c r="AN263" s="457">
        <v>1357886000</v>
      </c>
      <c r="AO263" s="457">
        <v>1357886000</v>
      </c>
    </row>
    <row r="264" spans="1:48" ht="13.5" customHeight="1">
      <c r="AL264" s="1415" t="s">
        <v>871</v>
      </c>
      <c r="AM264" s="1416"/>
      <c r="AN264" s="457" t="e">
        <f>AM259</f>
        <v>#REF!</v>
      </c>
      <c r="AO264" s="457" t="e">
        <f>AN259</f>
        <v>#REF!</v>
      </c>
    </row>
    <row r="265" spans="1:48" ht="13.5" customHeight="1">
      <c r="AL265" s="1415" t="s">
        <v>872</v>
      </c>
      <c r="AM265" s="1416"/>
      <c r="AN265" s="458">
        <f>AM261</f>
        <v>0.95958018700000003</v>
      </c>
      <c r="AO265" s="458">
        <f>AN261</f>
        <v>0</v>
      </c>
    </row>
    <row r="266" spans="1:48" ht="13.5" customHeight="1">
      <c r="AL266" s="1415" t="s">
        <v>873</v>
      </c>
      <c r="AM266" s="1416"/>
      <c r="AN266" s="457" t="e">
        <f>AN259</f>
        <v>#REF!</v>
      </c>
      <c r="AO266" s="457">
        <f>AO259</f>
        <v>0</v>
      </c>
    </row>
    <row r="267" spans="1:48" ht="13.5" customHeight="1">
      <c r="AL267" s="1415" t="s">
        <v>874</v>
      </c>
      <c r="AM267" s="1416"/>
      <c r="AN267" s="457" t="e">
        <f>AN263-AN266</f>
        <v>#REF!</v>
      </c>
      <c r="AO267" s="457">
        <f>AO263-AO266</f>
        <v>1357886000</v>
      </c>
    </row>
  </sheetData>
  <autoFilter ref="B4:AY259" xr:uid="{00000000-0009-0000-0000-00002B000000}"/>
  <mergeCells count="25">
    <mergeCell ref="A3:A4"/>
    <mergeCell ref="B3:B4"/>
    <mergeCell ref="C3:C4"/>
    <mergeCell ref="D3:E3"/>
    <mergeCell ref="F3:G3"/>
    <mergeCell ref="P3:P4"/>
    <mergeCell ref="D2:E2"/>
    <mergeCell ref="F2:G2"/>
    <mergeCell ref="J2:K2"/>
    <mergeCell ref="L2:M2"/>
    <mergeCell ref="H3:H4"/>
    <mergeCell ref="I3:I4"/>
    <mergeCell ref="J3:K3"/>
    <mergeCell ref="L3:M3"/>
    <mergeCell ref="N3:N4"/>
    <mergeCell ref="O3:O4"/>
    <mergeCell ref="AL265:AM265"/>
    <mergeCell ref="AL266:AM266"/>
    <mergeCell ref="AL267:AM267"/>
    <mergeCell ref="R3:U3"/>
    <mergeCell ref="V3:V4"/>
    <mergeCell ref="W3:AE3"/>
    <mergeCell ref="AF3:AM3"/>
    <mergeCell ref="AL263:AM263"/>
    <mergeCell ref="AL264:AM264"/>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B00-000000000000}">
          <x14:formula1>
            <xm:f>'C:\Users\MALFJ\Desktop\Ｒ３臨床研修費等補助金（歯科医師）\☑ 01_北海道 ◎\[【北海道】令和３年度医療関係者研修費等補助金・臨床研修費補助金（総括表）.xlsx]Sheet1'!#REF!</xm:f>
          </x14:formula1>
          <xm:sqref>C5:C19</xm:sqref>
        </x14:dataValidation>
        <x14:dataValidation type="list" allowBlank="1" showInputMessage="1" showErrorMessage="1" xr:uid="{00000000-0002-0000-2B00-000001000000}">
          <x14:formula1>
            <xm:f>'\\10.25.53.248\disk1\☆作業用フォルダ\03_決算第一係\00   執行関係\12　交付決定・確定等\令和４年度\医療関係者研修費等補助金・臨床研修等補助金\02_交付決定（臨床研修費等補助金）\令和４年度_臨床研修（歯科）\[別記　令和４年度_医療関係者研修費等補助金・臨床研修費補助金（総括表） .xlsx]Sheet1'!#REF!</xm:f>
          </x14:formula1>
          <xm:sqref>C20:C259</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7"/>
  </sheetPr>
  <dimension ref="A1:AH64"/>
  <sheetViews>
    <sheetView showGridLines="0" view="pageBreakPreview" zoomScaleNormal="100" zoomScaleSheetLayoutView="100" workbookViewId="0">
      <pane xSplit="11" ySplit="4" topLeftCell="L5" activePane="bottomRight" state="frozen"/>
      <selection pane="bottomRight" activeCell="N6" sqref="N6:X6"/>
      <selection pane="bottomLeft" activeCell="N6" sqref="N6:X6"/>
      <selection pane="topRight" activeCell="N6" sqref="N6:X6"/>
    </sheetView>
  </sheetViews>
  <sheetFormatPr defaultColWidth="9" defaultRowHeight="13.5" customHeight="1"/>
  <cols>
    <col min="1" max="1" width="3.5" style="451" hidden="1" customWidth="1"/>
    <col min="2" max="2" width="6.625" style="451" customWidth="1"/>
    <col min="3" max="3" width="6.5" style="451" customWidth="1"/>
    <col min="4" max="5" width="11.375" style="451" customWidth="1"/>
    <col min="6" max="6" width="11.375" style="456" customWidth="1"/>
    <col min="7" max="9" width="12.75" style="451" customWidth="1"/>
    <col min="10" max="13" width="17.625" style="454" customWidth="1"/>
    <col min="14" max="14" width="7.25" style="455" customWidth="1"/>
    <col min="15" max="15" width="10.5" style="451" customWidth="1"/>
    <col min="16" max="17" width="17.625" style="454" customWidth="1"/>
    <col min="18" max="18" width="12.25" style="453" customWidth="1"/>
    <col min="19" max="19" width="10.625" style="453" customWidth="1"/>
    <col min="20" max="20" width="13" style="453" customWidth="1"/>
    <col min="21" max="21" width="12.625" style="453" customWidth="1"/>
    <col min="22" max="22" width="12" style="453" customWidth="1"/>
    <col min="23" max="23" width="11.625" style="453" customWidth="1"/>
    <col min="24" max="24" width="12.875" style="453" customWidth="1"/>
    <col min="25" max="25" width="13.5" style="453" customWidth="1"/>
    <col min="26" max="29" width="11.75" style="453" customWidth="1"/>
    <col min="30" max="30" width="9" style="451"/>
    <col min="31" max="32" width="10.125" style="451" bestFit="1" customWidth="1"/>
    <col min="33" max="16384" width="9" style="451"/>
  </cols>
  <sheetData>
    <row r="1" spans="1:34" ht="30" customHeight="1">
      <c r="C1" s="541" t="s">
        <v>875</v>
      </c>
      <c r="D1" s="540"/>
      <c r="E1" s="540"/>
      <c r="R1" s="539"/>
      <c r="S1" s="539"/>
      <c r="T1" s="539"/>
      <c r="U1" s="539"/>
      <c r="V1" s="539"/>
      <c r="W1" s="539"/>
      <c r="X1" s="539"/>
      <c r="Y1" s="539"/>
    </row>
    <row r="2" spans="1:34" s="533" customFormat="1" ht="29.25" customHeight="1" thickBot="1">
      <c r="C2" s="538" t="s">
        <v>765</v>
      </c>
      <c r="D2" s="1442" t="s">
        <v>876</v>
      </c>
      <c r="E2" s="1442"/>
      <c r="F2" s="1426" t="s">
        <v>767</v>
      </c>
      <c r="G2" s="1427"/>
      <c r="H2" s="542"/>
      <c r="I2" s="537" t="s">
        <v>767</v>
      </c>
      <c r="J2" s="537" t="s">
        <v>768</v>
      </c>
      <c r="K2" s="537" t="s">
        <v>771</v>
      </c>
      <c r="L2" s="537" t="s">
        <v>877</v>
      </c>
      <c r="M2" s="537"/>
      <c r="N2" s="1428" t="s">
        <v>772</v>
      </c>
      <c r="O2" s="1428"/>
      <c r="P2" s="537"/>
      <c r="Q2" s="537"/>
      <c r="R2" s="536"/>
      <c r="S2" s="536"/>
      <c r="T2" s="536"/>
      <c r="U2" s="536"/>
      <c r="V2" s="536"/>
      <c r="W2" s="536"/>
      <c r="X2" s="537"/>
      <c r="Y2" s="536"/>
      <c r="Z2" s="535"/>
      <c r="AA2" s="535"/>
      <c r="AB2" s="535" t="s">
        <v>878</v>
      </c>
      <c r="AC2" s="535" t="s">
        <v>879</v>
      </c>
    </row>
    <row r="3" spans="1:34" ht="34.5" customHeight="1">
      <c r="A3" s="1438" t="s">
        <v>773</v>
      </c>
      <c r="B3" s="1439" t="s">
        <v>774</v>
      </c>
      <c r="C3" s="1440" t="s">
        <v>775</v>
      </c>
      <c r="D3" s="1432" t="s">
        <v>131</v>
      </c>
      <c r="E3" s="1433"/>
      <c r="F3" s="1432" t="s">
        <v>776</v>
      </c>
      <c r="G3" s="1433"/>
      <c r="H3" s="543"/>
      <c r="I3" s="544" t="s">
        <v>776</v>
      </c>
      <c r="J3" s="1430" t="s">
        <v>778</v>
      </c>
      <c r="K3" s="1424" t="s">
        <v>679</v>
      </c>
      <c r="L3" s="532" t="s">
        <v>880</v>
      </c>
      <c r="M3" s="545"/>
      <c r="N3" s="1443" t="s">
        <v>881</v>
      </c>
      <c r="O3" s="1433"/>
      <c r="P3" s="1435" t="s">
        <v>781</v>
      </c>
      <c r="Q3" s="1436" t="s">
        <v>782</v>
      </c>
      <c r="R3" s="1423" t="s">
        <v>788</v>
      </c>
      <c r="S3" s="1418"/>
      <c r="T3" s="1418"/>
      <c r="U3" s="1418"/>
      <c r="V3" s="1418"/>
      <c r="W3" s="1418"/>
      <c r="X3" s="1418"/>
      <c r="Y3" s="1418"/>
      <c r="Z3" s="1418"/>
      <c r="AA3" s="1418"/>
      <c r="AB3" s="1418"/>
      <c r="AC3" s="1422"/>
    </row>
    <row r="4" spans="1:34" ht="34.5" customHeight="1">
      <c r="A4" s="1438"/>
      <c r="B4" s="1439"/>
      <c r="C4" s="1441"/>
      <c r="D4" s="546" t="s">
        <v>882</v>
      </c>
      <c r="E4" s="547" t="s">
        <v>883</v>
      </c>
      <c r="F4" s="529" t="s">
        <v>789</v>
      </c>
      <c r="G4" s="527" t="s">
        <v>790</v>
      </c>
      <c r="H4" s="548"/>
      <c r="I4" s="548" t="s">
        <v>791</v>
      </c>
      <c r="J4" s="1431"/>
      <c r="K4" s="1425"/>
      <c r="L4" s="549" t="s">
        <v>884</v>
      </c>
      <c r="M4" s="550"/>
      <c r="N4" s="551" t="s">
        <v>789</v>
      </c>
      <c r="O4" s="547" t="s">
        <v>790</v>
      </c>
      <c r="P4" s="1431"/>
      <c r="Q4" s="1437"/>
      <c r="R4" s="520" t="s">
        <v>806</v>
      </c>
      <c r="S4" s="519" t="s">
        <v>807</v>
      </c>
      <c r="T4" s="517" t="s">
        <v>808</v>
      </c>
      <c r="U4" s="518" t="s">
        <v>885</v>
      </c>
      <c r="V4" s="517" t="s">
        <v>810</v>
      </c>
      <c r="W4" s="516" t="s">
        <v>811</v>
      </c>
      <c r="X4" s="516" t="s">
        <v>812</v>
      </c>
      <c r="Y4" s="515" t="s">
        <v>813</v>
      </c>
      <c r="Z4" s="514" t="s">
        <v>814</v>
      </c>
      <c r="AA4" s="552" t="s">
        <v>886</v>
      </c>
      <c r="AB4" s="552" t="s">
        <v>887</v>
      </c>
      <c r="AC4" s="552" t="s">
        <v>888</v>
      </c>
    </row>
    <row r="5" spans="1:34" s="484" customFormat="1" ht="13.5" customHeight="1" thickBot="1">
      <c r="A5" s="484">
        <v>1</v>
      </c>
      <c r="B5" s="483" t="str">
        <f>IFERROR(VLOOKUP(C5,[4]Sheet1!$B$6:$C$52,2,0),"")</f>
        <v/>
      </c>
      <c r="C5" s="496"/>
      <c r="D5" s="553"/>
      <c r="E5" s="554"/>
      <c r="F5" s="495"/>
      <c r="G5" s="555"/>
      <c r="H5" s="556" t="str">
        <f>TEXT(F5,"[$-ja-JP]ggge年m月d日")</f>
        <v>明治33年1月0日</v>
      </c>
      <c r="I5" s="556" t="str">
        <f>CONCATENATE(H5,G5)</f>
        <v>明治33年1月0日</v>
      </c>
      <c r="J5" s="480">
        <f>第4号様式!G9</f>
        <v>0</v>
      </c>
      <c r="K5" s="480">
        <f>第4号様式!G8</f>
        <v>0</v>
      </c>
      <c r="L5" s="493" t="str">
        <f>CONCATENATE(M5,O5)</f>
        <v>　年　　　月　　　日番　　　　　　　号</v>
      </c>
      <c r="M5" s="494" t="str">
        <f>TEXT(N5,"[$-ja-JP]ggge年m月d日")</f>
        <v>　年　　　月　　　日</v>
      </c>
      <c r="N5" s="557" t="str">
        <f>第4号様式!H3</f>
        <v>　年　　　月　　　日</v>
      </c>
      <c r="O5" s="554" t="str">
        <f>第4号様式!H2</f>
        <v>番　　　　　　　号</v>
      </c>
      <c r="P5" s="480" t="e">
        <f>Q5</f>
        <v>#REF!</v>
      </c>
      <c r="Q5" s="480" t="e">
        <f>#REF!</f>
        <v>#REF!</v>
      </c>
      <c r="R5" s="501">
        <f>'第4号様式別紙1-1（精算書、対象経費内訳）'!B11</f>
        <v>0</v>
      </c>
      <c r="S5" s="492">
        <f>'第4号様式別紙1-1（精算書、対象経費内訳）'!C11</f>
        <v>0</v>
      </c>
      <c r="T5" s="489">
        <f t="shared" ref="T5" si="0">R5-S5</f>
        <v>0</v>
      </c>
      <c r="U5" s="491">
        <f>'第4号様式別紙1-1（精算書、対象経費内訳）'!E11</f>
        <v>0</v>
      </c>
      <c r="V5" s="490" t="str">
        <f>'第4号様式別紙1-1（精算書、対象経費内訳）'!F11</f>
        <v/>
      </c>
      <c r="W5" s="489">
        <f t="shared" ref="W5" si="1">MIN(U5,V5)</f>
        <v>0</v>
      </c>
      <c r="X5" s="489">
        <f t="shared" ref="X5" si="2">MIN(T5,W5)</f>
        <v>0</v>
      </c>
      <c r="Y5" s="488">
        <f>ROUNDDOWN(X5,-3)</f>
        <v>0</v>
      </c>
      <c r="Z5" s="500">
        <f>'第4号様式別紙1-1（精算書、対象経費内訳）'!L11</f>
        <v>0</v>
      </c>
      <c r="AA5" s="500">
        <f>'第4号様式別紙1-1（精算書、対象経費内訳）'!M11</f>
        <v>0</v>
      </c>
      <c r="AB5" s="558">
        <f>IF(Y5&lt;Z5,Y5,Z5)</f>
        <v>0</v>
      </c>
      <c r="AC5" s="558">
        <f>IF(Z5&gt;Y5:Y5,Z5-Y5,Z5-AA5)</f>
        <v>0</v>
      </c>
    </row>
    <row r="6" spans="1:34" ht="13.5" customHeight="1" thickTop="1" thickBot="1">
      <c r="B6" s="468"/>
      <c r="C6" s="559"/>
      <c r="D6" s="560"/>
      <c r="E6" s="561"/>
      <c r="F6" s="562"/>
      <c r="G6" s="563"/>
      <c r="H6" s="564"/>
      <c r="I6" s="564"/>
      <c r="J6" s="565"/>
      <c r="K6" s="565"/>
      <c r="L6" s="565"/>
      <c r="M6" s="566"/>
      <c r="N6" s="567"/>
      <c r="O6" s="568"/>
      <c r="P6" s="569" t="s">
        <v>868</v>
      </c>
      <c r="Q6" s="570"/>
      <c r="R6" s="571">
        <f t="shared" ref="R6:AC6" si="3">SUBTOTAL(9,R5:R5)</f>
        <v>0</v>
      </c>
      <c r="S6" s="571">
        <f t="shared" si="3"/>
        <v>0</v>
      </c>
      <c r="T6" s="571">
        <f t="shared" si="3"/>
        <v>0</v>
      </c>
      <c r="U6" s="571">
        <f t="shared" si="3"/>
        <v>0</v>
      </c>
      <c r="V6" s="571">
        <f t="shared" si="3"/>
        <v>0</v>
      </c>
      <c r="W6" s="571">
        <f t="shared" si="3"/>
        <v>0</v>
      </c>
      <c r="X6" s="571">
        <f t="shared" si="3"/>
        <v>0</v>
      </c>
      <c r="Y6" s="571">
        <f t="shared" si="3"/>
        <v>0</v>
      </c>
      <c r="Z6" s="571">
        <f t="shared" si="3"/>
        <v>0</v>
      </c>
      <c r="AA6" s="571">
        <f t="shared" si="3"/>
        <v>0</v>
      </c>
      <c r="AB6" s="571">
        <f t="shared" si="3"/>
        <v>0</v>
      </c>
      <c r="AC6" s="571">
        <f t="shared" si="3"/>
        <v>0</v>
      </c>
    </row>
    <row r="7" spans="1:34" ht="13.5" customHeight="1">
      <c r="C7" s="459"/>
    </row>
    <row r="8" spans="1:34" ht="13.5" customHeight="1">
      <c r="C8" s="451" t="s">
        <v>889</v>
      </c>
      <c r="Y8" s="453">
        <v>0.95958018700000003</v>
      </c>
    </row>
    <row r="10" spans="1:34" ht="13.5" customHeight="1">
      <c r="X10" s="1415" t="s">
        <v>870</v>
      </c>
      <c r="Y10" s="1416"/>
      <c r="Z10" s="457">
        <v>1357886000</v>
      </c>
      <c r="AA10" s="457"/>
      <c r="AB10" s="457"/>
      <c r="AC10" s="457"/>
    </row>
    <row r="11" spans="1:34" ht="13.5" customHeight="1">
      <c r="X11" s="1415" t="s">
        <v>871</v>
      </c>
      <c r="Y11" s="1416"/>
      <c r="Z11" s="457">
        <f>Y6</f>
        <v>0</v>
      </c>
      <c r="AA11" s="457"/>
      <c r="AB11" s="457"/>
      <c r="AC11" s="457"/>
    </row>
    <row r="12" spans="1:34" ht="13.5" customHeight="1">
      <c r="X12" s="1415" t="s">
        <v>872</v>
      </c>
      <c r="Y12" s="1416"/>
      <c r="Z12" s="458">
        <f>Y8</f>
        <v>0.95958018700000003</v>
      </c>
      <c r="AA12" s="458"/>
      <c r="AB12" s="458"/>
      <c r="AC12" s="458"/>
    </row>
    <row r="13" spans="1:34" ht="13.5" customHeight="1">
      <c r="X13" s="1415" t="s">
        <v>873</v>
      </c>
      <c r="Y13" s="1416"/>
      <c r="Z13" s="457">
        <f>Z6</f>
        <v>0</v>
      </c>
      <c r="AA13" s="457"/>
      <c r="AB13" s="457"/>
      <c r="AC13" s="457"/>
    </row>
    <row r="14" spans="1:34" ht="13.5" customHeight="1">
      <c r="X14" s="1415" t="s">
        <v>874</v>
      </c>
      <c r="Y14" s="1416"/>
      <c r="Z14" s="457">
        <f>Z10-Z13</f>
        <v>1357886000</v>
      </c>
      <c r="AA14" s="457"/>
      <c r="AB14" s="457"/>
      <c r="AC14" s="457"/>
    </row>
    <row r="15" spans="1:34" ht="13.5" customHeight="1">
      <c r="AD15" s="511" t="s">
        <v>816</v>
      </c>
      <c r="AE15" s="510" t="s">
        <v>817</v>
      </c>
      <c r="AF15" s="510" t="s">
        <v>818</v>
      </c>
      <c r="AG15" s="509" t="s">
        <v>819</v>
      </c>
      <c r="AH15" s="508" t="s">
        <v>774</v>
      </c>
    </row>
    <row r="16" spans="1:34" ht="13.5" customHeight="1">
      <c r="AD16" s="503" t="s">
        <v>820</v>
      </c>
      <c r="AE16" s="486">
        <f>SUMIF($C$5:$C$51,"北海道",Y5:Y51)</f>
        <v>0</v>
      </c>
      <c r="AF16" s="507">
        <f>SUMIF(C5:C51,"北海道",Z5:Z51)</f>
        <v>0</v>
      </c>
      <c r="AG16" s="502">
        <f>COUNTIF(C5:C51,"北海道")</f>
        <v>0</v>
      </c>
      <c r="AH16" s="497">
        <v>1</v>
      </c>
    </row>
    <row r="17" spans="30:34" ht="13.5" customHeight="1">
      <c r="AD17" s="503" t="s">
        <v>821</v>
      </c>
      <c r="AE17" s="486">
        <f>SUMIF(C5:C51,"青森県",Y5:Y51)</f>
        <v>0</v>
      </c>
      <c r="AF17" s="502">
        <f>SUMIF(C5:C51,"青森県",Z5:Z51)</f>
        <v>0</v>
      </c>
      <c r="AG17" s="502">
        <f>COUNTIF(C5:C51,"青森県")</f>
        <v>0</v>
      </c>
      <c r="AH17" s="497">
        <v>2</v>
      </c>
    </row>
    <row r="18" spans="30:34" ht="13.5" customHeight="1">
      <c r="AD18" s="503" t="s">
        <v>822</v>
      </c>
      <c r="AE18" s="486">
        <f>SUMIF(C5:C51,"岩手県",Y5:Y51)</f>
        <v>0</v>
      </c>
      <c r="AF18" s="502">
        <f>SUMIF(C5:C51,"岩手県",Z5:Z51)</f>
        <v>0</v>
      </c>
      <c r="AG18" s="502">
        <f>COUNTIF(C5:C51,"岩手県")</f>
        <v>0</v>
      </c>
      <c r="AH18" s="497">
        <v>3</v>
      </c>
    </row>
    <row r="19" spans="30:34" ht="13.5" customHeight="1">
      <c r="AD19" s="503" t="s">
        <v>823</v>
      </c>
      <c r="AE19" s="486">
        <f ca="1">SUMIF(C5:C51,"宮城県",Y5:Y5)</f>
        <v>0</v>
      </c>
      <c r="AF19" s="505">
        <f>SUMIF(C5:C51,"宮城県",Z5:Z51)</f>
        <v>0</v>
      </c>
      <c r="AG19" s="502">
        <f>COUNTIF(C5:C51,"宮城県")</f>
        <v>0</v>
      </c>
      <c r="AH19" s="497">
        <v>4</v>
      </c>
    </row>
    <row r="20" spans="30:34" ht="13.5" customHeight="1">
      <c r="AD20" s="503" t="s">
        <v>824</v>
      </c>
      <c r="AE20" s="486">
        <f>SUMIF(C5:C51,"秋田県",Y5:Y51)</f>
        <v>0</v>
      </c>
      <c r="AF20" s="502">
        <f>SUMIF(C5:C5,"秋田県",Z5:Z5)</f>
        <v>0</v>
      </c>
      <c r="AG20" s="502">
        <f>COUNTIF(C5:C51,"秋田県")</f>
        <v>0</v>
      </c>
      <c r="AH20" s="497">
        <v>5</v>
      </c>
    </row>
    <row r="21" spans="30:34" ht="13.5" customHeight="1">
      <c r="AD21" s="503" t="s">
        <v>825</v>
      </c>
      <c r="AE21" s="486">
        <f>SUMIF(C5:C51,"山形県",Y5:Y51)</f>
        <v>0</v>
      </c>
      <c r="AF21" s="505">
        <f>SUMIF(C5:C51,"山形県",Z5:Z51)</f>
        <v>0</v>
      </c>
      <c r="AG21" s="502">
        <f>COUNTIF(C5:C51,"山形県")</f>
        <v>0</v>
      </c>
      <c r="AH21" s="497">
        <v>6</v>
      </c>
    </row>
    <row r="22" spans="30:34" ht="13.5" customHeight="1">
      <c r="AD22" s="503" t="s">
        <v>826</v>
      </c>
      <c r="AE22" s="486">
        <f>SUMIF(C5:C51,"福島県",Y5:Y51)</f>
        <v>0</v>
      </c>
      <c r="AF22" s="502">
        <f>SUMIF(C5:C51,"福島県",Z5:Z51)</f>
        <v>0</v>
      </c>
      <c r="AG22" s="502">
        <f>COUNTIF(C5:C51,"福島県")</f>
        <v>0</v>
      </c>
      <c r="AH22" s="497">
        <v>7</v>
      </c>
    </row>
    <row r="23" spans="30:34" ht="13.5" customHeight="1">
      <c r="AD23" s="503" t="s">
        <v>827</v>
      </c>
      <c r="AE23" s="486">
        <f>SUMIF(C5:C51,"茨城県",Y5:Y51)</f>
        <v>0</v>
      </c>
      <c r="AF23" s="502">
        <f>SUMIF(C5:C51,"茨城県",Z5:Z51)</f>
        <v>0</v>
      </c>
      <c r="AG23" s="502">
        <f>COUNTIF(C5:C51,"茨城県")</f>
        <v>0</v>
      </c>
      <c r="AH23" s="497">
        <v>8</v>
      </c>
    </row>
    <row r="24" spans="30:34" ht="13.5" customHeight="1">
      <c r="AD24" s="503" t="s">
        <v>828</v>
      </c>
      <c r="AE24" s="486">
        <f>SUMIF(C5:C51,"栃木県",Y5:Y51)</f>
        <v>0</v>
      </c>
      <c r="AF24" s="502">
        <f>SUMIF(C5:C51,"栃木県",Z5:Z51)</f>
        <v>0</v>
      </c>
      <c r="AG24" s="502">
        <f>COUNTIF(C5:C51,"栃木県")</f>
        <v>0</v>
      </c>
      <c r="AH24" s="497">
        <v>9</v>
      </c>
    </row>
    <row r="25" spans="30:34" ht="13.5" customHeight="1">
      <c r="AD25" s="503" t="s">
        <v>829</v>
      </c>
      <c r="AE25" s="486">
        <f>SUMIF(C5:C51,"群馬県",Y5:Y51)</f>
        <v>0</v>
      </c>
      <c r="AF25" s="486">
        <f>SUMIF(C5:C51,"群馬県",Z5:Z51)</f>
        <v>0</v>
      </c>
      <c r="AG25" s="502">
        <f>COUNTIF(C5:C51,"群馬県")</f>
        <v>0</v>
      </c>
      <c r="AH25" s="497">
        <v>10</v>
      </c>
    </row>
    <row r="26" spans="30:34" ht="13.5" customHeight="1">
      <c r="AD26" s="503" t="s">
        <v>830</v>
      </c>
      <c r="AE26" s="486">
        <f>SUMIF(C5:C51,"埼玉県",Y5:Y51)</f>
        <v>0</v>
      </c>
      <c r="AF26" s="505">
        <f>SUMIF(C5:C51,"埼玉県",Z5:Z51)</f>
        <v>0</v>
      </c>
      <c r="AG26" s="502">
        <f>COUNTIF(C5:C51,"埼玉県")</f>
        <v>0</v>
      </c>
      <c r="AH26" s="497">
        <v>11</v>
      </c>
    </row>
    <row r="27" spans="30:34" ht="13.5" customHeight="1">
      <c r="AD27" s="503"/>
      <c r="AE27" s="486"/>
      <c r="AF27" s="505"/>
      <c r="AG27" s="502"/>
      <c r="AH27" s="497"/>
    </row>
    <row r="28" spans="30:34" ht="13.5" customHeight="1">
      <c r="AD28" s="503" t="s">
        <v>831</v>
      </c>
      <c r="AE28" s="486">
        <f>SUMIF(C5:C51,"千葉県",Y5:Y51)</f>
        <v>0</v>
      </c>
      <c r="AF28" s="502">
        <f>SUMIF(C5:C51,"千葉県",Z5:Z51)</f>
        <v>0</v>
      </c>
      <c r="AG28" s="502">
        <f>COUNTIF(C5:C51,"千葉県")</f>
        <v>0</v>
      </c>
      <c r="AH28" s="497">
        <v>12</v>
      </c>
    </row>
    <row r="29" spans="30:34" ht="13.5" customHeight="1">
      <c r="AD29" s="503" t="s">
        <v>832</v>
      </c>
      <c r="AE29" s="486">
        <f>SUMIF(C5:C51,"東京都",Y5:Y51)</f>
        <v>0</v>
      </c>
      <c r="AF29" s="502">
        <f>SUMIF(C5:C51,"東京都",Z5:Z51)</f>
        <v>0</v>
      </c>
      <c r="AG29" s="502">
        <f>COUNTIF(C5:C51,"東京都")</f>
        <v>0</v>
      </c>
      <c r="AH29" s="497">
        <v>13</v>
      </c>
    </row>
    <row r="30" spans="30:34" ht="13.5" customHeight="1">
      <c r="AD30" s="503" t="s">
        <v>833</v>
      </c>
      <c r="AE30" s="486">
        <f>SUMIF(C5:C51,"神奈川県",Y5:Y51)</f>
        <v>0</v>
      </c>
      <c r="AF30" s="505">
        <f>SUMIF(C5:C51,"神奈川県",Z5:Z51)</f>
        <v>0</v>
      </c>
      <c r="AG30" s="502">
        <f>COUNTIF(C5:C51,"神奈川県")</f>
        <v>0</v>
      </c>
      <c r="AH30" s="497">
        <v>14</v>
      </c>
    </row>
    <row r="31" spans="30:34" ht="13.5" customHeight="1">
      <c r="AD31" s="503" t="s">
        <v>834</v>
      </c>
      <c r="AE31" s="486">
        <f>SUMIF(C5:C51,"新潟県",Y5:Y51)</f>
        <v>0</v>
      </c>
      <c r="AF31" s="502">
        <f>SUMIF(C5:C51,"新潟県",Z5:Z51)</f>
        <v>0</v>
      </c>
      <c r="AG31" s="502">
        <f>COUNTIF(C5:C51,"新潟県")</f>
        <v>0</v>
      </c>
      <c r="AH31" s="497">
        <v>15</v>
      </c>
    </row>
    <row r="32" spans="30:34" ht="13.5" customHeight="1">
      <c r="AD32" s="503" t="s">
        <v>835</v>
      </c>
      <c r="AE32" s="486">
        <f>SUMIF(C5:C51,"富山県",Y5:Y51)</f>
        <v>0</v>
      </c>
      <c r="AF32" s="502">
        <f>SUMIF(C5:C51,"富山県",Z5:Z51)</f>
        <v>0</v>
      </c>
      <c r="AG32" s="502">
        <f>COUNTIF(C5:C51,"富山県")</f>
        <v>0</v>
      </c>
      <c r="AH32" s="497">
        <v>16</v>
      </c>
    </row>
    <row r="33" spans="30:34" ht="13.5" customHeight="1">
      <c r="AD33" s="503" t="s">
        <v>836</v>
      </c>
      <c r="AE33" s="486">
        <f>SUMIF(C5:C51,"石川県",Y5:Y51)</f>
        <v>0</v>
      </c>
      <c r="AF33" s="502">
        <f>SUMIF(C5:C51,"石川県",Z5:Z51)</f>
        <v>0</v>
      </c>
      <c r="AG33" s="502">
        <f>COUNTIF(C5:C51,"石川県")</f>
        <v>0</v>
      </c>
      <c r="AH33" s="497">
        <v>17</v>
      </c>
    </row>
    <row r="34" spans="30:34" ht="13.5" customHeight="1">
      <c r="AD34" s="503" t="s">
        <v>837</v>
      </c>
      <c r="AE34" s="486">
        <f>SUMIF(C5:C51,"福井県",Y5:Y51)</f>
        <v>0</v>
      </c>
      <c r="AF34" s="502">
        <f>SUMIF(C5:C51,"福井県",Z5:Z51)</f>
        <v>0</v>
      </c>
      <c r="AG34" s="502">
        <f>COUNTIF(C5:C51,"福井県")</f>
        <v>0</v>
      </c>
      <c r="AH34" s="497">
        <v>18</v>
      </c>
    </row>
    <row r="35" spans="30:34" ht="13.5" customHeight="1">
      <c r="AD35" s="503" t="s">
        <v>838</v>
      </c>
      <c r="AE35" s="486">
        <f>SUMIF(C5:C51,"山梨県",Y5:Y51)</f>
        <v>0</v>
      </c>
      <c r="AF35" s="502">
        <f>SUMIF(C5:C51,"山梨県",Z5:Z51)</f>
        <v>0</v>
      </c>
      <c r="AG35" s="502">
        <f>COUNTIF(C5:C51,"山梨県")</f>
        <v>0</v>
      </c>
      <c r="AH35" s="497">
        <v>19</v>
      </c>
    </row>
    <row r="36" spans="30:34" ht="13.5" customHeight="1">
      <c r="AD36" s="506" t="s">
        <v>839</v>
      </c>
      <c r="AE36" s="486">
        <f>SUMIF(C5:C51,"長野県",Y5:Y51)</f>
        <v>0</v>
      </c>
      <c r="AF36" s="502">
        <f>SUMIF(C5:C51,"長野県",Z5:Z51)</f>
        <v>0</v>
      </c>
      <c r="AG36" s="502">
        <f>COUNTIF(C5:C51,"長野県")</f>
        <v>0</v>
      </c>
      <c r="AH36" s="497">
        <v>20</v>
      </c>
    </row>
    <row r="37" spans="30:34" ht="13.5" customHeight="1">
      <c r="AD37" s="503" t="s">
        <v>840</v>
      </c>
      <c r="AE37" s="486">
        <f>SUMIF(C5:C51,"岐阜県",Y5:Y51)</f>
        <v>0</v>
      </c>
      <c r="AF37" s="502">
        <f>SUMIF(C5:C51,"岐阜県",Z5:Z51)</f>
        <v>0</v>
      </c>
      <c r="AG37" s="502">
        <f>COUNTIF(C5:C51,"岐阜県")</f>
        <v>0</v>
      </c>
      <c r="AH37" s="497">
        <v>21</v>
      </c>
    </row>
    <row r="38" spans="30:34" ht="13.5" customHeight="1">
      <c r="AD38" s="503" t="s">
        <v>841</v>
      </c>
      <c r="AE38" s="486">
        <f>SUMIF(C5:C51,"静岡県",Y5:Y51)</f>
        <v>0</v>
      </c>
      <c r="AF38" s="486">
        <f>SUMIF(C5:C51,"静岡県",Z5:Z51)</f>
        <v>0</v>
      </c>
      <c r="AG38" s="502">
        <f>COUNTIF(C5:C51,"静岡県")</f>
        <v>0</v>
      </c>
      <c r="AH38" s="497">
        <v>22</v>
      </c>
    </row>
    <row r="39" spans="30:34" ht="13.5" customHeight="1">
      <c r="AD39" s="503" t="s">
        <v>842</v>
      </c>
      <c r="AE39" s="486">
        <f>SUMIF(C5:C51,"愛知県",Y5:Y51)</f>
        <v>0</v>
      </c>
      <c r="AF39" s="505">
        <f>SUMIF(C5:C51,"愛知県",Z5:Z51)</f>
        <v>0</v>
      </c>
      <c r="AG39" s="502">
        <f>COUNTIF(C5:C51,"愛知県")</f>
        <v>0</v>
      </c>
      <c r="AH39" s="497">
        <v>23</v>
      </c>
    </row>
    <row r="40" spans="30:34" ht="13.5" customHeight="1">
      <c r="AD40" s="503" t="s">
        <v>843</v>
      </c>
      <c r="AE40" s="486">
        <f>SUMIF(C5:C51,"三重県",Y5:Y51)</f>
        <v>0</v>
      </c>
      <c r="AF40" s="502">
        <f>SUMIF(C5:C51,"三重県",Z5:Z51)</f>
        <v>0</v>
      </c>
      <c r="AG40" s="502">
        <f>COUNTIF(C5:C51,"三重県")</f>
        <v>0</v>
      </c>
      <c r="AH40" s="497">
        <v>24</v>
      </c>
    </row>
    <row r="41" spans="30:34" ht="13.5" customHeight="1">
      <c r="AD41" s="503" t="s">
        <v>844</v>
      </c>
      <c r="AE41" s="486">
        <f>SUMIF(C5:C51,"滋賀県",Y5:Y51)</f>
        <v>0</v>
      </c>
      <c r="AF41" s="502">
        <f>SUMIF(C5:C51,"滋賀県",Z5:Z51)</f>
        <v>0</v>
      </c>
      <c r="AG41" s="502">
        <f>COUNTIF(C5:C51,"滋賀県")</f>
        <v>0</v>
      </c>
      <c r="AH41" s="497">
        <v>25</v>
      </c>
    </row>
    <row r="42" spans="30:34" ht="13.5" customHeight="1">
      <c r="AD42" s="503" t="s">
        <v>845</v>
      </c>
      <c r="AE42" s="486">
        <f>SUMIF(C5:C5,"京都府",Y5:Y5)</f>
        <v>0</v>
      </c>
      <c r="AF42" s="502">
        <f>SUMIF(C5:C51,"京都府",Z5:Z51)</f>
        <v>0</v>
      </c>
      <c r="AG42" s="502">
        <f>COUNTIF(C5:C51,"京都府")</f>
        <v>0</v>
      </c>
      <c r="AH42" s="497">
        <v>26</v>
      </c>
    </row>
    <row r="43" spans="30:34" ht="13.5" customHeight="1">
      <c r="AD43" s="503" t="s">
        <v>846</v>
      </c>
      <c r="AE43" s="486">
        <f>SUMIF(C5:C51,"大阪府",Y5:Y51)</f>
        <v>0</v>
      </c>
      <c r="AF43" s="502">
        <f>SUMIF(C5:C51,"大阪府",Z5:Z51)</f>
        <v>0</v>
      </c>
      <c r="AG43" s="502">
        <f>COUNTIF(C5:C51,"大阪府")</f>
        <v>0</v>
      </c>
      <c r="AH43" s="497">
        <v>27</v>
      </c>
    </row>
    <row r="44" spans="30:34" ht="13.5" customHeight="1">
      <c r="AD44" s="503" t="s">
        <v>847</v>
      </c>
      <c r="AE44" s="504">
        <f>SUMIF(C5:C51,"兵庫県",Y5:Y51)</f>
        <v>0</v>
      </c>
      <c r="AF44" s="502">
        <f>SUMIF(C5:C51,"兵庫県",Z5:Z51)</f>
        <v>0</v>
      </c>
      <c r="AG44" s="502">
        <f>COUNTIF(C5:C51,"兵庫県")</f>
        <v>0</v>
      </c>
      <c r="AH44" s="497">
        <v>28</v>
      </c>
    </row>
    <row r="45" spans="30:34" ht="13.5" customHeight="1">
      <c r="AD45" s="503" t="s">
        <v>848</v>
      </c>
      <c r="AE45" s="486">
        <f>SUMIF(C5:C51,"奈良県",Y5:Y51)</f>
        <v>0</v>
      </c>
      <c r="AF45" s="502">
        <f>SUMIF(C5:C51,"奈良県",Z5:Z51)</f>
        <v>0</v>
      </c>
      <c r="AG45" s="502">
        <f>COUNTIF(C5:C51,"奈良県")</f>
        <v>0</v>
      </c>
      <c r="AH45" s="497">
        <v>29</v>
      </c>
    </row>
    <row r="46" spans="30:34" ht="13.5" customHeight="1">
      <c r="AD46" s="503" t="s">
        <v>849</v>
      </c>
      <c r="AE46" s="486">
        <f>SUMIF(C5:C51,"和歌山県",Y5:Y51)</f>
        <v>0</v>
      </c>
      <c r="AF46" s="502">
        <f>SUMIF(C5:C51,"和歌山県",Z5:Z51)</f>
        <v>0</v>
      </c>
      <c r="AG46" s="502">
        <f>COUNTIF(C5:C51,"和歌山県")</f>
        <v>0</v>
      </c>
      <c r="AH46" s="497">
        <v>30</v>
      </c>
    </row>
    <row r="47" spans="30:34" ht="13.5" customHeight="1">
      <c r="AD47" s="503" t="s">
        <v>850</v>
      </c>
      <c r="AE47" s="486">
        <f>SUMIF(C5:C51,"鳥取県",Y5:Y51)</f>
        <v>0</v>
      </c>
      <c r="AF47" s="502">
        <f>SUMIF(C5:C51,"鳥取県",Z5:Z51)</f>
        <v>0</v>
      </c>
      <c r="AG47" s="502">
        <f>COUNTIF(C5:C51,"鳥取県")</f>
        <v>0</v>
      </c>
      <c r="AH47" s="497">
        <v>31</v>
      </c>
    </row>
    <row r="48" spans="30:34" ht="13.5" customHeight="1">
      <c r="AD48" s="503" t="s">
        <v>851</v>
      </c>
      <c r="AE48" s="486">
        <f>SUMIF(C5:C51,"島根県",Y5:Y51)</f>
        <v>0</v>
      </c>
      <c r="AF48" s="502">
        <f>SUMIF(C5:C51,"島根県",Z5:Z51)</f>
        <v>0</v>
      </c>
      <c r="AG48" s="502">
        <f>COUNTIF(C5:C51,"島根県")</f>
        <v>0</v>
      </c>
      <c r="AH48" s="497">
        <v>32</v>
      </c>
    </row>
    <row r="49" spans="30:34" ht="13.5" customHeight="1">
      <c r="AD49" s="503" t="s">
        <v>852</v>
      </c>
      <c r="AE49" s="486">
        <f>SUMIF(C5:C51,"岡山県",Y5:Y51)</f>
        <v>0</v>
      </c>
      <c r="AF49" s="502">
        <f>SUMIF(C5:C51,"岡山県",Z5:Z51)</f>
        <v>0</v>
      </c>
      <c r="AG49" s="502">
        <f>COUNTIF(C5:C51,"岡山県")</f>
        <v>0</v>
      </c>
      <c r="AH49" s="497">
        <v>33</v>
      </c>
    </row>
    <row r="50" spans="30:34" ht="13.5" customHeight="1">
      <c r="AD50" s="503" t="s">
        <v>853</v>
      </c>
      <c r="AE50" s="486">
        <f>SUMIF(C5:C51,"広島県",Y5:Y51)</f>
        <v>0</v>
      </c>
      <c r="AF50" s="502">
        <f>SUMIF(C5:C51,"広島県",Z5:Z51)</f>
        <v>0</v>
      </c>
      <c r="AG50" s="502">
        <f>COUNTIF(C5:C51,"広島県")</f>
        <v>0</v>
      </c>
      <c r="AH50" s="497">
        <v>34</v>
      </c>
    </row>
    <row r="51" spans="30:34" ht="13.5" customHeight="1">
      <c r="AD51" s="503" t="s">
        <v>854</v>
      </c>
      <c r="AE51" s="486">
        <f>SUMIF(C5:C51,"山口県",Y5:Y51)</f>
        <v>0</v>
      </c>
      <c r="AF51" s="486">
        <f>SUMIF(C5:C51,"山口県",Z5:Z51)</f>
        <v>0</v>
      </c>
      <c r="AG51" s="502">
        <f>COUNTIF(C5:C51,"山口県")</f>
        <v>0</v>
      </c>
      <c r="AH51" s="497">
        <v>35</v>
      </c>
    </row>
    <row r="52" spans="30:34" ht="13.5" customHeight="1">
      <c r="AD52" s="503" t="s">
        <v>855</v>
      </c>
      <c r="AE52" s="486">
        <f>SUMIF(C5:C51,"徳島県",Y5:Y51)</f>
        <v>0</v>
      </c>
      <c r="AF52" s="486">
        <f>SUMIF(C5:C51,"徳島県",Z5:Z51)</f>
        <v>0</v>
      </c>
      <c r="AG52" s="502">
        <f>COUNTIF(C5:C51,"徳島県")</f>
        <v>0</v>
      </c>
      <c r="AH52" s="497">
        <v>36</v>
      </c>
    </row>
    <row r="53" spans="30:34" ht="13.5" customHeight="1">
      <c r="AD53" s="503" t="s">
        <v>856</v>
      </c>
      <c r="AE53" s="486">
        <f>SUMIF(C5:C51,"香川県",Y5:Y51)</f>
        <v>0</v>
      </c>
      <c r="AF53" s="486">
        <f>SUMIF(C5:C51,"香川県",Z5:Z51)</f>
        <v>0</v>
      </c>
      <c r="AG53" s="502">
        <f>COUNTIF(C5:C51,"香川県")</f>
        <v>0</v>
      </c>
      <c r="AH53" s="497">
        <v>37</v>
      </c>
    </row>
    <row r="54" spans="30:34" ht="13.5" customHeight="1">
      <c r="AD54" s="503" t="s">
        <v>857</v>
      </c>
      <c r="AE54" s="486">
        <f>SUMIF(C5:C5,"愛媛県",Y5:Y5)</f>
        <v>0</v>
      </c>
      <c r="AF54" s="486">
        <f>SUMIF(C5:C51,"愛媛県",Z5:Z51)</f>
        <v>0</v>
      </c>
      <c r="AG54" s="502">
        <f>COUNTIF(C5:C51,"愛媛県")</f>
        <v>0</v>
      </c>
      <c r="AH54" s="497">
        <v>38</v>
      </c>
    </row>
    <row r="55" spans="30:34" ht="13.5" customHeight="1">
      <c r="AD55" s="503" t="s">
        <v>858</v>
      </c>
      <c r="AE55" s="486">
        <f>SUMIF(C5:C51,"高知県",Y5:Y51)</f>
        <v>0</v>
      </c>
      <c r="AF55" s="486">
        <f>SUMIF(C5:C51,"高知県",Z5:Z51)</f>
        <v>0</v>
      </c>
      <c r="AG55" s="502">
        <f>COUNTIF(C5:C51,"高知県")</f>
        <v>0</v>
      </c>
      <c r="AH55" s="497">
        <v>39</v>
      </c>
    </row>
    <row r="56" spans="30:34" ht="13.5" customHeight="1">
      <c r="AD56" s="503" t="s">
        <v>859</v>
      </c>
      <c r="AE56" s="486">
        <f>SUMIF(C5:C51,"福岡県",Y5:Y51)</f>
        <v>0</v>
      </c>
      <c r="AF56" s="486">
        <f>SUMIF(C5:C51,"福岡県",Z5:Z51)</f>
        <v>0</v>
      </c>
      <c r="AG56" s="502">
        <f>COUNTIF(C5:C51,"福岡県")</f>
        <v>0</v>
      </c>
      <c r="AH56" s="497">
        <v>40</v>
      </c>
    </row>
    <row r="57" spans="30:34" ht="13.5" customHeight="1">
      <c r="AD57" s="503" t="s">
        <v>860</v>
      </c>
      <c r="AE57" s="486">
        <f>SUMIF(C5:C51,"佐賀県",Y5:Y51)</f>
        <v>0</v>
      </c>
      <c r="AF57" s="486">
        <f>SUMIF(C5:C51,"佐賀県",Z5:Z51)</f>
        <v>0</v>
      </c>
      <c r="AG57" s="502">
        <f>COUNTIF(C5:C51,"佐賀県")</f>
        <v>0</v>
      </c>
      <c r="AH57" s="497">
        <v>41</v>
      </c>
    </row>
    <row r="58" spans="30:34" ht="13.5" customHeight="1">
      <c r="AD58" s="503" t="s">
        <v>861</v>
      </c>
      <c r="AE58" s="486">
        <f>SUMIF(C5:C51,"長崎県",Y5:Y51)</f>
        <v>0</v>
      </c>
      <c r="AF58" s="486">
        <f>SUMIF(C5:C51,"長崎県",Z5:Z51)</f>
        <v>0</v>
      </c>
      <c r="AG58" s="502">
        <f>COUNTIF(C5:C51,"長崎県")</f>
        <v>0</v>
      </c>
      <c r="AH58" s="497">
        <v>42</v>
      </c>
    </row>
    <row r="59" spans="30:34" ht="13.5" customHeight="1">
      <c r="AD59" s="503" t="s">
        <v>862</v>
      </c>
      <c r="AE59" s="486">
        <f>SUMIF(C5:C51,"熊本県",Y5:Y51)</f>
        <v>0</v>
      </c>
      <c r="AF59" s="486">
        <f>SUMIF(C5:C51,"熊本県",Z5:Z51)</f>
        <v>0</v>
      </c>
      <c r="AG59" s="502">
        <f>COUNTIF(C5:C51,"熊本県")</f>
        <v>0</v>
      </c>
      <c r="AH59" s="497">
        <v>43</v>
      </c>
    </row>
    <row r="60" spans="30:34" ht="13.5" customHeight="1">
      <c r="AD60" s="503" t="s">
        <v>863</v>
      </c>
      <c r="AE60" s="486">
        <f>SUMIF(C5:C51,"大分県",Y5:Y51)</f>
        <v>0</v>
      </c>
      <c r="AF60" s="486">
        <f>SUMIF(C5:C51,"大分県",Z5:Z51)</f>
        <v>0</v>
      </c>
      <c r="AG60" s="502">
        <f>COUNTIF(C5:C51,"大分県")</f>
        <v>0</v>
      </c>
      <c r="AH60" s="497">
        <v>44</v>
      </c>
    </row>
    <row r="61" spans="30:34" ht="13.5" customHeight="1">
      <c r="AD61" s="503" t="s">
        <v>864</v>
      </c>
      <c r="AE61" s="486">
        <f>SUMIF(C5:C51,"宮崎県",Y5:Y51)</f>
        <v>0</v>
      </c>
      <c r="AF61" s="486">
        <f>SUMIF(C5:C51,"宮崎県",Z5:Z51)</f>
        <v>0</v>
      </c>
      <c r="AG61" s="502">
        <f>COUNTIF(C5:C51,"宮崎県")</f>
        <v>0</v>
      </c>
      <c r="AH61" s="497">
        <v>45</v>
      </c>
    </row>
    <row r="62" spans="30:34" ht="13.5" customHeight="1">
      <c r="AD62" s="503" t="s">
        <v>865</v>
      </c>
      <c r="AE62" s="486">
        <f>SUMIF(C5:C51,"鹿児島県",Y5:Y51)</f>
        <v>0</v>
      </c>
      <c r="AF62" s="486">
        <f>SUMIF(C5:C51,"鹿児島県",Z5:Z51)</f>
        <v>0</v>
      </c>
      <c r="AG62" s="502">
        <f>COUNTIF(C5:C51,"鹿児島県")</f>
        <v>0</v>
      </c>
      <c r="AH62" s="497">
        <v>46</v>
      </c>
    </row>
    <row r="63" spans="30:34" ht="13.5" customHeight="1" thickBot="1">
      <c r="AD63" s="499" t="s">
        <v>866</v>
      </c>
      <c r="AE63" s="498">
        <f>SUMIF(C5:C51,"沖縄県",Y5:Y51)</f>
        <v>0</v>
      </c>
      <c r="AF63" s="498">
        <f>SUMIF(C5:C51,"沖縄県",Z5:Z51)</f>
        <v>0</v>
      </c>
      <c r="AG63" s="498">
        <f>COUNTIF(C5:C51,"沖縄県")</f>
        <v>0</v>
      </c>
      <c r="AH63" s="497">
        <v>47</v>
      </c>
    </row>
    <row r="64" spans="30:34" ht="13.5" customHeight="1" thickTop="1">
      <c r="AD64" s="487" t="s">
        <v>867</v>
      </c>
      <c r="AE64" s="486">
        <f ca="1">SUM(AE16:AE63)</f>
        <v>0</v>
      </c>
      <c r="AF64" s="485">
        <f>SUM(AF16:AF63)</f>
        <v>0</v>
      </c>
      <c r="AG64" s="485">
        <f>SUM(AG16:AG63)</f>
        <v>0</v>
      </c>
    </row>
  </sheetData>
  <mergeCells count="19">
    <mergeCell ref="X12:Y12"/>
    <mergeCell ref="X13:Y13"/>
    <mergeCell ref="X14:Y14"/>
    <mergeCell ref="N3:O3"/>
    <mergeCell ref="P3:P4"/>
    <mergeCell ref="Q3:Q4"/>
    <mergeCell ref="R3:AC3"/>
    <mergeCell ref="X10:Y10"/>
    <mergeCell ref="X11:Y11"/>
    <mergeCell ref="D2:E2"/>
    <mergeCell ref="F2:G2"/>
    <mergeCell ref="N2:O2"/>
    <mergeCell ref="A3:A4"/>
    <mergeCell ref="B3:B4"/>
    <mergeCell ref="C3:C4"/>
    <mergeCell ref="D3:E3"/>
    <mergeCell ref="F3:G3"/>
    <mergeCell ref="J3:J4"/>
    <mergeCell ref="K3:K4"/>
  </mergeCells>
  <phoneticPr fontId="4"/>
  <printOptions horizontalCentered="1"/>
  <pageMargins left="0.39370078740157483" right="0" top="0.59055118110236227" bottom="0.39370078740157483" header="0" footer="0"/>
  <pageSetup paperSize="8" scale="87" fitToWidth="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C00-000000000000}">
          <x14:formula1>
            <xm:f>'\\10.25.53.248\disk1\☆作業用フォルダ\03_決算第一係\00   執行関係\12　交付決定・確定等\令和４年度\医療関係者研修費等補助金・臨床研修等補助金\01_確定（臨床研修費等補助金）\【確定】令和３年度臨床研修（歯科）\01_編集媒体\[別記（R３年度 臨床歯科 確定）.xlsx]Sheet1'!#REF!</xm:f>
          </x14:formula1>
          <xm:sqref>C6:E6</xm:sqref>
        </x14:dataValidation>
        <x14:dataValidation type="list" allowBlank="1" showInputMessage="1" showErrorMessage="1" xr:uid="{00000000-0002-0000-2C00-000001000000}">
          <x14:formula1>
            <xm:f>'C:\Users\MALFJ\Desktop\Ｒ３臨床研修費等補助金（歯科医師）\☑ 01_北海道 ◎\[【北海道】令和３年度医療関係者研修費等補助金・臨床研修費補助金（総括表）.xlsx]Sheet1'!#REF!</xm:f>
          </x14:formula1>
          <xm:sqref>C5</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6">
    <pageSetUpPr fitToPage="1"/>
  </sheetPr>
  <dimension ref="A1:Y88"/>
  <sheetViews>
    <sheetView view="pageBreakPreview" zoomScaleNormal="100" zoomScaleSheetLayoutView="100" workbookViewId="0">
      <selection activeCell="B9" sqref="B9:M10"/>
    </sheetView>
  </sheetViews>
  <sheetFormatPr defaultColWidth="3.625" defaultRowHeight="13.15"/>
  <cols>
    <col min="1" max="1" width="3.625" style="1" customWidth="1"/>
    <col min="2" max="2" width="2" style="1" customWidth="1"/>
    <col min="3" max="3" width="6.125" style="1" customWidth="1"/>
    <col min="4" max="8" width="3.625" style="1" customWidth="1"/>
    <col min="9" max="9" width="4.375" style="1" customWidth="1"/>
    <col min="10" max="10" width="1.75" style="1" customWidth="1"/>
    <col min="11" max="11" width="3.625" style="1" customWidth="1"/>
    <col min="12" max="12" width="1.5" style="1" customWidth="1"/>
    <col min="13" max="13" width="11.5" style="1" customWidth="1"/>
    <col min="14" max="14" width="2.75" style="1" customWidth="1"/>
    <col min="15" max="15" width="8.25" style="1" customWidth="1"/>
    <col min="16" max="16" width="3.625" style="1" customWidth="1"/>
    <col min="17" max="17" width="2.125" style="1" customWidth="1"/>
    <col min="18" max="18" width="4.25" style="1" customWidth="1"/>
    <col min="19" max="19" width="5.125" style="1" customWidth="1"/>
    <col min="20" max="20" width="2.625" style="1" customWidth="1"/>
    <col min="21" max="21" width="3.125" style="1" customWidth="1"/>
    <col min="22" max="22" width="2.875" style="1" customWidth="1"/>
    <col min="23" max="23" width="6" style="1" customWidth="1"/>
    <col min="24" max="25" width="4.5" style="1" customWidth="1"/>
    <col min="26" max="16384" width="3.625" style="1"/>
  </cols>
  <sheetData>
    <row r="1" spans="1:25" ht="16.5" customHeight="1">
      <c r="A1" s="1" t="s">
        <v>627</v>
      </c>
      <c r="B1" s="305"/>
    </row>
    <row r="2" spans="1:25" ht="16.5" customHeight="1"/>
    <row r="3" spans="1:25" ht="18.75" customHeight="1">
      <c r="A3" s="952" t="s">
        <v>628</v>
      </c>
      <c r="B3" s="952"/>
      <c r="C3" s="952"/>
      <c r="D3" s="952"/>
      <c r="E3" s="952"/>
      <c r="F3" s="952"/>
      <c r="G3" s="952"/>
      <c r="H3" s="952"/>
      <c r="I3" s="952"/>
      <c r="J3" s="952"/>
      <c r="K3" s="952"/>
      <c r="L3" s="952"/>
      <c r="M3" s="952"/>
      <c r="N3" s="952"/>
      <c r="O3" s="952"/>
      <c r="P3" s="952"/>
      <c r="Q3" s="952"/>
      <c r="R3" s="952"/>
      <c r="S3" s="952"/>
      <c r="T3" s="952"/>
      <c r="U3" s="952"/>
      <c r="V3" s="952"/>
      <c r="W3" s="952"/>
      <c r="X3" s="952"/>
      <c r="Y3" s="168"/>
    </row>
    <row r="4" spans="1:25" ht="15.95" customHeight="1"/>
    <row r="5" spans="1:25" ht="15.95" customHeight="1">
      <c r="N5" s="18" t="s">
        <v>629</v>
      </c>
    </row>
    <row r="6" spans="1:25" ht="15.95" customHeight="1">
      <c r="N6" s="948"/>
      <c r="O6" s="948"/>
      <c r="P6" s="948"/>
      <c r="Q6" s="948"/>
      <c r="R6" s="948"/>
      <c r="S6" s="948"/>
      <c r="T6" s="948"/>
      <c r="U6" s="948"/>
      <c r="V6" s="948"/>
      <c r="W6" s="948"/>
      <c r="X6" s="948"/>
      <c r="Y6" s="35"/>
    </row>
    <row r="7" spans="1:25" ht="15.95" customHeight="1">
      <c r="A7" s="1" t="s">
        <v>630</v>
      </c>
    </row>
    <row r="8" spans="1:25" ht="15.95" customHeight="1">
      <c r="A8" s="1" t="s">
        <v>631</v>
      </c>
    </row>
    <row r="9" spans="1:25" ht="15.95" customHeight="1">
      <c r="B9" s="1200" t="s">
        <v>443</v>
      </c>
      <c r="C9" s="1200"/>
      <c r="D9" s="1200"/>
      <c r="E9" s="1200"/>
      <c r="F9" s="1200"/>
      <c r="G9" s="1200"/>
      <c r="H9" s="1200"/>
      <c r="I9" s="1200"/>
      <c r="J9" s="1200"/>
      <c r="K9" s="1200"/>
      <c r="L9" s="1200"/>
      <c r="M9" s="1200"/>
      <c r="N9" s="1158" t="s">
        <v>632</v>
      </c>
      <c r="O9" s="1159"/>
      <c r="P9" s="1159"/>
      <c r="Q9" s="1159"/>
      <c r="R9" s="1159"/>
      <c r="S9" s="1159"/>
      <c r="T9" s="1159"/>
      <c r="U9" s="1159"/>
      <c r="V9" s="1159"/>
      <c r="W9" s="1159"/>
      <c r="X9" s="1160"/>
    </row>
    <row r="10" spans="1:25" ht="15.95" customHeight="1">
      <c r="B10" s="1200"/>
      <c r="C10" s="1200"/>
      <c r="D10" s="1200"/>
      <c r="E10" s="1200"/>
      <c r="F10" s="1200"/>
      <c r="G10" s="1200"/>
      <c r="H10" s="1200"/>
      <c r="I10" s="1200"/>
      <c r="J10" s="1200"/>
      <c r="K10" s="1200"/>
      <c r="L10" s="1200"/>
      <c r="M10" s="1200"/>
      <c r="N10" s="1161"/>
      <c r="O10" s="1162"/>
      <c r="P10" s="1162"/>
      <c r="Q10" s="1162"/>
      <c r="R10" s="1162"/>
      <c r="S10" s="1162"/>
      <c r="T10" s="1162"/>
      <c r="U10" s="1162"/>
      <c r="V10" s="1162"/>
      <c r="W10" s="1162"/>
      <c r="X10" s="1163"/>
    </row>
    <row r="11" spans="1:25" ht="15.95" customHeight="1">
      <c r="B11" s="1374" t="s">
        <v>633</v>
      </c>
      <c r="C11" s="1375"/>
      <c r="D11" s="1375"/>
      <c r="E11" s="1375"/>
      <c r="F11" s="1375"/>
      <c r="G11" s="1375"/>
      <c r="H11" s="1375"/>
      <c r="I11" s="1375"/>
      <c r="J11" s="1375"/>
      <c r="K11" s="1375"/>
      <c r="L11" s="1375"/>
      <c r="M11" s="1376"/>
      <c r="N11" s="122" t="s">
        <v>450</v>
      </c>
      <c r="O11" s="1175"/>
      <c r="P11" s="1175"/>
      <c r="Q11" s="1175"/>
      <c r="R11" s="1175"/>
      <c r="S11" s="1175"/>
      <c r="T11" s="1175"/>
      <c r="U11" s="1175"/>
      <c r="V11" s="1175"/>
      <c r="W11" s="1175"/>
      <c r="X11" s="63" t="s">
        <v>449</v>
      </c>
      <c r="Y11" s="155"/>
    </row>
    <row r="12" spans="1:25" ht="15.95" customHeight="1">
      <c r="B12" s="64"/>
      <c r="C12" s="65"/>
      <c r="D12" s="65"/>
      <c r="E12" s="65" t="s">
        <v>634</v>
      </c>
      <c r="F12" s="65"/>
      <c r="G12" s="65"/>
      <c r="H12" s="65"/>
      <c r="I12" s="65"/>
      <c r="J12" s="65"/>
      <c r="K12" s="65"/>
      <c r="L12" s="65"/>
      <c r="M12" s="66"/>
      <c r="N12" s="122" t="s">
        <v>635</v>
      </c>
      <c r="O12" s="1175"/>
      <c r="P12" s="1175"/>
      <c r="Q12" s="1175"/>
      <c r="R12" s="1175"/>
      <c r="S12" s="1175"/>
      <c r="T12" s="1175"/>
      <c r="U12" s="1175"/>
      <c r="V12" s="1175"/>
      <c r="W12" s="1175"/>
      <c r="X12" s="63" t="s">
        <v>449</v>
      </c>
      <c r="Y12" s="155"/>
    </row>
    <row r="13" spans="1:25" ht="15.95" customHeight="1">
      <c r="B13" s="1374" t="s">
        <v>452</v>
      </c>
      <c r="C13" s="1375"/>
      <c r="D13" s="1375"/>
      <c r="E13" s="1375"/>
      <c r="F13" s="1375"/>
      <c r="G13" s="1375"/>
      <c r="H13" s="1375"/>
      <c r="I13" s="1375"/>
      <c r="J13" s="1375"/>
      <c r="K13" s="1375"/>
      <c r="L13" s="1375"/>
      <c r="M13" s="1376"/>
      <c r="N13" s="122" t="s">
        <v>462</v>
      </c>
      <c r="O13" s="1175"/>
      <c r="P13" s="1175"/>
      <c r="Q13" s="1175"/>
      <c r="R13" s="1175"/>
      <c r="S13" s="1175"/>
      <c r="T13" s="1175"/>
      <c r="U13" s="1175"/>
      <c r="V13" s="1175"/>
      <c r="W13" s="1175"/>
      <c r="X13" s="63" t="s">
        <v>449</v>
      </c>
      <c r="Y13" s="34"/>
    </row>
    <row r="14" spans="1:25" ht="15.95" customHeight="1">
      <c r="B14" s="1374" t="s">
        <v>453</v>
      </c>
      <c r="C14" s="1375"/>
      <c r="D14" s="1375"/>
      <c r="E14" s="1375"/>
      <c r="F14" s="1375"/>
      <c r="G14" s="1375"/>
      <c r="H14" s="1375"/>
      <c r="I14" s="1375"/>
      <c r="J14" s="1375"/>
      <c r="K14" s="1375"/>
      <c r="L14" s="1375"/>
      <c r="M14" s="1376"/>
      <c r="N14" s="64" t="s">
        <v>636</v>
      </c>
      <c r="O14" s="67"/>
      <c r="P14" s="1175"/>
      <c r="Q14" s="1175"/>
      <c r="R14" s="1175"/>
      <c r="S14" s="1175"/>
      <c r="T14" s="1175"/>
      <c r="U14" s="1175"/>
      <c r="V14" s="1175"/>
      <c r="W14" s="1175"/>
      <c r="X14" s="63" t="s">
        <v>449</v>
      </c>
      <c r="Y14" s="68"/>
    </row>
    <row r="15" spans="1:25" ht="15.95" customHeight="1">
      <c r="B15" s="18" t="s">
        <v>638</v>
      </c>
    </row>
    <row r="16" spans="1:25" ht="13.5" customHeight="1">
      <c r="A16" s="101"/>
      <c r="C16" s="101"/>
      <c r="D16" s="101"/>
      <c r="E16" s="101"/>
      <c r="F16" s="101"/>
      <c r="G16" s="101"/>
      <c r="H16" s="101"/>
      <c r="I16" s="101"/>
      <c r="J16" s="101"/>
      <c r="K16" s="101"/>
      <c r="L16" s="101"/>
      <c r="M16" s="101"/>
    </row>
    <row r="17" spans="1:25" ht="15.95" customHeight="1">
      <c r="A17" s="1" t="s">
        <v>639</v>
      </c>
      <c r="Y17" s="44"/>
    </row>
    <row r="18" spans="1:25" ht="15.95" customHeight="1">
      <c r="B18" s="1" t="s">
        <v>640</v>
      </c>
      <c r="Y18" s="69"/>
    </row>
    <row r="19" spans="1:25" ht="15.95" customHeight="1">
      <c r="B19" s="166" t="s">
        <v>641</v>
      </c>
      <c r="C19" s="167"/>
      <c r="D19" s="167"/>
      <c r="E19" s="167"/>
      <c r="F19" s="66"/>
      <c r="G19" s="70" t="s">
        <v>464</v>
      </c>
      <c r="H19" s="1352"/>
      <c r="I19" s="1352"/>
      <c r="J19" s="1352"/>
      <c r="K19" s="71" t="s">
        <v>449</v>
      </c>
      <c r="M19" s="72" t="s">
        <v>642</v>
      </c>
      <c r="N19" s="73"/>
      <c r="O19" s="28"/>
      <c r="P19" s="122" t="s">
        <v>466</v>
      </c>
      <c r="Q19" s="157"/>
      <c r="R19" s="1165">
        <f>ROUND(H19/12,0)</f>
        <v>0</v>
      </c>
      <c r="S19" s="1165"/>
      <c r="T19" s="1165"/>
      <c r="U19" s="71" t="s">
        <v>449</v>
      </c>
      <c r="W19" s="34"/>
      <c r="Y19" s="69"/>
    </row>
    <row r="20" spans="1:25" ht="15.95" customHeight="1">
      <c r="B20" s="1362" t="s">
        <v>643</v>
      </c>
      <c r="C20" s="1362"/>
      <c r="D20" s="1362"/>
      <c r="E20" s="1362"/>
      <c r="F20" s="1362"/>
      <c r="G20" s="1362"/>
      <c r="H20" s="1362"/>
      <c r="I20" s="1362"/>
      <c r="J20" s="1362"/>
      <c r="K20" s="1362"/>
      <c r="L20" s="1362"/>
      <c r="M20" s="1362"/>
      <c r="N20" s="1362"/>
      <c r="O20" s="1362"/>
      <c r="P20" s="1362"/>
      <c r="Q20" s="1362"/>
      <c r="R20" s="1362"/>
      <c r="S20" s="1362"/>
      <c r="T20" s="1362"/>
      <c r="U20" s="1362"/>
      <c r="V20" s="1362"/>
      <c r="W20" s="1362"/>
      <c r="X20" s="1362"/>
      <c r="Y20" s="69"/>
    </row>
    <row r="21" spans="1:25" ht="13.5" customHeight="1">
      <c r="Y21" s="69"/>
    </row>
    <row r="22" spans="1:25" ht="15.95" customHeight="1">
      <c r="A22" s="1" t="s">
        <v>644</v>
      </c>
      <c r="P22" s="1363" t="s">
        <v>645</v>
      </c>
      <c r="Q22" s="1364"/>
      <c r="R22" s="1364"/>
      <c r="S22" s="1365"/>
      <c r="T22" s="1369" t="s">
        <v>468</v>
      </c>
      <c r="U22" s="1187"/>
      <c r="V22" s="1481"/>
      <c r="W22" s="1481"/>
      <c r="X22" s="1444" t="s">
        <v>451</v>
      </c>
      <c r="Y22" s="69"/>
    </row>
    <row r="23" spans="1:25" ht="15.95" customHeight="1">
      <c r="P23" s="1366"/>
      <c r="Q23" s="1367"/>
      <c r="R23" s="1367"/>
      <c r="S23" s="1368"/>
      <c r="T23" s="1370"/>
      <c r="U23" s="1482"/>
      <c r="V23" s="1482"/>
      <c r="W23" s="1482"/>
      <c r="X23" s="1445"/>
      <c r="Y23" s="69"/>
    </row>
    <row r="24" spans="1:25" ht="13.5" customHeight="1">
      <c r="P24" s="74"/>
      <c r="Q24" s="74"/>
      <c r="R24" s="74"/>
      <c r="S24" s="74"/>
      <c r="T24" s="35"/>
      <c r="U24" s="35"/>
      <c r="V24" s="35"/>
      <c r="W24" s="35"/>
      <c r="X24" s="35"/>
      <c r="Y24" s="69"/>
    </row>
    <row r="25" spans="1:25" ht="15.95" customHeight="1">
      <c r="A25" s="1" t="s">
        <v>646</v>
      </c>
      <c r="N25" s="1377" t="s">
        <v>647</v>
      </c>
      <c r="O25" s="1378"/>
      <c r="P25" s="1378"/>
      <c r="Q25" s="1378"/>
      <c r="R25" s="1378"/>
      <c r="S25" s="1378"/>
      <c r="T25" s="1378"/>
      <c r="U25" s="1164"/>
      <c r="V25" s="1165"/>
      <c r="W25" s="1165"/>
      <c r="X25" s="158" t="s">
        <v>449</v>
      </c>
      <c r="Y25" s="69"/>
    </row>
    <row r="26" spans="1:25" ht="13.5" customHeight="1">
      <c r="P26" s="74"/>
      <c r="Q26" s="74"/>
      <c r="R26" s="74"/>
      <c r="S26" s="74"/>
      <c r="T26" s="35"/>
      <c r="U26" s="35"/>
      <c r="V26" s="35"/>
      <c r="W26" s="35"/>
      <c r="X26" s="35"/>
      <c r="Y26" s="69"/>
    </row>
    <row r="27" spans="1:25" ht="13.5" customHeight="1">
      <c r="P27" s="74"/>
      <c r="Q27" s="74"/>
      <c r="R27" s="74"/>
      <c r="S27" s="74"/>
      <c r="T27" s="35"/>
      <c r="U27" s="35"/>
      <c r="V27" s="35"/>
      <c r="W27" s="35"/>
      <c r="X27" s="35"/>
      <c r="Y27" s="69"/>
    </row>
    <row r="28" spans="1:25" ht="15.95" customHeight="1">
      <c r="A28" s="1" t="s">
        <v>648</v>
      </c>
    </row>
    <row r="29" spans="1:25" ht="13.5" customHeight="1"/>
    <row r="30" spans="1:25" ht="8.25" customHeight="1">
      <c r="B30" s="75"/>
      <c r="C30" s="76"/>
      <c r="D30" s="76"/>
      <c r="E30" s="76"/>
      <c r="F30" s="76"/>
      <c r="G30" s="76"/>
      <c r="H30" s="76"/>
      <c r="I30" s="76"/>
      <c r="J30" s="76"/>
      <c r="K30" s="76"/>
      <c r="L30" s="76"/>
      <c r="M30" s="76"/>
      <c r="N30" s="76"/>
      <c r="O30" s="76"/>
      <c r="P30" s="76"/>
      <c r="Q30" s="76"/>
      <c r="R30" s="76"/>
      <c r="S30" s="77"/>
      <c r="T30" s="75"/>
      <c r="U30" s="76"/>
      <c r="V30" s="76"/>
      <c r="W30" s="76"/>
      <c r="X30" s="77"/>
    </row>
    <row r="31" spans="1:25" ht="15.95" customHeight="1">
      <c r="B31" s="2"/>
      <c r="C31" s="1" t="s">
        <v>649</v>
      </c>
      <c r="S31" s="9"/>
      <c r="T31" s="2"/>
      <c r="X31" s="9"/>
    </row>
    <row r="32" spans="1:25" ht="8.25" customHeight="1">
      <c r="B32" s="2"/>
      <c r="S32" s="9"/>
      <c r="T32" s="2"/>
      <c r="X32" s="9"/>
    </row>
    <row r="33" spans="1:24" s="78" customFormat="1" ht="15.95" customHeight="1">
      <c r="A33" s="1"/>
      <c r="B33" s="2"/>
      <c r="C33" s="1" t="s">
        <v>650</v>
      </c>
      <c r="D33" s="1"/>
      <c r="E33" s="1"/>
      <c r="F33" s="1"/>
      <c r="G33" s="1"/>
      <c r="H33" s="1"/>
      <c r="I33" s="1"/>
      <c r="J33" s="1"/>
      <c r="K33" s="1"/>
      <c r="L33" s="1"/>
      <c r="M33" s="1"/>
      <c r="N33" s="1"/>
      <c r="O33" s="1"/>
      <c r="P33" s="1"/>
      <c r="Q33" s="1"/>
      <c r="R33" s="1"/>
      <c r="S33" s="9"/>
      <c r="T33" s="2"/>
      <c r="U33" s="1"/>
      <c r="V33" s="1"/>
      <c r="W33" s="1"/>
      <c r="X33" s="9"/>
    </row>
    <row r="34" spans="1:24" s="78" customFormat="1" ht="15.95" customHeight="1">
      <c r="A34" s="1"/>
      <c r="B34" s="2"/>
      <c r="C34" s="1"/>
      <c r="D34" s="1" t="s">
        <v>651</v>
      </c>
      <c r="E34" s="1" t="s">
        <v>652</v>
      </c>
      <c r="F34" s="1"/>
      <c r="G34" s="1"/>
      <c r="H34" s="1"/>
      <c r="I34" s="1"/>
      <c r="J34" s="1"/>
      <c r="K34" s="1"/>
      <c r="L34" s="1"/>
      <c r="M34" s="1"/>
      <c r="N34" s="1"/>
      <c r="O34" s="1"/>
      <c r="P34" s="1"/>
      <c r="Q34" s="1"/>
      <c r="R34" s="1"/>
      <c r="S34" s="9"/>
      <c r="T34" s="2"/>
      <c r="U34" s="1"/>
      <c r="V34" s="1"/>
      <c r="W34" s="1"/>
      <c r="X34" s="9"/>
    </row>
    <row r="35" spans="1:24" s="78" customFormat="1" ht="15.95" customHeight="1">
      <c r="A35" s="1"/>
      <c r="B35" s="2"/>
      <c r="C35" s="1"/>
      <c r="D35" s="34" t="s">
        <v>522</v>
      </c>
      <c r="E35" s="1355">
        <v>54180</v>
      </c>
      <c r="F35" s="1355"/>
      <c r="G35" s="1355"/>
      <c r="H35" s="1" t="s">
        <v>523</v>
      </c>
      <c r="I35" s="1"/>
      <c r="J35" s="1"/>
      <c r="K35" s="35" t="s">
        <v>268</v>
      </c>
      <c r="L35" s="1"/>
      <c r="M35" s="1468" t="s">
        <v>653</v>
      </c>
      <c r="N35" s="1468"/>
      <c r="O35" s="1468"/>
      <c r="P35" s="1360">
        <f>O11</f>
        <v>0</v>
      </c>
      <c r="Q35" s="1360"/>
      <c r="R35" s="1360"/>
      <c r="S35" s="9" t="s">
        <v>451</v>
      </c>
      <c r="T35" s="8" t="s">
        <v>543</v>
      </c>
      <c r="U35" s="1361">
        <f>E35*P35</f>
        <v>0</v>
      </c>
      <c r="V35" s="1361"/>
      <c r="W35" s="1361"/>
      <c r="X35" s="9" t="s">
        <v>544</v>
      </c>
    </row>
    <row r="36" spans="1:24" s="78" customFormat="1" ht="15.75" customHeight="1">
      <c r="A36" s="1"/>
      <c r="B36" s="2"/>
      <c r="C36" s="1"/>
      <c r="D36" s="155" t="s">
        <v>654</v>
      </c>
      <c r="E36" s="165"/>
      <c r="F36" s="165"/>
      <c r="G36" s="165"/>
      <c r="H36" s="1"/>
      <c r="I36" s="1"/>
      <c r="J36" s="1"/>
      <c r="K36" s="35"/>
      <c r="L36" s="1"/>
      <c r="M36" s="36"/>
      <c r="N36" s="36"/>
      <c r="O36" s="36"/>
      <c r="P36" s="79"/>
      <c r="Q36" s="79"/>
      <c r="R36" s="79"/>
      <c r="S36" s="9"/>
      <c r="T36" s="8"/>
      <c r="U36" s="61"/>
      <c r="V36" s="61"/>
      <c r="W36" s="61"/>
      <c r="X36" s="9"/>
    </row>
    <row r="37" spans="1:24" s="78" customFormat="1" ht="15.75" customHeight="1">
      <c r="A37" s="1"/>
      <c r="B37" s="2"/>
      <c r="C37" s="1"/>
      <c r="D37" s="34" t="s">
        <v>522</v>
      </c>
      <c r="E37" s="1355">
        <v>54180</v>
      </c>
      <c r="F37" s="1355"/>
      <c r="G37" s="1355"/>
      <c r="H37" s="1" t="s">
        <v>523</v>
      </c>
      <c r="I37" s="1"/>
      <c r="J37" s="1"/>
      <c r="K37" s="35" t="s">
        <v>268</v>
      </c>
      <c r="L37" s="1"/>
      <c r="M37" s="1468" t="s">
        <v>655</v>
      </c>
      <c r="N37" s="1468"/>
      <c r="O37" s="1468"/>
      <c r="P37" s="1360">
        <f>O12</f>
        <v>0</v>
      </c>
      <c r="Q37" s="1360"/>
      <c r="R37" s="1360"/>
      <c r="S37" s="9" t="s">
        <v>451</v>
      </c>
      <c r="T37" s="8" t="s">
        <v>543</v>
      </c>
      <c r="U37" s="1361">
        <f>E37*P37</f>
        <v>0</v>
      </c>
      <c r="V37" s="1361"/>
      <c r="W37" s="1361"/>
      <c r="X37" s="9" t="s">
        <v>544</v>
      </c>
    </row>
    <row r="38" spans="1:24" ht="15.75" customHeight="1">
      <c r="B38" s="2"/>
      <c r="D38" s="34"/>
      <c r="E38" s="170"/>
      <c r="F38" s="170"/>
      <c r="G38" s="170"/>
      <c r="K38" s="35"/>
      <c r="M38" s="36"/>
      <c r="N38" s="36"/>
      <c r="O38" s="36"/>
      <c r="P38" s="80"/>
      <c r="Q38" s="80"/>
      <c r="R38" s="80"/>
      <c r="S38" s="9"/>
      <c r="T38" s="8"/>
      <c r="U38" s="164"/>
      <c r="V38" s="164"/>
      <c r="W38" s="164"/>
      <c r="X38" s="9"/>
    </row>
    <row r="39" spans="1:24" ht="15.95" customHeight="1">
      <c r="B39" s="2"/>
      <c r="C39" s="1" t="s">
        <v>656</v>
      </c>
      <c r="L39" s="1260"/>
      <c r="M39" s="1260"/>
      <c r="N39" s="1260"/>
      <c r="O39" s="1260"/>
      <c r="P39" s="34"/>
      <c r="Q39" s="34"/>
      <c r="R39" s="34"/>
      <c r="S39" s="9"/>
      <c r="T39" s="2"/>
      <c r="X39" s="9"/>
    </row>
    <row r="40" spans="1:24" ht="8.25" customHeight="1">
      <c r="B40" s="2"/>
      <c r="L40" s="35"/>
      <c r="M40" s="35"/>
      <c r="N40" s="35"/>
      <c r="O40" s="35"/>
      <c r="P40" s="34"/>
      <c r="Q40" s="34"/>
      <c r="R40" s="34"/>
      <c r="S40" s="9"/>
      <c r="T40" s="2"/>
      <c r="X40" s="9"/>
    </row>
    <row r="41" spans="1:24" ht="15.95" customHeight="1">
      <c r="B41" s="2"/>
      <c r="D41" s="1" t="s">
        <v>489</v>
      </c>
      <c r="E41" s="1263" t="s">
        <v>657</v>
      </c>
      <c r="F41" s="1263"/>
      <c r="G41" s="1263"/>
      <c r="H41" s="1263"/>
      <c r="M41" s="949" t="s">
        <v>658</v>
      </c>
      <c r="N41" s="949"/>
      <c r="O41" s="949"/>
      <c r="P41" s="1356">
        <f>R19</f>
        <v>0</v>
      </c>
      <c r="Q41" s="1356"/>
      <c r="R41" s="1356"/>
      <c r="S41" s="9" t="s">
        <v>451</v>
      </c>
      <c r="T41" s="8" t="s">
        <v>543</v>
      </c>
      <c r="U41" s="1357"/>
      <c r="V41" s="1357"/>
      <c r="W41" s="1357"/>
      <c r="X41" s="9" t="s">
        <v>544</v>
      </c>
    </row>
    <row r="42" spans="1:24" ht="8.25" customHeight="1">
      <c r="B42" s="2"/>
      <c r="E42" s="36"/>
      <c r="F42" s="36"/>
      <c r="G42" s="36"/>
      <c r="H42" s="36"/>
      <c r="M42" s="155"/>
      <c r="N42" s="155"/>
      <c r="O42" s="155"/>
      <c r="P42" s="80"/>
      <c r="Q42" s="80"/>
      <c r="R42" s="80"/>
      <c r="S42" s="9"/>
      <c r="T42" s="8"/>
      <c r="U42" s="164"/>
      <c r="V42" s="164"/>
      <c r="W42" s="164"/>
      <c r="X42" s="9"/>
    </row>
    <row r="43" spans="1:24" ht="15.95" customHeight="1">
      <c r="B43" s="2"/>
      <c r="D43" s="1" t="s">
        <v>491</v>
      </c>
      <c r="E43" s="1359" t="s">
        <v>659</v>
      </c>
      <c r="F43" s="1359"/>
      <c r="G43" s="1359"/>
      <c r="H43" s="1359"/>
      <c r="P43" s="34"/>
      <c r="Q43" s="34"/>
      <c r="R43" s="34"/>
      <c r="S43" s="9"/>
      <c r="T43" s="2"/>
      <c r="X43" s="9"/>
    </row>
    <row r="44" spans="1:24" ht="15.95" customHeight="1">
      <c r="B44" s="2"/>
      <c r="D44" s="34" t="s">
        <v>522</v>
      </c>
      <c r="E44" s="1355"/>
      <c r="F44" s="1355"/>
      <c r="G44" s="1355"/>
      <c r="H44" s="1" t="s">
        <v>523</v>
      </c>
      <c r="K44" s="35" t="s">
        <v>268</v>
      </c>
      <c r="M44" s="1468" t="s">
        <v>660</v>
      </c>
      <c r="N44" s="1468"/>
      <c r="O44" s="1468"/>
      <c r="P44" s="1356">
        <f>H19</f>
        <v>0</v>
      </c>
      <c r="Q44" s="1356"/>
      <c r="R44" s="1356"/>
      <c r="S44" s="9" t="s">
        <v>451</v>
      </c>
      <c r="T44" s="8" t="s">
        <v>543</v>
      </c>
      <c r="U44" s="1357">
        <f>E44*P44</f>
        <v>0</v>
      </c>
      <c r="V44" s="1357"/>
      <c r="W44" s="1357"/>
      <c r="X44" s="9" t="s">
        <v>544</v>
      </c>
    </row>
    <row r="45" spans="1:24" ht="15.95" customHeight="1">
      <c r="B45" s="2"/>
      <c r="D45" s="34"/>
      <c r="E45" s="1446" t="s">
        <v>890</v>
      </c>
      <c r="F45" s="1446"/>
      <c r="G45" s="1446"/>
      <c r="H45" s="1446"/>
      <c r="I45" s="1446"/>
      <c r="J45" s="1446"/>
      <c r="K45" s="1446"/>
      <c r="L45" s="1446"/>
      <c r="M45" s="1446"/>
      <c r="N45" s="1446"/>
      <c r="O45" s="1446"/>
      <c r="P45" s="80"/>
      <c r="Q45" s="80"/>
      <c r="R45" s="80"/>
      <c r="S45" s="9"/>
      <c r="T45" s="8"/>
      <c r="U45" s="164"/>
      <c r="V45" s="164"/>
      <c r="W45" s="164"/>
      <c r="X45" s="9"/>
    </row>
    <row r="46" spans="1:24" ht="8.25" customHeight="1">
      <c r="B46" s="2"/>
      <c r="D46" s="34"/>
      <c r="E46" s="170"/>
      <c r="F46" s="170"/>
      <c r="G46" s="170"/>
      <c r="K46" s="35"/>
      <c r="M46" s="36"/>
      <c r="N46" s="36"/>
      <c r="O46" s="36"/>
      <c r="P46" s="80"/>
      <c r="Q46" s="80"/>
      <c r="R46" s="80"/>
      <c r="S46" s="9"/>
      <c r="T46" s="8"/>
      <c r="U46" s="164"/>
      <c r="V46" s="164"/>
      <c r="W46" s="164"/>
      <c r="X46" s="9"/>
    </row>
    <row r="47" spans="1:24" ht="15.95" customHeight="1">
      <c r="B47" s="2"/>
      <c r="C47" s="1" t="s">
        <v>662</v>
      </c>
      <c r="P47" s="34"/>
      <c r="Q47" s="34"/>
      <c r="R47" s="34"/>
      <c r="S47" s="9"/>
      <c r="T47" s="8" t="s">
        <v>543</v>
      </c>
      <c r="U47" s="1357"/>
      <c r="V47" s="1357"/>
      <c r="W47" s="1357"/>
      <c r="X47" s="9" t="s">
        <v>544</v>
      </c>
    </row>
    <row r="48" spans="1:24" ht="8.25" customHeight="1">
      <c r="B48" s="2"/>
      <c r="P48" s="34"/>
      <c r="Q48" s="34"/>
      <c r="R48" s="34"/>
      <c r="S48" s="9"/>
      <c r="T48" s="8"/>
      <c r="U48" s="164"/>
      <c r="V48" s="164"/>
      <c r="W48" s="164"/>
      <c r="X48" s="9"/>
    </row>
    <row r="49" spans="2:24" ht="15.95" customHeight="1">
      <c r="B49" s="2"/>
      <c r="C49" s="1" t="s">
        <v>663</v>
      </c>
      <c r="P49" s="34"/>
      <c r="Q49" s="34"/>
      <c r="R49" s="34"/>
      <c r="S49" s="9"/>
      <c r="T49" s="2"/>
      <c r="X49" s="9"/>
    </row>
    <row r="50" spans="2:24" ht="15.95" customHeight="1">
      <c r="B50" s="2"/>
      <c r="D50" s="34" t="s">
        <v>522</v>
      </c>
      <c r="E50" s="1358">
        <v>27640</v>
      </c>
      <c r="F50" s="1358"/>
      <c r="G50" s="1358"/>
      <c r="H50" s="1" t="s">
        <v>541</v>
      </c>
      <c r="K50" s="35" t="s">
        <v>268</v>
      </c>
      <c r="M50" s="949" t="s">
        <v>664</v>
      </c>
      <c r="N50" s="949"/>
      <c r="O50" s="949"/>
      <c r="P50" s="1356">
        <f>U22</f>
        <v>0</v>
      </c>
      <c r="Q50" s="1356"/>
      <c r="R50" s="1356"/>
      <c r="S50" s="9" t="s">
        <v>451</v>
      </c>
      <c r="T50" s="8" t="s">
        <v>543</v>
      </c>
      <c r="U50" s="1357">
        <f>E50*P50</f>
        <v>0</v>
      </c>
      <c r="V50" s="1357"/>
      <c r="W50" s="1357"/>
      <c r="X50" s="9" t="s">
        <v>544</v>
      </c>
    </row>
    <row r="51" spans="2:24" ht="8.25" customHeight="1">
      <c r="B51" s="2"/>
      <c r="D51" s="34"/>
      <c r="E51" s="170"/>
      <c r="F51" s="170"/>
      <c r="G51" s="170"/>
      <c r="K51" s="35"/>
      <c r="M51" s="155"/>
      <c r="N51" s="155"/>
      <c r="O51" s="155"/>
      <c r="P51" s="80"/>
      <c r="Q51" s="80"/>
      <c r="R51" s="80"/>
      <c r="S51" s="9"/>
      <c r="T51" s="8"/>
      <c r="U51" s="164"/>
      <c r="V51" s="164"/>
      <c r="W51" s="164"/>
      <c r="X51" s="9"/>
    </row>
    <row r="52" spans="2:24" ht="15.95" customHeight="1">
      <c r="B52" s="2"/>
      <c r="C52" s="1" t="s">
        <v>665</v>
      </c>
      <c r="P52" s="34"/>
      <c r="Q52" s="34"/>
      <c r="R52" s="34"/>
      <c r="S52" s="9"/>
      <c r="T52" s="2"/>
      <c r="X52" s="9"/>
    </row>
    <row r="53" spans="2:24" ht="15.95" customHeight="1">
      <c r="B53" s="2"/>
      <c r="D53" s="34" t="s">
        <v>522</v>
      </c>
      <c r="E53" s="1358">
        <v>4000</v>
      </c>
      <c r="F53" s="1358"/>
      <c r="G53" s="1358"/>
      <c r="H53" s="1" t="s">
        <v>523</v>
      </c>
      <c r="K53" s="35" t="s">
        <v>268</v>
      </c>
      <c r="M53" s="1468" t="s">
        <v>666</v>
      </c>
      <c r="N53" s="1468"/>
      <c r="O53" s="1468"/>
      <c r="P53" s="1356">
        <f>O11+O12</f>
        <v>0</v>
      </c>
      <c r="Q53" s="1356"/>
      <c r="R53" s="1356"/>
      <c r="S53" s="9" t="s">
        <v>451</v>
      </c>
      <c r="T53" s="8" t="s">
        <v>543</v>
      </c>
      <c r="U53" s="1357">
        <f>E53*P53</f>
        <v>0</v>
      </c>
      <c r="V53" s="1357"/>
      <c r="W53" s="1357"/>
      <c r="X53" s="9" t="s">
        <v>544</v>
      </c>
    </row>
    <row r="54" spans="2:24" ht="8.25" customHeight="1">
      <c r="B54" s="2"/>
      <c r="D54" s="34"/>
      <c r="E54" s="170"/>
      <c r="F54" s="170"/>
      <c r="G54" s="170"/>
      <c r="K54" s="35"/>
      <c r="P54" s="80"/>
      <c r="Q54" s="80"/>
      <c r="R54" s="80"/>
      <c r="S54" s="9"/>
      <c r="T54" s="8"/>
      <c r="U54" s="164"/>
      <c r="V54" s="164"/>
      <c r="W54" s="164"/>
      <c r="X54" s="9"/>
    </row>
    <row r="55" spans="2:24" ht="15.95" customHeight="1">
      <c r="B55" s="2"/>
      <c r="C55" s="1" t="s">
        <v>667</v>
      </c>
      <c r="P55" s="34"/>
      <c r="Q55" s="34"/>
      <c r="R55" s="34"/>
      <c r="S55" s="9"/>
      <c r="T55" s="8" t="s">
        <v>543</v>
      </c>
      <c r="U55" s="1357"/>
      <c r="V55" s="1357"/>
      <c r="W55" s="1357"/>
      <c r="X55" s="9" t="s">
        <v>544</v>
      </c>
    </row>
    <row r="56" spans="2:24" ht="8.25" customHeight="1">
      <c r="B56" s="2"/>
      <c r="D56" s="34"/>
      <c r="E56" s="170"/>
      <c r="F56" s="170"/>
      <c r="G56" s="170"/>
      <c r="K56" s="35"/>
      <c r="P56" s="80"/>
      <c r="Q56" s="80"/>
      <c r="R56" s="80"/>
      <c r="S56" s="9"/>
      <c r="T56" s="8"/>
      <c r="U56" s="164"/>
      <c r="V56" s="164"/>
      <c r="W56" s="164"/>
      <c r="X56" s="9"/>
    </row>
    <row r="57" spans="2:24" ht="15.95" customHeight="1">
      <c r="B57" s="2"/>
      <c r="C57" s="132" t="s">
        <v>668</v>
      </c>
      <c r="D57" s="35"/>
      <c r="E57" s="36"/>
      <c r="F57" s="36"/>
      <c r="G57" s="36"/>
      <c r="H57" s="36"/>
      <c r="I57" s="36"/>
      <c r="M57" s="170"/>
      <c r="O57" s="170"/>
      <c r="P57" s="170"/>
      <c r="Q57" s="170"/>
      <c r="R57" s="170"/>
      <c r="S57" s="9"/>
      <c r="T57" s="8"/>
      <c r="U57" s="164"/>
      <c r="V57" s="164"/>
      <c r="W57" s="164"/>
      <c r="X57" s="9"/>
    </row>
    <row r="58" spans="2:24" ht="15.95" customHeight="1">
      <c r="B58" s="16"/>
      <c r="C58" s="132" t="s">
        <v>669</v>
      </c>
      <c r="D58" s="3"/>
      <c r="E58" s="4"/>
      <c r="F58" s="4"/>
      <c r="G58" s="4"/>
      <c r="H58" s="4"/>
      <c r="I58" s="4"/>
      <c r="J58" s="5"/>
      <c r="K58" s="5"/>
      <c r="L58" s="5"/>
      <c r="M58" s="6"/>
      <c r="N58" s="5"/>
      <c r="O58" s="6"/>
      <c r="P58" s="7"/>
      <c r="Q58" s="7"/>
      <c r="R58" s="7"/>
      <c r="S58" s="59"/>
      <c r="T58" s="60"/>
      <c r="U58" s="81"/>
      <c r="V58" s="81"/>
      <c r="W58" s="81"/>
      <c r="X58" s="59"/>
    </row>
    <row r="59" spans="2:24" ht="15.95" customHeight="1">
      <c r="B59" s="1351" t="s">
        <v>670</v>
      </c>
      <c r="C59" s="1352"/>
      <c r="D59" s="1352"/>
      <c r="E59" s="1352"/>
      <c r="F59" s="1352"/>
      <c r="G59" s="1352"/>
      <c r="H59" s="1352"/>
      <c r="I59" s="1352"/>
      <c r="J59" s="1352"/>
      <c r="K59" s="1352"/>
      <c r="L59" s="1352"/>
      <c r="M59" s="1352"/>
      <c r="N59" s="1352"/>
      <c r="O59" s="1352"/>
      <c r="P59" s="1352"/>
      <c r="Q59" s="1352"/>
      <c r="R59" s="1352"/>
      <c r="S59" s="1353"/>
      <c r="T59" s="169" t="s">
        <v>543</v>
      </c>
      <c r="U59" s="1354">
        <f>U35+U37+U41+U44+U47+U50+U53+U55</f>
        <v>0</v>
      </c>
      <c r="V59" s="1354"/>
      <c r="W59" s="1354"/>
      <c r="X59" s="28" t="s">
        <v>544</v>
      </c>
    </row>
    <row r="60" spans="2:24" ht="27.75" customHeight="1">
      <c r="B60" s="82"/>
      <c r="C60" s="82"/>
      <c r="D60" s="82"/>
      <c r="E60" s="82"/>
      <c r="F60" s="82"/>
      <c r="G60" s="82"/>
      <c r="H60" s="82"/>
      <c r="I60" s="82"/>
      <c r="J60" s="82"/>
      <c r="K60" s="82"/>
      <c r="L60" s="82"/>
      <c r="M60" s="82"/>
      <c r="N60" s="82"/>
      <c r="O60" s="82"/>
      <c r="P60" s="82"/>
      <c r="Q60" s="82"/>
      <c r="R60" s="82"/>
      <c r="S60" s="82"/>
      <c r="T60" s="82"/>
      <c r="U60" s="82"/>
      <c r="V60" s="82"/>
      <c r="W60" s="82"/>
      <c r="X60" s="82"/>
    </row>
    <row r="61" spans="2:24" ht="18.75" customHeight="1">
      <c r="B61" s="83"/>
      <c r="C61" s="83"/>
      <c r="D61" s="83"/>
      <c r="E61" s="83"/>
      <c r="F61" s="83"/>
      <c r="G61" s="83"/>
      <c r="H61" s="83"/>
      <c r="I61" s="83"/>
      <c r="J61" s="83"/>
      <c r="K61" s="83"/>
      <c r="L61" s="83"/>
      <c r="M61" s="83"/>
      <c r="N61" s="83"/>
      <c r="O61" s="83"/>
      <c r="P61" s="83"/>
      <c r="Q61" s="83"/>
      <c r="R61" s="83"/>
      <c r="S61" s="83"/>
      <c r="T61" s="83"/>
      <c r="U61" s="83"/>
      <c r="V61" s="83"/>
      <c r="W61" s="83"/>
      <c r="X61" s="83"/>
    </row>
    <row r="62" spans="2:24" ht="18.75" customHeight="1">
      <c r="B62" s="84"/>
      <c r="C62" s="84"/>
      <c r="D62" s="84"/>
      <c r="E62" s="84"/>
      <c r="F62" s="84"/>
      <c r="G62" s="84"/>
      <c r="H62" s="84"/>
      <c r="I62" s="84"/>
      <c r="J62" s="84"/>
      <c r="K62" s="84"/>
      <c r="L62" s="84"/>
      <c r="M62" s="84"/>
      <c r="N62" s="84"/>
      <c r="O62" s="84"/>
      <c r="P62" s="84"/>
      <c r="Q62" s="84"/>
      <c r="R62" s="84"/>
      <c r="S62" s="84"/>
      <c r="T62" s="84"/>
      <c r="U62" s="84"/>
      <c r="V62" s="84"/>
      <c r="W62" s="84"/>
      <c r="X62" s="84"/>
    </row>
    <row r="63" spans="2:24" ht="12" customHeight="1"/>
    <row r="64" spans="2:24" ht="18.75" customHeight="1"/>
    <row r="67" ht="6.95" customHeight="1"/>
    <row r="68" ht="6.95" customHeight="1"/>
    <row r="72" ht="9.75" customHeight="1"/>
    <row r="74" ht="13.5" customHeight="1"/>
    <row r="75" ht="13.5" customHeight="1"/>
    <row r="76" ht="13.5" customHeight="1"/>
    <row r="77" ht="13.5" customHeight="1"/>
    <row r="79" ht="13.5" customHeight="1"/>
    <row r="85" ht="21" customHeight="1"/>
    <row r="86" ht="23.25" customHeight="1"/>
    <row r="87" ht="27" customHeight="1"/>
    <row r="88" ht="48" customHeight="1"/>
  </sheetData>
  <mergeCells count="51">
    <mergeCell ref="U55:W55"/>
    <mergeCell ref="B59:S59"/>
    <mergeCell ref="U59:W59"/>
    <mergeCell ref="E50:G50"/>
    <mergeCell ref="M50:O50"/>
    <mergeCell ref="P50:R50"/>
    <mergeCell ref="U50:W50"/>
    <mergeCell ref="E53:G53"/>
    <mergeCell ref="M53:O53"/>
    <mergeCell ref="P53:R53"/>
    <mergeCell ref="U53:W53"/>
    <mergeCell ref="U47:W47"/>
    <mergeCell ref="L39:O39"/>
    <mergeCell ref="E41:H41"/>
    <mergeCell ref="M41:O41"/>
    <mergeCell ref="P41:R41"/>
    <mergeCell ref="U41:W41"/>
    <mergeCell ref="E43:H43"/>
    <mergeCell ref="E44:G44"/>
    <mergeCell ref="M44:O44"/>
    <mergeCell ref="P44:R44"/>
    <mergeCell ref="U44:W44"/>
    <mergeCell ref="E45:O45"/>
    <mergeCell ref="E35:G35"/>
    <mergeCell ref="M35:O35"/>
    <mergeCell ref="P35:R35"/>
    <mergeCell ref="U35:W35"/>
    <mergeCell ref="E37:G37"/>
    <mergeCell ref="M37:O37"/>
    <mergeCell ref="P37:R37"/>
    <mergeCell ref="U37:W37"/>
    <mergeCell ref="N25:T25"/>
    <mergeCell ref="U25:W25"/>
    <mergeCell ref="O12:W12"/>
    <mergeCell ref="B13:M13"/>
    <mergeCell ref="O13:W13"/>
    <mergeCell ref="B14:M14"/>
    <mergeCell ref="P14:W14"/>
    <mergeCell ref="H19:J19"/>
    <mergeCell ref="R19:T19"/>
    <mergeCell ref="B20:X20"/>
    <mergeCell ref="P22:S23"/>
    <mergeCell ref="T22:T23"/>
    <mergeCell ref="U22:W23"/>
    <mergeCell ref="X22:X23"/>
    <mergeCell ref="A3:X3"/>
    <mergeCell ref="N6:X6"/>
    <mergeCell ref="B9:M10"/>
    <mergeCell ref="N9:X10"/>
    <mergeCell ref="B11:M11"/>
    <mergeCell ref="O11:W11"/>
  </mergeCells>
  <phoneticPr fontId="4"/>
  <printOptions horizontalCentered="1"/>
  <pageMargins left="0.51181102362204722" right="0.39370078740157483" top="0.59055118110236227" bottom="0.59055118110236227" header="0.51181102362204722" footer="0.51181102362204722"/>
  <pageSetup paperSize="9" scale="95" orientation="portrait" r:id="rId1"/>
  <headerFooter alignWithMargins="0"/>
  <rowBreaks count="1" manualBreakCount="1">
    <brk id="5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
  <sheetViews>
    <sheetView workbookViewId="0">
      <selection activeCell="D17" sqref="D17"/>
    </sheetView>
  </sheetViews>
  <sheetFormatPr defaultRowHeight="13.15"/>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F0"/>
    <pageSetUpPr fitToPage="1"/>
  </sheetPr>
  <dimension ref="A1:L40"/>
  <sheetViews>
    <sheetView view="pageBreakPreview" zoomScaleNormal="100" zoomScaleSheetLayoutView="100" workbookViewId="0">
      <selection activeCell="D17" sqref="D17"/>
    </sheetView>
  </sheetViews>
  <sheetFormatPr defaultColWidth="9" defaultRowHeight="13.15"/>
  <cols>
    <col min="1" max="1" width="10" style="85" customWidth="1"/>
    <col min="2" max="2" width="3.625" style="85" customWidth="1"/>
    <col min="3" max="3" width="14.125" style="85" customWidth="1"/>
    <col min="4" max="4" width="11.5" style="85" customWidth="1"/>
    <col min="5" max="5" width="9.25" style="85" bestFit="1" customWidth="1"/>
    <col min="6" max="10" width="9" style="85"/>
    <col min="11" max="11" width="13.5" style="85" customWidth="1"/>
    <col min="12" max="12" width="47.75" style="85" bestFit="1" customWidth="1"/>
    <col min="13" max="16384" width="9" style="85"/>
  </cols>
  <sheetData>
    <row r="1" spans="1:12" ht="15" thickBot="1">
      <c r="A1" s="85" t="s">
        <v>154</v>
      </c>
      <c r="B1" s="305"/>
    </row>
    <row r="2" spans="1:12" ht="13.9" thickBot="1">
      <c r="H2" s="894" t="s">
        <v>155</v>
      </c>
      <c r="I2" s="894"/>
      <c r="K2" s="259" t="s">
        <v>156</v>
      </c>
      <c r="L2" s="260" t="s">
        <v>118</v>
      </c>
    </row>
    <row r="3" spans="1:12">
      <c r="H3" s="894" t="s">
        <v>157</v>
      </c>
      <c r="I3" s="894"/>
    </row>
    <row r="5" spans="1:12">
      <c r="A5" s="85" t="str">
        <f>VLOOKUP($L$2,様式リスト!$B$3:$D$5,2,0)</f>
        <v>　地方厚生局長　　殿</v>
      </c>
    </row>
    <row r="8" spans="1:12">
      <c r="F8" s="85" t="s">
        <v>158</v>
      </c>
      <c r="G8" s="895"/>
      <c r="H8" s="895"/>
      <c r="I8" s="895"/>
    </row>
    <row r="9" spans="1:12">
      <c r="F9" s="85" t="s">
        <v>159</v>
      </c>
      <c r="G9" s="895"/>
      <c r="H9" s="895"/>
      <c r="I9" s="895"/>
    </row>
    <row r="16" spans="1:12">
      <c r="A16" s="85" t="s">
        <v>160</v>
      </c>
      <c r="C16" s="435"/>
      <c r="D16" s="893" t="str">
        <f>VLOOKUP($L$2,様式リスト!$B$3:$D$5,3,0)</f>
        <v>年度臨床研修費等補助金の（変更）交付申請書</v>
      </c>
      <c r="E16" s="893"/>
      <c r="F16" s="893"/>
      <c r="G16" s="893"/>
      <c r="H16" s="893"/>
      <c r="I16" s="893"/>
    </row>
    <row r="17" spans="1:9">
      <c r="A17" s="85" t="s">
        <v>161</v>
      </c>
    </row>
    <row r="23" spans="1:9">
      <c r="A23" s="892" t="s">
        <v>162</v>
      </c>
      <c r="B23" s="892"/>
      <c r="C23" s="892"/>
      <c r="D23" s="892"/>
      <c r="E23" s="892"/>
      <c r="F23" s="892"/>
      <c r="G23" s="892"/>
      <c r="H23" s="892"/>
      <c r="I23" s="892"/>
    </row>
    <row r="27" spans="1:9">
      <c r="B27" s="69" t="s">
        <v>163</v>
      </c>
      <c r="D27" s="435" t="s">
        <v>164</v>
      </c>
      <c r="E27" s="890"/>
      <c r="F27" s="890"/>
      <c r="G27" s="85" t="s">
        <v>165</v>
      </c>
    </row>
    <row r="29" spans="1:9">
      <c r="B29" s="85" t="s">
        <v>166</v>
      </c>
    </row>
    <row r="31" spans="1:9">
      <c r="B31" s="85" t="s">
        <v>167</v>
      </c>
    </row>
    <row r="33" spans="1:8">
      <c r="B33" s="85" t="s">
        <v>168</v>
      </c>
    </row>
    <row r="35" spans="1:8">
      <c r="B35" s="85" t="s">
        <v>169</v>
      </c>
      <c r="C35"/>
      <c r="D35"/>
      <c r="E35"/>
      <c r="F35"/>
      <c r="G35"/>
      <c r="H35"/>
    </row>
    <row r="36" spans="1:8">
      <c r="B36"/>
      <c r="C36" s="580" t="s">
        <v>170</v>
      </c>
      <c r="D36" s="581" t="s">
        <v>171</v>
      </c>
      <c r="E36" s="891"/>
      <c r="F36" s="891"/>
      <c r="G36" t="s">
        <v>165</v>
      </c>
      <c r="H36" t="s">
        <v>172</v>
      </c>
    </row>
    <row r="37" spans="1:8">
      <c r="B37"/>
      <c r="C37"/>
      <c r="D37"/>
      <c r="E37"/>
      <c r="F37"/>
      <c r="G37"/>
      <c r="H37"/>
    </row>
    <row r="38" spans="1:8">
      <c r="A38" s="285"/>
      <c r="B38"/>
      <c r="C38" t="s">
        <v>173</v>
      </c>
      <c r="D38" s="581"/>
      <c r="E38" s="891"/>
      <c r="F38" s="891"/>
      <c r="G38" t="s">
        <v>165</v>
      </c>
      <c r="H38" t="s">
        <v>174</v>
      </c>
    </row>
    <row r="39" spans="1:8">
      <c r="B39"/>
      <c r="C39"/>
      <c r="D39"/>
      <c r="E39"/>
      <c r="F39"/>
      <c r="G39"/>
      <c r="H39"/>
    </row>
    <row r="40" spans="1:8">
      <c r="B40"/>
      <c r="C40" t="s">
        <v>175</v>
      </c>
      <c r="D40" s="581"/>
      <c r="E40" s="891"/>
      <c r="F40" s="891"/>
      <c r="G40" t="s">
        <v>165</v>
      </c>
      <c r="H40" t="s">
        <v>176</v>
      </c>
    </row>
  </sheetData>
  <mergeCells count="10">
    <mergeCell ref="D16:I16"/>
    <mergeCell ref="H2:I2"/>
    <mergeCell ref="H3:I3"/>
    <mergeCell ref="G8:I8"/>
    <mergeCell ref="G9:I9"/>
    <mergeCell ref="E27:F27"/>
    <mergeCell ref="E36:F36"/>
    <mergeCell ref="E38:F38"/>
    <mergeCell ref="E40:F40"/>
    <mergeCell ref="A23:I23"/>
  </mergeCells>
  <phoneticPr fontId="4"/>
  <conditionalFormatting sqref="E27">
    <cfRule type="containsBlanks" dxfId="137" priority="1">
      <formula>LEN(TRIM(E27))=0</formula>
    </cfRule>
  </conditionalFormatting>
  <conditionalFormatting sqref="E36 E38 E40">
    <cfRule type="containsBlanks" dxfId="136" priority="7">
      <formula>LEN(TRIM(E36))=0</formula>
    </cfRule>
  </conditionalFormatting>
  <conditionalFormatting sqref="G8:G9 C16">
    <cfRule type="containsBlanks" dxfId="135" priority="6">
      <formula>LEN(TRIM(C8))=0</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errors="blank"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様式リスト!$B$3:$B$5</xm:f>
          </x14:formula1>
          <xm:sqref>L2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901F-30C5-4B0D-B008-D2DD36DE686A}">
  <sheetPr>
    <tabColor rgb="FF00B0F0"/>
    <pageSetUpPr fitToPage="1"/>
  </sheetPr>
  <dimension ref="A1:Q94"/>
  <sheetViews>
    <sheetView view="pageBreakPreview" topLeftCell="B21" zoomScale="70" zoomScaleNormal="90" zoomScaleSheetLayoutView="70" workbookViewId="0">
      <selection activeCell="D17" sqref="D17"/>
    </sheetView>
  </sheetViews>
  <sheetFormatPr defaultRowHeight="13.15" outlineLevelCol="1"/>
  <cols>
    <col min="1" max="1" width="3.625" style="313" hidden="1" customWidth="1"/>
    <col min="2" max="14" width="18.625" style="313" customWidth="1"/>
    <col min="15" max="15" width="5.625" style="313" customWidth="1" outlineLevel="1"/>
    <col min="16" max="17" width="9" style="313" customWidth="1" outlineLevel="1"/>
    <col min="18" max="263" width="9" style="313"/>
    <col min="264" max="264" width="15.75" style="313" customWidth="1"/>
    <col min="265" max="270" width="12.125" style="313" customWidth="1"/>
    <col min="271" max="271" width="11.875" style="313" customWidth="1"/>
    <col min="272" max="519" width="9" style="313"/>
    <col min="520" max="520" width="15.75" style="313" customWidth="1"/>
    <col min="521" max="526" width="12.125" style="313" customWidth="1"/>
    <col min="527" max="527" width="11.875" style="313" customWidth="1"/>
    <col min="528" max="775" width="9" style="313"/>
    <col min="776" max="776" width="15.75" style="313" customWidth="1"/>
    <col min="777" max="782" width="12.125" style="313" customWidth="1"/>
    <col min="783" max="783" width="11.875" style="313" customWidth="1"/>
    <col min="784" max="1031" width="9" style="313"/>
    <col min="1032" max="1032" width="15.75" style="313" customWidth="1"/>
    <col min="1033" max="1038" width="12.125" style="313" customWidth="1"/>
    <col min="1039" max="1039" width="11.875" style="313" customWidth="1"/>
    <col min="1040" max="1287" width="9" style="313"/>
    <col min="1288" max="1288" width="15.75" style="313" customWidth="1"/>
    <col min="1289" max="1294" width="12.125" style="313" customWidth="1"/>
    <col min="1295" max="1295" width="11.875" style="313" customWidth="1"/>
    <col min="1296" max="1543" width="9" style="313"/>
    <col min="1544" max="1544" width="15.75" style="313" customWidth="1"/>
    <col min="1545" max="1550" width="12.125" style="313" customWidth="1"/>
    <col min="1551" max="1551" width="11.875" style="313" customWidth="1"/>
    <col min="1552" max="1799" width="9" style="313"/>
    <col min="1800" max="1800" width="15.75" style="313" customWidth="1"/>
    <col min="1801" max="1806" width="12.125" style="313" customWidth="1"/>
    <col min="1807" max="1807" width="11.875" style="313" customWidth="1"/>
    <col min="1808" max="2055" width="9" style="313"/>
    <col min="2056" max="2056" width="15.75" style="313" customWidth="1"/>
    <col min="2057" max="2062" width="12.125" style="313" customWidth="1"/>
    <col min="2063" max="2063" width="11.875" style="313" customWidth="1"/>
    <col min="2064" max="2311" width="9" style="313"/>
    <col min="2312" max="2312" width="15.75" style="313" customWidth="1"/>
    <col min="2313" max="2318" width="12.125" style="313" customWidth="1"/>
    <col min="2319" max="2319" width="11.875" style="313" customWidth="1"/>
    <col min="2320" max="2567" width="9" style="313"/>
    <col min="2568" max="2568" width="15.75" style="313" customWidth="1"/>
    <col min="2569" max="2574" width="12.125" style="313" customWidth="1"/>
    <col min="2575" max="2575" width="11.875" style="313" customWidth="1"/>
    <col min="2576" max="2823" width="9" style="313"/>
    <col min="2824" max="2824" width="15.75" style="313" customWidth="1"/>
    <col min="2825" max="2830" width="12.125" style="313" customWidth="1"/>
    <col min="2831" max="2831" width="11.875" style="313" customWidth="1"/>
    <col min="2832" max="3079" width="9" style="313"/>
    <col min="3080" max="3080" width="15.75" style="313" customWidth="1"/>
    <col min="3081" max="3086" width="12.125" style="313" customWidth="1"/>
    <col min="3087" max="3087" width="11.875" style="313" customWidth="1"/>
    <col min="3088" max="3335" width="9" style="313"/>
    <col min="3336" max="3336" width="15.75" style="313" customWidth="1"/>
    <col min="3337" max="3342" width="12.125" style="313" customWidth="1"/>
    <col min="3343" max="3343" width="11.875" style="313" customWidth="1"/>
    <col min="3344" max="3591" width="9" style="313"/>
    <col min="3592" max="3592" width="15.75" style="313" customWidth="1"/>
    <col min="3593" max="3598" width="12.125" style="313" customWidth="1"/>
    <col min="3599" max="3599" width="11.875" style="313" customWidth="1"/>
    <col min="3600" max="3847" width="9" style="313"/>
    <col min="3848" max="3848" width="15.75" style="313" customWidth="1"/>
    <col min="3849" max="3854" width="12.125" style="313" customWidth="1"/>
    <col min="3855" max="3855" width="11.875" style="313" customWidth="1"/>
    <col min="3856" max="4103" width="9" style="313"/>
    <col min="4104" max="4104" width="15.75" style="313" customWidth="1"/>
    <col min="4105" max="4110" width="12.125" style="313" customWidth="1"/>
    <col min="4111" max="4111" width="11.875" style="313" customWidth="1"/>
    <col min="4112" max="4359" width="9" style="313"/>
    <col min="4360" max="4360" width="15.75" style="313" customWidth="1"/>
    <col min="4361" max="4366" width="12.125" style="313" customWidth="1"/>
    <col min="4367" max="4367" width="11.875" style="313" customWidth="1"/>
    <col min="4368" max="4615" width="9" style="313"/>
    <col min="4616" max="4616" width="15.75" style="313" customWidth="1"/>
    <col min="4617" max="4622" width="12.125" style="313" customWidth="1"/>
    <col min="4623" max="4623" width="11.875" style="313" customWidth="1"/>
    <col min="4624" max="4871" width="9" style="313"/>
    <col min="4872" max="4872" width="15.75" style="313" customWidth="1"/>
    <col min="4873" max="4878" width="12.125" style="313" customWidth="1"/>
    <col min="4879" max="4879" width="11.875" style="313" customWidth="1"/>
    <col min="4880" max="5127" width="9" style="313"/>
    <col min="5128" max="5128" width="15.75" style="313" customWidth="1"/>
    <col min="5129" max="5134" width="12.125" style="313" customWidth="1"/>
    <col min="5135" max="5135" width="11.875" style="313" customWidth="1"/>
    <col min="5136" max="5383" width="9" style="313"/>
    <col min="5384" max="5384" width="15.75" style="313" customWidth="1"/>
    <col min="5385" max="5390" width="12.125" style="313" customWidth="1"/>
    <col min="5391" max="5391" width="11.875" style="313" customWidth="1"/>
    <col min="5392" max="5639" width="9" style="313"/>
    <col min="5640" max="5640" width="15.75" style="313" customWidth="1"/>
    <col min="5641" max="5646" width="12.125" style="313" customWidth="1"/>
    <col min="5647" max="5647" width="11.875" style="313" customWidth="1"/>
    <col min="5648" max="5895" width="9" style="313"/>
    <col min="5896" max="5896" width="15.75" style="313" customWidth="1"/>
    <col min="5897" max="5902" width="12.125" style="313" customWidth="1"/>
    <col min="5903" max="5903" width="11.875" style="313" customWidth="1"/>
    <col min="5904" max="6151" width="9" style="313"/>
    <col min="6152" max="6152" width="15.75" style="313" customWidth="1"/>
    <col min="6153" max="6158" width="12.125" style="313" customWidth="1"/>
    <col min="6159" max="6159" width="11.875" style="313" customWidth="1"/>
    <col min="6160" max="6407" width="9" style="313"/>
    <col min="6408" max="6408" width="15.75" style="313" customWidth="1"/>
    <col min="6409" max="6414" width="12.125" style="313" customWidth="1"/>
    <col min="6415" max="6415" width="11.875" style="313" customWidth="1"/>
    <col min="6416" max="6663" width="9" style="313"/>
    <col min="6664" max="6664" width="15.75" style="313" customWidth="1"/>
    <col min="6665" max="6670" width="12.125" style="313" customWidth="1"/>
    <col min="6671" max="6671" width="11.875" style="313" customWidth="1"/>
    <col min="6672" max="6919" width="9" style="313"/>
    <col min="6920" max="6920" width="15.75" style="313" customWidth="1"/>
    <col min="6921" max="6926" width="12.125" style="313" customWidth="1"/>
    <col min="6927" max="6927" width="11.875" style="313" customWidth="1"/>
    <col min="6928" max="7175" width="9" style="313"/>
    <col min="7176" max="7176" width="15.75" style="313" customWidth="1"/>
    <col min="7177" max="7182" width="12.125" style="313" customWidth="1"/>
    <col min="7183" max="7183" width="11.875" style="313" customWidth="1"/>
    <col min="7184" max="7431" width="9" style="313"/>
    <col min="7432" max="7432" width="15.75" style="313" customWidth="1"/>
    <col min="7433" max="7438" width="12.125" style="313" customWidth="1"/>
    <col min="7439" max="7439" width="11.875" style="313" customWidth="1"/>
    <col min="7440" max="7687" width="9" style="313"/>
    <col min="7688" max="7688" width="15.75" style="313" customWidth="1"/>
    <col min="7689" max="7694" width="12.125" style="313" customWidth="1"/>
    <col min="7695" max="7695" width="11.875" style="313" customWidth="1"/>
    <col min="7696" max="7943" width="9" style="313"/>
    <col min="7944" max="7944" width="15.75" style="313" customWidth="1"/>
    <col min="7945" max="7950" width="12.125" style="313" customWidth="1"/>
    <col min="7951" max="7951" width="11.875" style="313" customWidth="1"/>
    <col min="7952" max="8199" width="9" style="313"/>
    <col min="8200" max="8200" width="15.75" style="313" customWidth="1"/>
    <col min="8201" max="8206" width="12.125" style="313" customWidth="1"/>
    <col min="8207" max="8207" width="11.875" style="313" customWidth="1"/>
    <col min="8208" max="8455" width="9" style="313"/>
    <col min="8456" max="8456" width="15.75" style="313" customWidth="1"/>
    <col min="8457" max="8462" width="12.125" style="313" customWidth="1"/>
    <col min="8463" max="8463" width="11.875" style="313" customWidth="1"/>
    <col min="8464" max="8711" width="9" style="313"/>
    <col min="8712" max="8712" width="15.75" style="313" customWidth="1"/>
    <col min="8713" max="8718" width="12.125" style="313" customWidth="1"/>
    <col min="8719" max="8719" width="11.875" style="313" customWidth="1"/>
    <col min="8720" max="8967" width="9" style="313"/>
    <col min="8968" max="8968" width="15.75" style="313" customWidth="1"/>
    <col min="8969" max="8974" width="12.125" style="313" customWidth="1"/>
    <col min="8975" max="8975" width="11.875" style="313" customWidth="1"/>
    <col min="8976" max="9223" width="9" style="313"/>
    <col min="9224" max="9224" width="15.75" style="313" customWidth="1"/>
    <col min="9225" max="9230" width="12.125" style="313" customWidth="1"/>
    <col min="9231" max="9231" width="11.875" style="313" customWidth="1"/>
    <col min="9232" max="9479" width="9" style="313"/>
    <col min="9480" max="9480" width="15.75" style="313" customWidth="1"/>
    <col min="9481" max="9486" width="12.125" style="313" customWidth="1"/>
    <col min="9487" max="9487" width="11.875" style="313" customWidth="1"/>
    <col min="9488" max="9735" width="9" style="313"/>
    <col min="9736" max="9736" width="15.75" style="313" customWidth="1"/>
    <col min="9737" max="9742" width="12.125" style="313" customWidth="1"/>
    <col min="9743" max="9743" width="11.875" style="313" customWidth="1"/>
    <col min="9744" max="9991" width="9" style="313"/>
    <col min="9992" max="9992" width="15.75" style="313" customWidth="1"/>
    <col min="9993" max="9998" width="12.125" style="313" customWidth="1"/>
    <col min="9999" max="9999" width="11.875" style="313" customWidth="1"/>
    <col min="10000" max="10247" width="9" style="313"/>
    <col min="10248" max="10248" width="15.75" style="313" customWidth="1"/>
    <col min="10249" max="10254" width="12.125" style="313" customWidth="1"/>
    <col min="10255" max="10255" width="11.875" style="313" customWidth="1"/>
    <col min="10256" max="10503" width="9" style="313"/>
    <col min="10504" max="10504" width="15.75" style="313" customWidth="1"/>
    <col min="10505" max="10510" width="12.125" style="313" customWidth="1"/>
    <col min="10511" max="10511" width="11.875" style="313" customWidth="1"/>
    <col min="10512" max="10759" width="9" style="313"/>
    <col min="10760" max="10760" width="15.75" style="313" customWidth="1"/>
    <col min="10761" max="10766" width="12.125" style="313" customWidth="1"/>
    <col min="10767" max="10767" width="11.875" style="313" customWidth="1"/>
    <col min="10768" max="11015" width="9" style="313"/>
    <col min="11016" max="11016" width="15.75" style="313" customWidth="1"/>
    <col min="11017" max="11022" width="12.125" style="313" customWidth="1"/>
    <col min="11023" max="11023" width="11.875" style="313" customWidth="1"/>
    <col min="11024" max="11271" width="9" style="313"/>
    <col min="11272" max="11272" width="15.75" style="313" customWidth="1"/>
    <col min="11273" max="11278" width="12.125" style="313" customWidth="1"/>
    <col min="11279" max="11279" width="11.875" style="313" customWidth="1"/>
    <col min="11280" max="11527" width="9" style="313"/>
    <col min="11528" max="11528" width="15.75" style="313" customWidth="1"/>
    <col min="11529" max="11534" width="12.125" style="313" customWidth="1"/>
    <col min="11535" max="11535" width="11.875" style="313" customWidth="1"/>
    <col min="11536" max="11783" width="9" style="313"/>
    <col min="11784" max="11784" width="15.75" style="313" customWidth="1"/>
    <col min="11785" max="11790" width="12.125" style="313" customWidth="1"/>
    <col min="11791" max="11791" width="11.875" style="313" customWidth="1"/>
    <col min="11792" max="12039" width="9" style="313"/>
    <col min="12040" max="12040" width="15.75" style="313" customWidth="1"/>
    <col min="12041" max="12046" width="12.125" style="313" customWidth="1"/>
    <col min="12047" max="12047" width="11.875" style="313" customWidth="1"/>
    <col min="12048" max="12295" width="9" style="313"/>
    <col min="12296" max="12296" width="15.75" style="313" customWidth="1"/>
    <col min="12297" max="12302" width="12.125" style="313" customWidth="1"/>
    <col min="12303" max="12303" width="11.875" style="313" customWidth="1"/>
    <col min="12304" max="12551" width="9" style="313"/>
    <col min="12552" max="12552" width="15.75" style="313" customWidth="1"/>
    <col min="12553" max="12558" width="12.125" style="313" customWidth="1"/>
    <col min="12559" max="12559" width="11.875" style="313" customWidth="1"/>
    <col min="12560" max="12807" width="9" style="313"/>
    <col min="12808" max="12808" width="15.75" style="313" customWidth="1"/>
    <col min="12809" max="12814" width="12.125" style="313" customWidth="1"/>
    <col min="12815" max="12815" width="11.875" style="313" customWidth="1"/>
    <col min="12816" max="13063" width="9" style="313"/>
    <col min="13064" max="13064" width="15.75" style="313" customWidth="1"/>
    <col min="13065" max="13070" width="12.125" style="313" customWidth="1"/>
    <col min="13071" max="13071" width="11.875" style="313" customWidth="1"/>
    <col min="13072" max="13319" width="9" style="313"/>
    <col min="13320" max="13320" width="15.75" style="313" customWidth="1"/>
    <col min="13321" max="13326" width="12.125" style="313" customWidth="1"/>
    <col min="13327" max="13327" width="11.875" style="313" customWidth="1"/>
    <col min="13328" max="13575" width="9" style="313"/>
    <col min="13576" max="13576" width="15.75" style="313" customWidth="1"/>
    <col min="13577" max="13582" width="12.125" style="313" customWidth="1"/>
    <col min="13583" max="13583" width="11.875" style="313" customWidth="1"/>
    <col min="13584" max="13831" width="9" style="313"/>
    <col min="13832" max="13832" width="15.75" style="313" customWidth="1"/>
    <col min="13833" max="13838" width="12.125" style="313" customWidth="1"/>
    <col min="13839" max="13839" width="11.875" style="313" customWidth="1"/>
    <col min="13840" max="14087" width="9" style="313"/>
    <col min="14088" max="14088" width="15.75" style="313" customWidth="1"/>
    <col min="14089" max="14094" width="12.125" style="313" customWidth="1"/>
    <col min="14095" max="14095" width="11.875" style="313" customWidth="1"/>
    <col min="14096" max="14343" width="9" style="313"/>
    <col min="14344" max="14344" width="15.75" style="313" customWidth="1"/>
    <col min="14345" max="14350" width="12.125" style="313" customWidth="1"/>
    <col min="14351" max="14351" width="11.875" style="313" customWidth="1"/>
    <col min="14352" max="14599" width="9" style="313"/>
    <col min="14600" max="14600" width="15.75" style="313" customWidth="1"/>
    <col min="14601" max="14606" width="12.125" style="313" customWidth="1"/>
    <col min="14607" max="14607" width="11.875" style="313" customWidth="1"/>
    <col min="14608" max="14855" width="9" style="313"/>
    <col min="14856" max="14856" width="15.75" style="313" customWidth="1"/>
    <col min="14857" max="14862" width="12.125" style="313" customWidth="1"/>
    <col min="14863" max="14863" width="11.875" style="313" customWidth="1"/>
    <col min="14864" max="15111" width="9" style="313"/>
    <col min="15112" max="15112" width="15.75" style="313" customWidth="1"/>
    <col min="15113" max="15118" width="12.125" style="313" customWidth="1"/>
    <col min="15119" max="15119" width="11.875" style="313" customWidth="1"/>
    <col min="15120" max="15367" width="9" style="313"/>
    <col min="15368" max="15368" width="15.75" style="313" customWidth="1"/>
    <col min="15369" max="15374" width="12.125" style="313" customWidth="1"/>
    <col min="15375" max="15375" width="11.875" style="313" customWidth="1"/>
    <col min="15376" max="15623" width="9" style="313"/>
    <col min="15624" max="15624" width="15.75" style="313" customWidth="1"/>
    <col min="15625" max="15630" width="12.125" style="313" customWidth="1"/>
    <col min="15631" max="15631" width="11.875" style="313" customWidth="1"/>
    <col min="15632" max="15879" width="9" style="313"/>
    <col min="15880" max="15880" width="15.75" style="313" customWidth="1"/>
    <col min="15881" max="15886" width="12.125" style="313" customWidth="1"/>
    <col min="15887" max="15887" width="11.875" style="313" customWidth="1"/>
    <col min="15888" max="16135" width="9" style="313"/>
    <col min="16136" max="16136" width="15.75" style="313" customWidth="1"/>
    <col min="16137" max="16142" width="12.125" style="313" customWidth="1"/>
    <col min="16143" max="16143" width="11.875" style="313" customWidth="1"/>
    <col min="16144" max="16384" width="9" style="313"/>
  </cols>
  <sheetData>
    <row r="1" spans="2:17" ht="16.5" customHeight="1">
      <c r="B1" s="311" t="str">
        <f>"別紙１"&amp;IF(第2号様式!L2="臨床研修事業","ー１","")</f>
        <v>別紙１ー１</v>
      </c>
      <c r="C1" s="312"/>
    </row>
    <row r="2" spans="2:17" ht="13.5" customHeight="1"/>
    <row r="3" spans="2:17" ht="23.25" customHeight="1">
      <c r="B3" s="848" t="s">
        <v>177</v>
      </c>
      <c r="C3" s="848"/>
      <c r="D3" s="848"/>
      <c r="E3" s="848"/>
      <c r="F3" s="848"/>
      <c r="G3" s="848"/>
      <c r="H3" s="848"/>
      <c r="I3" s="848"/>
      <c r="J3" s="848"/>
      <c r="K3" s="848"/>
      <c r="L3" s="848"/>
      <c r="M3" s="848"/>
      <c r="N3" s="848"/>
    </row>
    <row r="4" spans="2:17" ht="13.5" customHeight="1">
      <c r="C4" s="314"/>
      <c r="D4" s="314"/>
      <c r="E4" s="314"/>
      <c r="F4" s="314"/>
      <c r="G4" s="314"/>
      <c r="H4" s="314"/>
      <c r="I4" s="314"/>
      <c r="J4" s="314"/>
      <c r="K4" s="314"/>
      <c r="L4" s="314"/>
      <c r="M4" s="314"/>
      <c r="N4" s="314"/>
    </row>
    <row r="5" spans="2:17" ht="23.25" customHeight="1">
      <c r="B5" s="311" t="str">
        <f>CONCATENATE("１　",第2号様式!L2,"　所要額")</f>
        <v>１　臨床研修事業　所要額</v>
      </c>
      <c r="C5" s="311"/>
    </row>
    <row r="6" spans="2:17" ht="17.25" customHeight="1">
      <c r="B6" s="315"/>
      <c r="C6" s="907" t="s">
        <v>178</v>
      </c>
      <c r="D6" s="316" t="s">
        <v>179</v>
      </c>
      <c r="E6" s="909" t="s">
        <v>180</v>
      </c>
      <c r="F6" s="586" t="s">
        <v>181</v>
      </c>
      <c r="G6" s="907" t="s">
        <v>182</v>
      </c>
      <c r="H6" s="907" t="s">
        <v>183</v>
      </c>
      <c r="I6" s="907" t="s">
        <v>184</v>
      </c>
      <c r="J6" s="911" t="s">
        <v>185</v>
      </c>
      <c r="K6" s="913" t="s">
        <v>186</v>
      </c>
      <c r="L6" s="913" t="s">
        <v>187</v>
      </c>
      <c r="M6" s="907" t="s">
        <v>188</v>
      </c>
      <c r="N6" s="913" t="s">
        <v>189</v>
      </c>
      <c r="Q6" s="313" t="str">
        <f>第2号様式!L2</f>
        <v>臨床研修事業</v>
      </c>
    </row>
    <row r="7" spans="2:17" ht="17.25" customHeight="1">
      <c r="B7" s="317" t="s">
        <v>190</v>
      </c>
      <c r="C7" s="908"/>
      <c r="D7" s="318" t="s">
        <v>191</v>
      </c>
      <c r="E7" s="910"/>
      <c r="F7" s="587" t="s">
        <v>192</v>
      </c>
      <c r="G7" s="908"/>
      <c r="H7" s="908"/>
      <c r="I7" s="908"/>
      <c r="J7" s="912"/>
      <c r="K7" s="914"/>
      <c r="L7" s="914"/>
      <c r="M7" s="908"/>
      <c r="N7" s="912"/>
    </row>
    <row r="8" spans="2:17" ht="17.25" customHeight="1">
      <c r="B8" s="319"/>
      <c r="C8" s="908"/>
      <c r="D8" s="318" t="s">
        <v>193</v>
      </c>
      <c r="E8" s="910"/>
      <c r="F8" s="587" t="s">
        <v>194</v>
      </c>
      <c r="G8" s="908"/>
      <c r="H8" s="908"/>
      <c r="I8" s="908"/>
      <c r="J8" s="912"/>
      <c r="K8" s="914"/>
      <c r="L8" s="914"/>
      <c r="M8" s="908"/>
      <c r="N8" s="912"/>
    </row>
    <row r="9" spans="2:17" ht="17.25" customHeight="1">
      <c r="B9" s="320"/>
      <c r="C9" s="321" t="s">
        <v>195</v>
      </c>
      <c r="D9" s="322" t="s">
        <v>196</v>
      </c>
      <c r="E9" s="322" t="s">
        <v>197</v>
      </c>
      <c r="F9" s="321" t="s">
        <v>198</v>
      </c>
      <c r="G9" s="321" t="s">
        <v>199</v>
      </c>
      <c r="H9" s="321" t="s">
        <v>200</v>
      </c>
      <c r="I9" s="321" t="s">
        <v>201</v>
      </c>
      <c r="J9" s="321" t="s">
        <v>202</v>
      </c>
      <c r="K9" s="321" t="s">
        <v>203</v>
      </c>
      <c r="L9" s="321" t="s">
        <v>204</v>
      </c>
      <c r="M9" s="321" t="s">
        <v>205</v>
      </c>
      <c r="N9" s="321" t="s">
        <v>206</v>
      </c>
    </row>
    <row r="10" spans="2:17" ht="16.5" customHeight="1">
      <c r="B10" s="323"/>
      <c r="C10" s="324" t="s">
        <v>207</v>
      </c>
      <c r="D10" s="324" t="s">
        <v>207</v>
      </c>
      <c r="E10" s="325" t="s">
        <v>207</v>
      </c>
      <c r="F10" s="324" t="s">
        <v>207</v>
      </c>
      <c r="G10" s="324" t="s">
        <v>208</v>
      </c>
      <c r="H10" s="324" t="s">
        <v>207</v>
      </c>
      <c r="I10" s="324" t="s">
        <v>209</v>
      </c>
      <c r="J10" s="324" t="s">
        <v>207</v>
      </c>
      <c r="K10" s="324" t="s">
        <v>207</v>
      </c>
      <c r="L10" s="324" t="s">
        <v>207</v>
      </c>
      <c r="M10" s="324" t="s">
        <v>209</v>
      </c>
      <c r="N10" s="324" t="s">
        <v>207</v>
      </c>
    </row>
    <row r="11" spans="2:17" ht="26.25" customHeight="1">
      <c r="B11" s="599" t="str">
        <f>IFERROR(VLOOKUP(第2号様式!$L$2,様式リスト!$B:$CC,O11,0),"")</f>
        <v>教育指導経費</v>
      </c>
      <c r="C11" s="852"/>
      <c r="D11" s="853"/>
      <c r="E11" s="334"/>
      <c r="F11" s="853"/>
      <c r="G11" s="853"/>
      <c r="H11" s="335"/>
      <c r="I11" s="335"/>
      <c r="J11" s="335"/>
      <c r="K11" s="856"/>
      <c r="L11" s="335"/>
      <c r="M11" s="902"/>
      <c r="N11" s="902"/>
      <c r="O11" s="313">
        <v>76</v>
      </c>
    </row>
    <row r="12" spans="2:17" ht="26.25" customHeight="1">
      <c r="B12" s="601" t="str">
        <f>IFERROR(VLOOKUP(第2号様式!$L$2,様式リスト!$B:$CC,O12,0),"")</f>
        <v>地域協議会経費</v>
      </c>
      <c r="C12" s="854"/>
      <c r="D12" s="855"/>
      <c r="E12" s="337"/>
      <c r="F12" s="853"/>
      <c r="G12" s="853"/>
      <c r="H12" s="338"/>
      <c r="I12" s="338"/>
      <c r="J12" s="338"/>
      <c r="K12" s="857"/>
      <c r="L12" s="338"/>
      <c r="M12" s="903"/>
      <c r="N12" s="903"/>
      <c r="O12" s="313">
        <v>77</v>
      </c>
    </row>
    <row r="13" spans="2:17" ht="24" customHeight="1">
      <c r="B13" s="172" t="s">
        <v>210</v>
      </c>
      <c r="C13" s="339" t="str">
        <f>IF(SUM(C11:C12)=0,"",SUM(C11:C12))</f>
        <v/>
      </c>
      <c r="D13" s="339" t="str">
        <f t="shared" ref="D13:I13" si="0">IF(SUM(D11:D12)=0,"",SUM(D11:D12))</f>
        <v/>
      </c>
      <c r="E13" s="339" t="str">
        <f t="shared" si="0"/>
        <v/>
      </c>
      <c r="F13" s="339" t="str">
        <f>IF(SUM(F11:F12)=0,"",SUM(F11:F12))</f>
        <v/>
      </c>
      <c r="G13" s="339" t="str">
        <f>IF(SUM(G11:G12)=0,"",SUM(G11:G12))</f>
        <v/>
      </c>
      <c r="H13" s="339" t="str">
        <f>IF(SUM(H11:H12)=0,"",SUM(H11:H12))</f>
        <v/>
      </c>
      <c r="I13" s="339" t="str">
        <f t="shared" si="0"/>
        <v/>
      </c>
      <c r="J13" s="339" t="str">
        <f>IF(SUM(J11:J12)=0,"",SUM(J11:J12))</f>
        <v/>
      </c>
      <c r="K13" s="339"/>
      <c r="L13" s="339"/>
      <c r="M13" s="339" t="str">
        <f>IF(SUM(M11:M11)=0,"",SUM(M11:M11))</f>
        <v/>
      </c>
      <c r="N13" s="339" t="str">
        <f>IF(SUM(N11:N11)=0,"",SUM(N11:N11))</f>
        <v/>
      </c>
    </row>
    <row r="14" spans="2:17" ht="16.5" customHeight="1">
      <c r="C14" s="602"/>
      <c r="D14" s="602"/>
    </row>
    <row r="15" spans="2:17" ht="23.25" customHeight="1">
      <c r="B15" s="311" t="s">
        <v>211</v>
      </c>
    </row>
    <row r="16" spans="2:17" ht="18" customHeight="1">
      <c r="B16" s="896" t="s">
        <v>212</v>
      </c>
      <c r="C16" s="897"/>
      <c r="D16" s="898"/>
      <c r="E16" s="896" t="s">
        <v>213</v>
      </c>
      <c r="F16" s="898"/>
      <c r="G16" s="896" t="s">
        <v>214</v>
      </c>
      <c r="H16" s="897"/>
      <c r="I16" s="897"/>
      <c r="J16" s="897"/>
      <c r="K16" s="897"/>
      <c r="L16" s="897"/>
      <c r="M16" s="897"/>
      <c r="N16" s="898"/>
    </row>
    <row r="17" spans="2:15" ht="18" customHeight="1">
      <c r="B17" s="904"/>
      <c r="C17" s="905"/>
      <c r="D17" s="906"/>
      <c r="E17" s="327"/>
      <c r="F17" s="328" t="s">
        <v>209</v>
      </c>
      <c r="G17" s="329"/>
      <c r="H17" s="311"/>
      <c r="I17" s="311"/>
      <c r="J17" s="311"/>
      <c r="K17" s="311"/>
      <c r="L17" s="311"/>
      <c r="M17" s="578"/>
      <c r="N17" s="579"/>
    </row>
    <row r="18" spans="2:15" ht="18" customHeight="1">
      <c r="B18" s="899" t="str">
        <f>IFERROR(VLOOKUP(第2号様式!$L$2,様式リスト!$B:$CC,O18,0),"")</f>
        <v>（Ⅰ　教育指導経費）</v>
      </c>
      <c r="C18" s="900"/>
      <c r="D18" s="901"/>
      <c r="E18" s="327"/>
      <c r="F18" s="858"/>
      <c r="G18" s="859"/>
      <c r="H18" s="860"/>
      <c r="I18" s="860"/>
      <c r="J18" s="860"/>
      <c r="K18" s="860"/>
      <c r="L18" s="860"/>
      <c r="M18" s="860"/>
      <c r="N18" s="861"/>
      <c r="O18" s="313">
        <v>4</v>
      </c>
    </row>
    <row r="19" spans="2:15" ht="18" customHeight="1">
      <c r="B19" s="899" t="str">
        <f>IFERROR(VLOOKUP(第2号様式!$L$2,様式リスト!$B:$CC,O19,0),"")</f>
        <v>１　研修管理委員会等経費</v>
      </c>
      <c r="C19" s="900"/>
      <c r="D19" s="901"/>
      <c r="E19" s="327"/>
      <c r="F19" s="858"/>
      <c r="G19" s="859"/>
      <c r="H19" s="860"/>
      <c r="I19" s="860"/>
      <c r="J19" s="860"/>
      <c r="K19" s="860"/>
      <c r="L19" s="860"/>
      <c r="M19" s="860"/>
      <c r="N19" s="861"/>
      <c r="O19" s="313">
        <v>5</v>
      </c>
    </row>
    <row r="20" spans="2:15" ht="18" customHeight="1">
      <c r="B20" s="899" t="str">
        <f>IFERROR(VLOOKUP(第2号様式!$L$2,様式リスト!$B:$CC,O20,0),"")</f>
        <v>諸謝金</v>
      </c>
      <c r="C20" s="900"/>
      <c r="D20" s="901"/>
      <c r="E20" s="327"/>
      <c r="F20" s="858"/>
      <c r="G20" s="862"/>
      <c r="H20" s="860"/>
      <c r="I20" s="860"/>
      <c r="J20" s="860"/>
      <c r="K20" s="860"/>
      <c r="L20" s="860"/>
      <c r="M20" s="860"/>
      <c r="N20" s="861"/>
      <c r="O20" s="313">
        <v>6</v>
      </c>
    </row>
    <row r="21" spans="2:15" ht="18" customHeight="1">
      <c r="B21" s="899" t="str">
        <f>IFERROR(VLOOKUP(第2号様式!$L$2,様式リスト!$B:$CC,O21,0),"")</f>
        <v>旅費</v>
      </c>
      <c r="C21" s="900"/>
      <c r="D21" s="901"/>
      <c r="E21" s="327"/>
      <c r="F21" s="858"/>
      <c r="G21" s="862"/>
      <c r="H21" s="860"/>
      <c r="I21" s="860"/>
      <c r="J21" s="860"/>
      <c r="K21" s="860"/>
      <c r="L21" s="860"/>
      <c r="M21" s="860"/>
      <c r="N21" s="861"/>
      <c r="O21" s="313">
        <v>7</v>
      </c>
    </row>
    <row r="22" spans="2:15" ht="18" customHeight="1">
      <c r="B22" s="899" t="str">
        <f>IFERROR(VLOOKUP(第2号様式!$L$2,様式リスト!$B:$CC,O22,0),"")</f>
        <v>消耗品費</v>
      </c>
      <c r="C22" s="900"/>
      <c r="D22" s="901"/>
      <c r="E22" s="327"/>
      <c r="F22" s="858"/>
      <c r="G22" s="862"/>
      <c r="H22" s="860"/>
      <c r="I22" s="860"/>
      <c r="J22" s="860"/>
      <c r="K22" s="860"/>
      <c r="L22" s="860"/>
      <c r="M22" s="860"/>
      <c r="N22" s="861"/>
      <c r="O22" s="313">
        <v>8</v>
      </c>
    </row>
    <row r="23" spans="2:15" ht="18" customHeight="1">
      <c r="B23" s="899" t="str">
        <f>IFERROR(VLOOKUP(第2号様式!$L$2,様式リスト!$B:$CC,O23,0),"")</f>
        <v>印刷製本費</v>
      </c>
      <c r="C23" s="900"/>
      <c r="D23" s="901"/>
      <c r="E23" s="327"/>
      <c r="F23" s="858"/>
      <c r="G23" s="862"/>
      <c r="H23" s="860"/>
      <c r="I23" s="860"/>
      <c r="J23" s="860"/>
      <c r="K23" s="860"/>
      <c r="L23" s="860"/>
      <c r="M23" s="860"/>
      <c r="N23" s="861"/>
      <c r="O23" s="313">
        <v>9</v>
      </c>
    </row>
    <row r="24" spans="2:15" ht="18" customHeight="1">
      <c r="B24" s="899" t="str">
        <f>IFERROR(VLOOKUP(第2号様式!$L$2,様式リスト!$B:$CC,O24,0),"")</f>
        <v>通信運搬費</v>
      </c>
      <c r="C24" s="900"/>
      <c r="D24" s="901"/>
      <c r="E24" s="327"/>
      <c r="F24" s="858"/>
      <c r="G24" s="862"/>
      <c r="H24" s="860"/>
      <c r="I24" s="860"/>
      <c r="J24" s="860"/>
      <c r="K24" s="860"/>
      <c r="L24" s="860"/>
      <c r="M24" s="860"/>
      <c r="N24" s="861"/>
      <c r="O24" s="313">
        <v>10</v>
      </c>
    </row>
    <row r="25" spans="2:15" ht="18" customHeight="1">
      <c r="B25" s="899" t="str">
        <f>IFERROR(VLOOKUP(第2号様式!$L$2,様式リスト!$B:$CC,O25,0),"")</f>
        <v>会議費</v>
      </c>
      <c r="C25" s="900"/>
      <c r="D25" s="901"/>
      <c r="E25" s="327"/>
      <c r="F25" s="858"/>
      <c r="G25" s="862"/>
      <c r="H25" s="860"/>
      <c r="I25" s="860"/>
      <c r="J25" s="860"/>
      <c r="K25" s="860"/>
      <c r="L25" s="860"/>
      <c r="M25" s="860"/>
      <c r="N25" s="861"/>
      <c r="O25" s="313">
        <v>11</v>
      </c>
    </row>
    <row r="26" spans="2:15" ht="18" customHeight="1">
      <c r="B26" s="899" t="str">
        <f>IFERROR(VLOOKUP(第2号様式!$L$2,様式リスト!$B:$CC,O26,0),"")</f>
        <v xml:space="preserve"> </v>
      </c>
      <c r="C26" s="900"/>
      <c r="D26" s="901"/>
      <c r="E26" s="327"/>
      <c r="F26" s="858"/>
      <c r="G26" s="862"/>
      <c r="H26" s="860"/>
      <c r="I26" s="860"/>
      <c r="J26" s="860"/>
      <c r="K26" s="860"/>
      <c r="L26" s="860"/>
      <c r="M26" s="860"/>
      <c r="N26" s="861"/>
      <c r="O26" s="313">
        <v>12</v>
      </c>
    </row>
    <row r="27" spans="2:15" ht="18" customHeight="1">
      <c r="B27" s="899" t="str">
        <f>IFERROR(VLOOKUP(第2号様式!$L$2,様式リスト!$B:$CC,O27,0),"")</f>
        <v>２　プログラム責任者人件費（プログラム管理に係るもの）</v>
      </c>
      <c r="C27" s="900"/>
      <c r="D27" s="901"/>
      <c r="E27" s="327"/>
      <c r="F27" s="858"/>
      <c r="G27" s="862"/>
      <c r="H27" s="860"/>
      <c r="I27" s="860"/>
      <c r="J27" s="860"/>
      <c r="K27" s="860"/>
      <c r="L27" s="860"/>
      <c r="M27" s="860"/>
      <c r="N27" s="861"/>
      <c r="O27" s="313">
        <v>13</v>
      </c>
    </row>
    <row r="28" spans="2:15" ht="18" customHeight="1">
      <c r="B28" s="899" t="str">
        <f>IFERROR(VLOOKUP(第2号様式!$L$2,様式リスト!$B:$CC,O28,0),"")</f>
        <v>職員基本給</v>
      </c>
      <c r="C28" s="900"/>
      <c r="D28" s="901"/>
      <c r="E28" s="327"/>
      <c r="F28" s="858"/>
      <c r="G28" s="862"/>
      <c r="H28" s="860"/>
      <c r="I28" s="860"/>
      <c r="J28" s="860"/>
      <c r="K28" s="860"/>
      <c r="L28" s="860"/>
      <c r="M28" s="860"/>
      <c r="N28" s="861"/>
      <c r="O28" s="313">
        <v>14</v>
      </c>
    </row>
    <row r="29" spans="2:15" ht="18" customHeight="1">
      <c r="B29" s="899" t="str">
        <f>IFERROR(VLOOKUP(第2号様式!$L$2,様式リスト!$B:$CC,O29,0),"")</f>
        <v>職員諸手当</v>
      </c>
      <c r="C29" s="900"/>
      <c r="D29" s="901"/>
      <c r="E29" s="327"/>
      <c r="F29" s="858"/>
      <c r="G29" s="862"/>
      <c r="H29" s="860"/>
      <c r="I29" s="860"/>
      <c r="J29" s="860"/>
      <c r="K29" s="860"/>
      <c r="L29" s="860"/>
      <c r="M29" s="860"/>
      <c r="N29" s="861"/>
      <c r="O29" s="313">
        <v>15</v>
      </c>
    </row>
    <row r="30" spans="2:15" ht="18" customHeight="1">
      <c r="B30" s="899" t="str">
        <f>IFERROR(VLOOKUP(第2号様式!$L$2,様式リスト!$B:$CC,O30,0),"")</f>
        <v>　</v>
      </c>
      <c r="C30" s="900"/>
      <c r="D30" s="901"/>
      <c r="E30" s="327"/>
      <c r="F30" s="858"/>
      <c r="G30" s="862"/>
      <c r="H30" s="860"/>
      <c r="I30" s="860"/>
      <c r="J30" s="860"/>
      <c r="K30" s="860"/>
      <c r="L30" s="860"/>
      <c r="M30" s="860"/>
      <c r="N30" s="861"/>
      <c r="O30" s="313">
        <v>16</v>
      </c>
    </row>
    <row r="31" spans="2:15" ht="18" customHeight="1">
      <c r="B31" s="899" t="str">
        <f>IFERROR(VLOOKUP(第2号様式!$L$2,様式リスト!$B:$CC,O31,0),"")</f>
        <v>３　指導医及びプログラム責任者の補助者雇上経費</v>
      </c>
      <c r="C31" s="900"/>
      <c r="D31" s="901"/>
      <c r="E31" s="327"/>
      <c r="F31" s="858"/>
      <c r="G31" s="862"/>
      <c r="H31" s="860"/>
      <c r="I31" s="860"/>
      <c r="J31" s="860"/>
      <c r="K31" s="860"/>
      <c r="L31" s="860"/>
      <c r="M31" s="860"/>
      <c r="N31" s="861"/>
      <c r="O31" s="313">
        <v>17</v>
      </c>
    </row>
    <row r="32" spans="2:15" ht="18" customHeight="1">
      <c r="B32" s="899" t="str">
        <f>IFERROR(VLOOKUP(第2号様式!$L$2,様式リスト!$B:$CC,O32,0),"")</f>
        <v>職員諸手当（非常勤）</v>
      </c>
      <c r="C32" s="900"/>
      <c r="D32" s="901"/>
      <c r="E32" s="327"/>
      <c r="F32" s="858"/>
      <c r="G32" s="862"/>
      <c r="H32" s="860"/>
      <c r="I32" s="860"/>
      <c r="J32" s="860"/>
      <c r="K32" s="860"/>
      <c r="L32" s="860"/>
      <c r="M32" s="860"/>
      <c r="N32" s="861"/>
      <c r="O32" s="313">
        <v>18</v>
      </c>
    </row>
    <row r="33" spans="2:15" ht="18" customHeight="1">
      <c r="B33" s="899" t="str">
        <f>IFERROR(VLOOKUP(第2号様式!$L$2,様式リスト!$B:$CC,O33,0),"")</f>
        <v>非常勤職員手当</v>
      </c>
      <c r="C33" s="900"/>
      <c r="D33" s="901"/>
      <c r="E33" s="327"/>
      <c r="F33" s="858"/>
      <c r="G33" s="862"/>
      <c r="H33" s="860"/>
      <c r="I33" s="860"/>
      <c r="J33" s="860"/>
      <c r="K33" s="860"/>
      <c r="L33" s="860"/>
      <c r="M33" s="860"/>
      <c r="N33" s="861"/>
      <c r="O33" s="313">
        <v>19</v>
      </c>
    </row>
    <row r="34" spans="2:15" ht="18" customHeight="1">
      <c r="B34" s="899" t="str">
        <f>IFERROR(VLOOKUP(第2号様式!$L$2,様式リスト!$B:$CC,O34,0),"")</f>
        <v>　</v>
      </c>
      <c r="C34" s="900"/>
      <c r="D34" s="901"/>
      <c r="E34" s="327"/>
      <c r="F34" s="858"/>
      <c r="G34" s="862"/>
      <c r="H34" s="860"/>
      <c r="I34" s="860"/>
      <c r="J34" s="860"/>
      <c r="K34" s="860"/>
      <c r="L34" s="860"/>
      <c r="M34" s="860"/>
      <c r="N34" s="861"/>
      <c r="O34" s="313">
        <v>20</v>
      </c>
    </row>
    <row r="35" spans="2:15" ht="18" customHeight="1">
      <c r="B35" s="899" t="str">
        <f>IFERROR(VLOOKUP(第2号様式!$L$2,様式リスト!$B:$CC,O35,0),"")</f>
        <v>４　通信運搬費</v>
      </c>
      <c r="C35" s="900"/>
      <c r="D35" s="901"/>
      <c r="E35" s="327"/>
      <c r="F35" s="858"/>
      <c r="G35" s="862"/>
      <c r="H35" s="860"/>
      <c r="I35" s="860"/>
      <c r="J35" s="860"/>
      <c r="K35" s="860"/>
      <c r="L35" s="860"/>
      <c r="M35" s="860"/>
      <c r="N35" s="861"/>
      <c r="O35" s="313">
        <v>21</v>
      </c>
    </row>
    <row r="36" spans="2:15" ht="18" customHeight="1">
      <c r="B36" s="899" t="str">
        <f>IFERROR(VLOOKUP(第2号様式!$L$2,様式リスト!$B:$CC,O36,0),"")</f>
        <v>　</v>
      </c>
      <c r="C36" s="900"/>
      <c r="D36" s="901"/>
      <c r="E36" s="327"/>
      <c r="F36" s="858"/>
      <c r="G36" s="862"/>
      <c r="H36" s="860"/>
      <c r="I36" s="860"/>
      <c r="J36" s="860"/>
      <c r="K36" s="860"/>
      <c r="L36" s="860"/>
      <c r="M36" s="860"/>
      <c r="N36" s="861"/>
      <c r="O36" s="313">
        <v>22</v>
      </c>
    </row>
    <row r="37" spans="2:15" ht="18" customHeight="1">
      <c r="B37" s="899" t="str">
        <f>IFERROR(VLOOKUP(第2号様式!$L$2,様式リスト!$B:$CC,O37,0),"")</f>
        <v>５　指導医、プログラム責任者（研修医指導分）にかかる経費</v>
      </c>
      <c r="C37" s="900"/>
      <c r="D37" s="901"/>
      <c r="E37" s="327"/>
      <c r="F37" s="858"/>
      <c r="G37" s="862"/>
      <c r="H37" s="860"/>
      <c r="I37" s="860"/>
      <c r="J37" s="860"/>
      <c r="K37" s="860"/>
      <c r="L37" s="860"/>
      <c r="M37" s="860"/>
      <c r="N37" s="861"/>
      <c r="O37" s="313">
        <v>23</v>
      </c>
    </row>
    <row r="38" spans="2:15" ht="18" customHeight="1">
      <c r="B38" s="899" t="str">
        <f>IFERROR(VLOOKUP(第2号様式!$L$2,様式リスト!$B:$CC,O38,0),"")</f>
        <v>職員基本給</v>
      </c>
      <c r="C38" s="900"/>
      <c r="D38" s="901"/>
      <c r="E38" s="327"/>
      <c r="F38" s="858"/>
      <c r="G38" s="862"/>
      <c r="H38" s="860"/>
      <c r="I38" s="860"/>
      <c r="J38" s="860"/>
      <c r="K38" s="860"/>
      <c r="L38" s="860"/>
      <c r="M38" s="860"/>
      <c r="N38" s="861"/>
      <c r="O38" s="313">
        <v>24</v>
      </c>
    </row>
    <row r="39" spans="2:15" ht="18" customHeight="1">
      <c r="B39" s="899" t="str">
        <f>IFERROR(VLOOKUP(第2号様式!$L$2,様式リスト!$B:$CC,O39,0),"")</f>
        <v>職員諸手当</v>
      </c>
      <c r="C39" s="900"/>
      <c r="D39" s="901"/>
      <c r="E39" s="327"/>
      <c r="F39" s="858"/>
      <c r="G39" s="862"/>
      <c r="H39" s="860"/>
      <c r="I39" s="860"/>
      <c r="J39" s="860"/>
      <c r="K39" s="860"/>
      <c r="L39" s="860"/>
      <c r="M39" s="860"/>
      <c r="N39" s="861"/>
      <c r="O39" s="313">
        <v>25</v>
      </c>
    </row>
    <row r="40" spans="2:15" ht="18" customHeight="1">
      <c r="B40" s="899" t="str">
        <f>IFERROR(VLOOKUP(第2号様式!$L$2,様式リスト!$B:$CC,O40,0),"")</f>
        <v>非常勤職員手当</v>
      </c>
      <c r="C40" s="900"/>
      <c r="D40" s="901"/>
      <c r="E40" s="327"/>
      <c r="F40" s="858"/>
      <c r="G40" s="862"/>
      <c r="H40" s="860"/>
      <c r="I40" s="860"/>
      <c r="J40" s="860"/>
      <c r="K40" s="860"/>
      <c r="L40" s="860"/>
      <c r="M40" s="860"/>
      <c r="N40" s="861"/>
      <c r="O40" s="313">
        <v>26</v>
      </c>
    </row>
    <row r="41" spans="2:15" ht="18" customHeight="1">
      <c r="B41" s="899" t="str">
        <f>IFERROR(VLOOKUP(第2号様式!$L$2,様式リスト!$B:$CC,O41,0),"")</f>
        <v>諸謝金</v>
      </c>
      <c r="C41" s="900"/>
      <c r="D41" s="901"/>
      <c r="E41" s="327"/>
      <c r="F41" s="858"/>
      <c r="G41" s="862"/>
      <c r="H41" s="860"/>
      <c r="I41" s="860"/>
      <c r="J41" s="860"/>
      <c r="K41" s="860"/>
      <c r="L41" s="860"/>
      <c r="M41" s="860"/>
      <c r="N41" s="861"/>
      <c r="O41" s="313">
        <v>27</v>
      </c>
    </row>
    <row r="42" spans="2:15" ht="18" customHeight="1">
      <c r="B42" s="899" t="str">
        <f>IFERROR(VLOOKUP(第2号様式!$L$2,様式リスト!$B:$CC,O42,0),"")</f>
        <v>　</v>
      </c>
      <c r="C42" s="900"/>
      <c r="D42" s="901"/>
      <c r="E42" s="327"/>
      <c r="F42" s="858"/>
      <c r="G42" s="862"/>
      <c r="H42" s="860"/>
      <c r="I42" s="860"/>
      <c r="J42" s="860"/>
      <c r="K42" s="860"/>
      <c r="L42" s="860"/>
      <c r="M42" s="860"/>
      <c r="N42" s="861"/>
      <c r="O42" s="313">
        <v>28</v>
      </c>
    </row>
    <row r="43" spans="2:15" ht="18" customHeight="1">
      <c r="B43" s="899" t="str">
        <f>IFERROR(VLOOKUP(第2号様式!$L$2,様式リスト!$B:$CC,O43,0),"")</f>
        <v>６　情報収集及び学会等出席経費</v>
      </c>
      <c r="C43" s="900"/>
      <c r="D43" s="901"/>
      <c r="E43" s="327"/>
      <c r="F43" s="858"/>
      <c r="G43" s="862"/>
      <c r="H43" s="860"/>
      <c r="I43" s="860"/>
      <c r="J43" s="860"/>
      <c r="K43" s="860"/>
      <c r="L43" s="860"/>
      <c r="M43" s="860"/>
      <c r="N43" s="861"/>
      <c r="O43" s="313">
        <v>29</v>
      </c>
    </row>
    <row r="44" spans="2:15" ht="18" customHeight="1">
      <c r="B44" s="899" t="str">
        <f>IFERROR(VLOOKUP(第2号様式!$L$2,様式リスト!$B:$CC,O44,0),"")</f>
        <v>旅費</v>
      </c>
      <c r="C44" s="900"/>
      <c r="D44" s="901"/>
      <c r="E44" s="327"/>
      <c r="F44" s="858"/>
      <c r="G44" s="862"/>
      <c r="H44" s="860"/>
      <c r="I44" s="860"/>
      <c r="J44" s="860"/>
      <c r="K44" s="860"/>
      <c r="L44" s="860"/>
      <c r="M44" s="860"/>
      <c r="N44" s="861"/>
      <c r="O44" s="313">
        <v>30</v>
      </c>
    </row>
    <row r="45" spans="2:15" ht="18" customHeight="1">
      <c r="B45" s="899" t="str">
        <f>IFERROR(VLOOKUP(第2号様式!$L$2,様式リスト!$B:$CC,O45,0),"")</f>
        <v>備品費（図書）</v>
      </c>
      <c r="C45" s="900"/>
      <c r="D45" s="901"/>
      <c r="E45" s="327"/>
      <c r="F45" s="858"/>
      <c r="G45" s="862"/>
      <c r="H45" s="860"/>
      <c r="I45" s="860"/>
      <c r="J45" s="860"/>
      <c r="K45" s="860"/>
      <c r="L45" s="860"/>
      <c r="M45" s="860"/>
      <c r="N45" s="861"/>
      <c r="O45" s="313">
        <v>31</v>
      </c>
    </row>
    <row r="46" spans="2:15" ht="18" customHeight="1">
      <c r="B46" s="899" t="str">
        <f>IFERROR(VLOOKUP(第2号様式!$L$2,様式リスト!$B:$CC,O46,0),"")</f>
        <v>消耗品（教材等材料費を含む）</v>
      </c>
      <c r="C46" s="900"/>
      <c r="D46" s="901"/>
      <c r="E46" s="327"/>
      <c r="F46" s="858"/>
      <c r="G46" s="862"/>
      <c r="H46" s="860"/>
      <c r="I46" s="860"/>
      <c r="J46" s="860"/>
      <c r="K46" s="860"/>
      <c r="L46" s="860"/>
      <c r="M46" s="860"/>
      <c r="N46" s="861"/>
      <c r="O46" s="313">
        <v>32</v>
      </c>
    </row>
    <row r="47" spans="2:15" ht="18" customHeight="1">
      <c r="B47" s="899" t="str">
        <f>IFERROR(VLOOKUP(第2号様式!$L$2,様式リスト!$B:$CC,O47,0),"")</f>
        <v>　</v>
      </c>
      <c r="C47" s="900"/>
      <c r="D47" s="901"/>
      <c r="E47" s="327"/>
      <c r="F47" s="858"/>
      <c r="G47" s="862"/>
      <c r="H47" s="860"/>
      <c r="I47" s="860"/>
      <c r="J47" s="860"/>
      <c r="K47" s="860"/>
      <c r="L47" s="860"/>
      <c r="M47" s="860"/>
      <c r="N47" s="861"/>
      <c r="O47" s="313">
        <v>33</v>
      </c>
    </row>
    <row r="48" spans="2:15" ht="18" customHeight="1">
      <c r="B48" s="899" t="str">
        <f>IFERROR(VLOOKUP(第2号様式!$L$2,様式リスト!$B:$CC,O48,0),"")</f>
        <v>７　剖検経費</v>
      </c>
      <c r="C48" s="900"/>
      <c r="D48" s="901"/>
      <c r="E48" s="327"/>
      <c r="F48" s="858"/>
      <c r="G48" s="862"/>
      <c r="H48" s="860"/>
      <c r="I48" s="860"/>
      <c r="J48" s="860"/>
      <c r="K48" s="860"/>
      <c r="L48" s="860"/>
      <c r="M48" s="860"/>
      <c r="N48" s="861"/>
      <c r="O48" s="313">
        <v>34</v>
      </c>
    </row>
    <row r="49" spans="2:15" ht="18" customHeight="1">
      <c r="B49" s="899" t="str">
        <f>IFERROR(VLOOKUP(第2号様式!$L$2,様式リスト!$B:$CC,O49,0),"")</f>
        <v>諸謝金（臨床研修病院のみ）</v>
      </c>
      <c r="C49" s="900"/>
      <c r="D49" s="901"/>
      <c r="E49" s="327"/>
      <c r="F49" s="858"/>
      <c r="G49" s="862"/>
      <c r="H49" s="860"/>
      <c r="I49" s="860"/>
      <c r="J49" s="860"/>
      <c r="K49" s="860"/>
      <c r="L49" s="860"/>
      <c r="M49" s="860"/>
      <c r="N49" s="861"/>
      <c r="O49" s="313">
        <v>35</v>
      </c>
    </row>
    <row r="50" spans="2:15" ht="18" customHeight="1">
      <c r="B50" s="899" t="str">
        <f>IFERROR(VLOOKUP(第2号様式!$L$2,様式リスト!$B:$CC,O50,0),"")</f>
        <v>旅費（臨床研修病院のみ）</v>
      </c>
      <c r="C50" s="900"/>
      <c r="D50" s="901"/>
      <c r="E50" s="327"/>
      <c r="F50" s="858"/>
      <c r="G50" s="862"/>
      <c r="H50" s="860"/>
      <c r="I50" s="860"/>
      <c r="J50" s="860"/>
      <c r="K50" s="860"/>
      <c r="L50" s="860"/>
      <c r="M50" s="860"/>
      <c r="N50" s="861"/>
      <c r="O50" s="313">
        <v>36</v>
      </c>
    </row>
    <row r="51" spans="2:15" ht="18" customHeight="1">
      <c r="B51" s="899" t="str">
        <f>IFERROR(VLOOKUP(第2号様式!$L$2,様式リスト!$B:$CC,O51,0),"")</f>
        <v>消耗品費</v>
      </c>
      <c r="C51" s="900"/>
      <c r="D51" s="901"/>
      <c r="E51" s="327"/>
      <c r="F51" s="858"/>
      <c r="G51" s="862"/>
      <c r="H51" s="860"/>
      <c r="I51" s="860"/>
      <c r="J51" s="860"/>
      <c r="K51" s="860"/>
      <c r="L51" s="860"/>
      <c r="M51" s="860"/>
      <c r="N51" s="861"/>
      <c r="O51" s="313">
        <v>37</v>
      </c>
    </row>
    <row r="52" spans="2:15" ht="18" customHeight="1">
      <c r="B52" s="899" t="str">
        <f>IFERROR(VLOOKUP(第2号様式!$L$2,様式リスト!$B:$CC,O52,0),"")</f>
        <v>　</v>
      </c>
      <c r="C52" s="900"/>
      <c r="D52" s="901"/>
      <c r="E52" s="327"/>
      <c r="F52" s="858"/>
      <c r="G52" s="862"/>
      <c r="H52" s="860"/>
      <c r="I52" s="860"/>
      <c r="J52" s="860"/>
      <c r="K52" s="860"/>
      <c r="L52" s="860"/>
      <c r="M52" s="860"/>
      <c r="N52" s="861"/>
      <c r="O52" s="313">
        <v>38</v>
      </c>
    </row>
    <row r="53" spans="2:15" ht="18" customHeight="1">
      <c r="B53" s="899" t="str">
        <f>IFERROR(VLOOKUP(第2号様式!$L$2,様式リスト!$B:$CC,O53,0),"")</f>
        <v>８へき地診療所等の研修経費</v>
      </c>
      <c r="C53" s="900"/>
      <c r="D53" s="901"/>
      <c r="E53" s="327"/>
      <c r="F53" s="858"/>
      <c r="G53" s="862"/>
      <c r="H53" s="860"/>
      <c r="I53" s="860"/>
      <c r="J53" s="860"/>
      <c r="K53" s="860"/>
      <c r="L53" s="860"/>
      <c r="M53" s="860"/>
      <c r="N53" s="861"/>
      <c r="O53" s="313">
        <v>39</v>
      </c>
    </row>
    <row r="54" spans="2:15" ht="18" customHeight="1">
      <c r="B54" s="899" t="str">
        <f>IFERROR(VLOOKUP(第2号様式!$L$2,様式リスト!$B:$CC,O54,0),"")</f>
        <v>旅費</v>
      </c>
      <c r="C54" s="900"/>
      <c r="D54" s="901"/>
      <c r="E54" s="327"/>
      <c r="F54" s="858"/>
      <c r="G54" s="862"/>
      <c r="H54" s="860"/>
      <c r="I54" s="860"/>
      <c r="J54" s="860"/>
      <c r="K54" s="860"/>
      <c r="L54" s="860"/>
      <c r="M54" s="860"/>
      <c r="N54" s="861"/>
      <c r="O54" s="313">
        <v>40</v>
      </c>
    </row>
    <row r="55" spans="2:15" ht="18" customHeight="1">
      <c r="B55" s="899" t="str">
        <f>IFERROR(VLOOKUP(第2号様式!$L$2,様式リスト!$B:$CC,O55,0),"")</f>
        <v>　</v>
      </c>
      <c r="C55" s="900"/>
      <c r="D55" s="901"/>
      <c r="E55" s="327"/>
      <c r="F55" s="858"/>
      <c r="G55" s="862"/>
      <c r="H55" s="860"/>
      <c r="I55" s="860"/>
      <c r="J55" s="860"/>
      <c r="K55" s="860"/>
      <c r="L55" s="860"/>
      <c r="M55" s="860"/>
      <c r="N55" s="861"/>
      <c r="O55" s="313">
        <v>41</v>
      </c>
    </row>
    <row r="56" spans="2:15" ht="18" customHeight="1">
      <c r="B56" s="899" t="str">
        <f>IFERROR(VLOOKUP(第2号様式!$L$2,様式リスト!$B:$CC,O56,0),"")</f>
        <v>９　産婦人科宿日直研修事業費、小児科宿日直研修事業費</v>
      </c>
      <c r="C56" s="900"/>
      <c r="D56" s="901"/>
      <c r="E56" s="327"/>
      <c r="F56" s="858"/>
      <c r="G56" s="862"/>
      <c r="H56" s="860"/>
      <c r="I56" s="860"/>
      <c r="J56" s="860"/>
      <c r="K56" s="860"/>
      <c r="L56" s="860"/>
      <c r="M56" s="860"/>
      <c r="N56" s="861"/>
      <c r="O56" s="313">
        <v>42</v>
      </c>
    </row>
    <row r="57" spans="2:15" ht="18" customHeight="1">
      <c r="B57" s="899" t="str">
        <f>IFERROR(VLOOKUP(第2号様式!$L$2,様式リスト!$B:$CC,O57,0),"")</f>
        <v>宿日直手当</v>
      </c>
      <c r="C57" s="900"/>
      <c r="D57" s="901"/>
      <c r="E57" s="327"/>
      <c r="F57" s="858"/>
      <c r="G57" s="862"/>
      <c r="H57" s="860"/>
      <c r="I57" s="860"/>
      <c r="J57" s="860"/>
      <c r="K57" s="860"/>
      <c r="L57" s="860"/>
      <c r="M57" s="860"/>
      <c r="N57" s="861"/>
      <c r="O57" s="313">
        <v>43</v>
      </c>
    </row>
    <row r="58" spans="2:15" ht="18" customHeight="1">
      <c r="B58" s="899" t="str">
        <f>IFERROR(VLOOKUP(第2号様式!$L$2,様式リスト!$B:$CC,O58,0),"")</f>
        <v>（１）産婦人科</v>
      </c>
      <c r="C58" s="900"/>
      <c r="D58" s="901"/>
      <c r="E58" s="327"/>
      <c r="F58" s="858"/>
      <c r="G58" s="862"/>
      <c r="H58" s="860"/>
      <c r="I58" s="860"/>
      <c r="J58" s="860"/>
      <c r="K58" s="860"/>
      <c r="L58" s="860"/>
      <c r="M58" s="860"/>
      <c r="N58" s="861"/>
      <c r="O58" s="313">
        <v>44</v>
      </c>
    </row>
    <row r="59" spans="2:15" ht="18" customHeight="1">
      <c r="B59" s="899" t="str">
        <f>IFERROR(VLOOKUP(第2号様式!$L$2,様式リスト!$B:$CC,O59,0),"")</f>
        <v>（２）小児科</v>
      </c>
      <c r="C59" s="900"/>
      <c r="D59" s="901"/>
      <c r="E59" s="327"/>
      <c r="F59" s="858"/>
      <c r="G59" s="862"/>
      <c r="H59" s="860"/>
      <c r="I59" s="860"/>
      <c r="J59" s="860"/>
      <c r="K59" s="860"/>
      <c r="L59" s="860"/>
      <c r="M59" s="860"/>
      <c r="N59" s="861"/>
      <c r="O59" s="313">
        <v>45</v>
      </c>
    </row>
    <row r="60" spans="2:15" ht="18" customHeight="1">
      <c r="B60" s="899" t="str">
        <f>IFERROR(VLOOKUP(第2号様式!$L$2,様式リスト!$B:$CC,O60,0),"")</f>
        <v>【オンコール手当】</v>
      </c>
      <c r="C60" s="900"/>
      <c r="D60" s="901"/>
      <c r="E60" s="327"/>
      <c r="F60" s="858"/>
      <c r="G60" s="862"/>
      <c r="H60" s="860"/>
      <c r="I60" s="860"/>
      <c r="J60" s="860"/>
      <c r="K60" s="860"/>
      <c r="L60" s="860"/>
      <c r="M60" s="860"/>
      <c r="N60" s="861"/>
      <c r="O60" s="313">
        <v>46</v>
      </c>
    </row>
    <row r="61" spans="2:15" ht="18" customHeight="1">
      <c r="B61" s="899" t="str">
        <f>IFERROR(VLOOKUP(第2号様式!$L$2,様式リスト!$B:$CC,O61,0),"")</f>
        <v>　</v>
      </c>
      <c r="C61" s="900"/>
      <c r="D61" s="901"/>
      <c r="E61" s="327"/>
      <c r="F61" s="858"/>
      <c r="G61" s="862"/>
      <c r="H61" s="860"/>
      <c r="I61" s="860"/>
      <c r="J61" s="860"/>
      <c r="K61" s="860"/>
      <c r="L61" s="860"/>
      <c r="M61" s="860"/>
      <c r="N61" s="861"/>
      <c r="O61" s="313">
        <v>47</v>
      </c>
    </row>
    <row r="62" spans="2:15" ht="18" customHeight="1">
      <c r="B62" s="899" t="str">
        <f>IFERROR(VLOOKUP(第2号様式!$L$2,様式リスト!$B:$CC,O62,0),"")</f>
        <v>　</v>
      </c>
      <c r="C62" s="900"/>
      <c r="D62" s="901"/>
      <c r="E62" s="327"/>
      <c r="F62" s="858"/>
      <c r="G62" s="862"/>
      <c r="H62" s="860"/>
      <c r="I62" s="860"/>
      <c r="J62" s="860"/>
      <c r="K62" s="860"/>
      <c r="L62" s="860"/>
      <c r="M62" s="860"/>
      <c r="N62" s="861"/>
      <c r="O62" s="313">
        <v>48</v>
      </c>
    </row>
    <row r="63" spans="2:15" ht="18" customHeight="1">
      <c r="B63" s="899" t="str">
        <f>IFERROR(VLOOKUP(第2号様式!$L$2,様式リスト!$B:$CC,O63,0),"")</f>
        <v>（Ⅱ　協議会開催経費）</v>
      </c>
      <c r="C63" s="900"/>
      <c r="D63" s="901"/>
      <c r="E63" s="327"/>
      <c r="F63" s="858"/>
      <c r="G63" s="862"/>
      <c r="H63" s="860"/>
      <c r="I63" s="860"/>
      <c r="J63" s="860"/>
      <c r="K63" s="860"/>
      <c r="L63" s="860"/>
      <c r="M63" s="860"/>
      <c r="N63" s="861"/>
      <c r="O63" s="313">
        <v>49</v>
      </c>
    </row>
    <row r="64" spans="2:15" ht="18" customHeight="1">
      <c r="B64" s="899" t="str">
        <f>IFERROR(VLOOKUP(第2号様式!$L$2,様式リスト!$B:$CC,O64,0),"")</f>
        <v>職員諸手当（非常勤）</v>
      </c>
      <c r="C64" s="900"/>
      <c r="D64" s="901"/>
      <c r="E64" s="327"/>
      <c r="F64" s="858"/>
      <c r="G64" s="862"/>
      <c r="H64" s="860"/>
      <c r="I64" s="860"/>
      <c r="J64" s="860"/>
      <c r="K64" s="860"/>
      <c r="L64" s="860"/>
      <c r="M64" s="860"/>
      <c r="N64" s="861"/>
      <c r="O64" s="313">
        <v>50</v>
      </c>
    </row>
    <row r="65" spans="2:15" ht="18" customHeight="1">
      <c r="B65" s="899" t="str">
        <f>IFERROR(VLOOKUP(第2号様式!$L$2,様式リスト!$B:$CC,O65,0),"")</f>
        <v>非常勤職員手当</v>
      </c>
      <c r="C65" s="900"/>
      <c r="D65" s="901"/>
      <c r="E65" s="327"/>
      <c r="F65" s="858"/>
      <c r="G65" s="862"/>
      <c r="H65" s="860"/>
      <c r="I65" s="860"/>
      <c r="J65" s="860"/>
      <c r="K65" s="860"/>
      <c r="L65" s="860"/>
      <c r="M65" s="860"/>
      <c r="N65" s="861"/>
      <c r="O65" s="313">
        <v>51</v>
      </c>
    </row>
    <row r="66" spans="2:15" ht="18" customHeight="1">
      <c r="B66" s="899" t="str">
        <f>IFERROR(VLOOKUP(第2号様式!$L$2,様式リスト!$B:$CC,O66,0),"")</f>
        <v>（事務補助者雇上経費）</v>
      </c>
      <c r="C66" s="900"/>
      <c r="D66" s="901"/>
      <c r="E66" s="327"/>
      <c r="F66" s="858"/>
      <c r="G66" s="862"/>
      <c r="H66" s="860"/>
      <c r="I66" s="860"/>
      <c r="J66" s="860"/>
      <c r="K66" s="860"/>
      <c r="L66" s="860"/>
      <c r="M66" s="860"/>
      <c r="N66" s="861"/>
      <c r="O66" s="313">
        <v>52</v>
      </c>
    </row>
    <row r="67" spans="2:15" ht="18" customHeight="1">
      <c r="B67" s="899" t="str">
        <f>IFERROR(VLOOKUP(第2号様式!$L$2,様式リスト!$B:$CC,O67,0),"")</f>
        <v>諸謝金</v>
      </c>
      <c r="C67" s="900"/>
      <c r="D67" s="901"/>
      <c r="E67" s="327"/>
      <c r="F67" s="858"/>
      <c r="G67" s="862"/>
      <c r="H67" s="860"/>
      <c r="I67" s="860"/>
      <c r="J67" s="860"/>
      <c r="K67" s="860"/>
      <c r="L67" s="860"/>
      <c r="M67" s="860"/>
      <c r="N67" s="861"/>
      <c r="O67" s="313">
        <v>53</v>
      </c>
    </row>
    <row r="68" spans="2:15" ht="18" customHeight="1">
      <c r="B68" s="899" t="str">
        <f>IFERROR(VLOOKUP(第2号様式!$L$2,様式リスト!$B:$CC,O68,0),"")</f>
        <v>旅費</v>
      </c>
      <c r="C68" s="900"/>
      <c r="D68" s="901"/>
      <c r="E68" s="327"/>
      <c r="F68" s="858"/>
      <c r="G68" s="862"/>
      <c r="H68" s="860"/>
      <c r="I68" s="860"/>
      <c r="J68" s="860"/>
      <c r="K68" s="860"/>
      <c r="L68" s="860"/>
      <c r="M68" s="860"/>
      <c r="N68" s="861"/>
      <c r="O68" s="313">
        <v>54</v>
      </c>
    </row>
    <row r="69" spans="2:15" ht="18" customHeight="1">
      <c r="B69" s="899" t="str">
        <f>IFERROR(VLOOKUP(第2号様式!$L$2,様式リスト!$B:$CC,O69,0),"")</f>
        <v>会議費</v>
      </c>
      <c r="C69" s="900"/>
      <c r="D69" s="901"/>
      <c r="E69" s="327"/>
      <c r="F69" s="858"/>
      <c r="G69" s="862"/>
      <c r="H69" s="860"/>
      <c r="I69" s="860"/>
      <c r="J69" s="860"/>
      <c r="K69" s="860"/>
      <c r="L69" s="860"/>
      <c r="M69" s="860"/>
      <c r="N69" s="861"/>
      <c r="O69" s="313">
        <v>55</v>
      </c>
    </row>
    <row r="70" spans="2:15" ht="18" customHeight="1">
      <c r="B70" s="899" t="str">
        <f>IFERROR(VLOOKUP(第2号様式!$L$2,様式リスト!$B:$CC,O70,0),"")</f>
        <v>　</v>
      </c>
      <c r="C70" s="900"/>
      <c r="D70" s="901"/>
      <c r="E70" s="327"/>
      <c r="F70" s="858"/>
      <c r="G70" s="862"/>
      <c r="H70" s="860"/>
      <c r="I70" s="860"/>
      <c r="J70" s="860"/>
      <c r="K70" s="860"/>
      <c r="L70" s="860"/>
      <c r="M70" s="860"/>
      <c r="N70" s="861"/>
      <c r="O70" s="313">
        <v>56</v>
      </c>
    </row>
    <row r="71" spans="2:15" ht="18" customHeight="1">
      <c r="B71" s="899" t="str">
        <f>IFERROR(VLOOKUP(第2号様式!$L$2,様式リスト!$B:$CC,O71,0),"")</f>
        <v>　</v>
      </c>
      <c r="C71" s="900"/>
      <c r="D71" s="901"/>
      <c r="E71" s="327"/>
      <c r="F71" s="858"/>
      <c r="G71" s="862"/>
      <c r="H71" s="860"/>
      <c r="I71" s="860"/>
      <c r="J71" s="860"/>
      <c r="K71" s="860"/>
      <c r="L71" s="860"/>
      <c r="M71" s="860"/>
      <c r="N71" s="861"/>
      <c r="O71" s="313">
        <v>57</v>
      </c>
    </row>
    <row r="72" spans="2:15" ht="18" customHeight="1">
      <c r="B72" s="899" t="str">
        <f>IFERROR(VLOOKUP(第2号様式!$L$2,様式リスト!$B:$CC,O72,0),"")</f>
        <v/>
      </c>
      <c r="C72" s="900"/>
      <c r="D72" s="901"/>
      <c r="E72" s="327"/>
      <c r="F72" s="858"/>
      <c r="G72" s="862"/>
      <c r="H72" s="860"/>
      <c r="I72" s="860"/>
      <c r="J72" s="860"/>
      <c r="K72" s="860"/>
      <c r="L72" s="860"/>
      <c r="M72" s="860"/>
      <c r="N72" s="861"/>
    </row>
    <row r="73" spans="2:15" ht="18" customHeight="1">
      <c r="B73" s="899" t="str">
        <f>IFERROR(VLOOKUP(第2号様式!$L$2,様式リスト!$B:$CC,O73,0),"")</f>
        <v/>
      </c>
      <c r="C73" s="900"/>
      <c r="D73" s="901"/>
      <c r="E73" s="327"/>
      <c r="F73" s="858"/>
      <c r="G73" s="862"/>
      <c r="H73" s="860"/>
      <c r="I73" s="860"/>
      <c r="J73" s="860"/>
      <c r="K73" s="860"/>
      <c r="L73" s="860"/>
      <c r="M73" s="860"/>
      <c r="N73" s="861"/>
    </row>
    <row r="74" spans="2:15" ht="18" customHeight="1">
      <c r="B74" s="899" t="str">
        <f>IFERROR(VLOOKUP(第2号様式!$L$2,様式リスト!$B:$CC,O74,0),"")</f>
        <v/>
      </c>
      <c r="C74" s="900"/>
      <c r="D74" s="901"/>
      <c r="E74" s="327"/>
      <c r="F74" s="858"/>
      <c r="G74" s="862"/>
      <c r="H74" s="860"/>
      <c r="I74" s="860"/>
      <c r="J74" s="860"/>
      <c r="K74" s="860"/>
      <c r="L74" s="860"/>
      <c r="M74" s="860"/>
      <c r="N74" s="861"/>
    </row>
    <row r="75" spans="2:15" ht="18" customHeight="1">
      <c r="B75" s="899" t="str">
        <f>IFERROR(VLOOKUP(第2号様式!$L$2,様式リスト!$B:$CC,O75,0),"")</f>
        <v/>
      </c>
      <c r="C75" s="900"/>
      <c r="D75" s="901"/>
      <c r="E75" s="327"/>
      <c r="F75" s="858"/>
      <c r="G75" s="862"/>
      <c r="H75" s="860"/>
      <c r="I75" s="860"/>
      <c r="J75" s="860"/>
      <c r="K75" s="860"/>
      <c r="L75" s="860"/>
      <c r="M75" s="860"/>
      <c r="N75" s="861"/>
    </row>
    <row r="76" spans="2:15" ht="18" customHeight="1">
      <c r="B76" s="899" t="str">
        <f>IFERROR(VLOOKUP(第2号様式!$L$2,様式リスト!$B:$CC,O76,0),"")</f>
        <v/>
      </c>
      <c r="C76" s="900"/>
      <c r="D76" s="901"/>
      <c r="E76" s="327"/>
      <c r="F76" s="858"/>
      <c r="G76" s="862"/>
      <c r="H76" s="860"/>
      <c r="I76" s="860"/>
      <c r="J76" s="860"/>
      <c r="K76" s="860"/>
      <c r="L76" s="860"/>
      <c r="M76" s="860"/>
      <c r="N76" s="861"/>
    </row>
    <row r="77" spans="2:15" ht="18" customHeight="1">
      <c r="B77" s="899" t="str">
        <f>IFERROR(VLOOKUP(第2号様式!$L$2,様式リスト!$B:$CC,O77,0),"")</f>
        <v/>
      </c>
      <c r="C77" s="900"/>
      <c r="D77" s="901"/>
      <c r="E77" s="327"/>
      <c r="F77" s="858"/>
      <c r="G77" s="862"/>
      <c r="H77" s="860"/>
      <c r="I77" s="860"/>
      <c r="J77" s="860"/>
      <c r="K77" s="860"/>
      <c r="L77" s="860"/>
      <c r="M77" s="860"/>
      <c r="N77" s="861"/>
    </row>
    <row r="78" spans="2:15" ht="18" customHeight="1">
      <c r="B78" s="899" t="str">
        <f>IFERROR(VLOOKUP(第2号様式!$L$2,様式リスト!$B:$CC,O78,0),"")</f>
        <v/>
      </c>
      <c r="C78" s="900"/>
      <c r="D78" s="901"/>
      <c r="E78" s="327"/>
      <c r="F78" s="858"/>
      <c r="G78" s="862"/>
      <c r="H78" s="860"/>
      <c r="I78" s="860"/>
      <c r="J78" s="860"/>
      <c r="K78" s="860"/>
      <c r="L78" s="860"/>
      <c r="M78" s="860"/>
      <c r="N78" s="861"/>
    </row>
    <row r="79" spans="2:15" ht="18" customHeight="1">
      <c r="B79" s="899" t="str">
        <f>IFERROR(VLOOKUP(第2号様式!$L$2,様式リスト!$B:$CC,O79,0),"")</f>
        <v/>
      </c>
      <c r="C79" s="900"/>
      <c r="D79" s="901"/>
      <c r="E79" s="327"/>
      <c r="F79" s="858"/>
      <c r="G79" s="862"/>
      <c r="H79" s="860"/>
      <c r="I79" s="860"/>
      <c r="J79" s="860"/>
      <c r="K79" s="860"/>
      <c r="L79" s="860"/>
      <c r="M79" s="860"/>
      <c r="N79" s="861"/>
    </row>
    <row r="80" spans="2:15" ht="18" customHeight="1">
      <c r="B80" s="899" t="str">
        <f>IFERROR(VLOOKUP(第2号様式!$L$2,様式リスト!$B:$CC,O80,0),"")</f>
        <v/>
      </c>
      <c r="C80" s="900"/>
      <c r="D80" s="901"/>
      <c r="E80" s="327"/>
      <c r="F80" s="858"/>
      <c r="G80" s="862"/>
      <c r="H80" s="860"/>
      <c r="I80" s="860"/>
      <c r="J80" s="860"/>
      <c r="K80" s="860"/>
      <c r="L80" s="860"/>
      <c r="M80" s="860"/>
      <c r="N80" s="861"/>
    </row>
    <row r="81" spans="2:15" ht="18" customHeight="1">
      <c r="B81" s="899" t="str">
        <f>IFERROR(VLOOKUP(第2号様式!$L$2,様式リスト!$B:$CC,O81,0),"")</f>
        <v/>
      </c>
      <c r="C81" s="900"/>
      <c r="D81" s="901"/>
      <c r="E81" s="327"/>
      <c r="F81" s="858"/>
      <c r="G81" s="862"/>
      <c r="H81" s="860"/>
      <c r="I81" s="860"/>
      <c r="J81" s="860"/>
      <c r="K81" s="860"/>
      <c r="L81" s="860"/>
      <c r="M81" s="860"/>
      <c r="N81" s="861"/>
    </row>
    <row r="82" spans="2:15" ht="18" customHeight="1">
      <c r="B82" s="899" t="str">
        <f>IFERROR(VLOOKUP(第2号様式!$L$2,様式リスト!$B:$CC,O82,0),"")</f>
        <v/>
      </c>
      <c r="C82" s="900"/>
      <c r="D82" s="901"/>
      <c r="E82" s="327"/>
      <c r="F82" s="858"/>
      <c r="G82" s="862"/>
      <c r="H82" s="860"/>
      <c r="I82" s="860"/>
      <c r="J82" s="860"/>
      <c r="K82" s="860"/>
      <c r="L82" s="860"/>
      <c r="M82" s="860"/>
      <c r="N82" s="861"/>
    </row>
    <row r="83" spans="2:15" ht="18" customHeight="1">
      <c r="B83" s="899" t="str">
        <f>IFERROR(VLOOKUP(第2号様式!$L$2,様式リスト!$B:$CC,O83,0),"")</f>
        <v/>
      </c>
      <c r="C83" s="900"/>
      <c r="D83" s="901"/>
      <c r="E83" s="327"/>
      <c r="F83" s="858"/>
      <c r="G83" s="862"/>
      <c r="H83" s="860"/>
      <c r="I83" s="860"/>
      <c r="J83" s="860"/>
      <c r="K83" s="860"/>
      <c r="L83" s="860"/>
      <c r="M83" s="860"/>
      <c r="N83" s="861"/>
    </row>
    <row r="84" spans="2:15" ht="18" customHeight="1">
      <c r="B84" s="899" t="str">
        <f>IFERROR(VLOOKUP(第2号様式!$L$2,様式リスト!$B:$CC,O84,0),"")</f>
        <v/>
      </c>
      <c r="C84" s="900"/>
      <c r="D84" s="901"/>
      <c r="E84" s="327"/>
      <c r="F84" s="858"/>
      <c r="G84" s="862"/>
      <c r="H84" s="860"/>
      <c r="I84" s="860"/>
      <c r="J84" s="860"/>
      <c r="K84" s="860"/>
      <c r="L84" s="860"/>
      <c r="M84" s="860"/>
      <c r="N84" s="861"/>
    </row>
    <row r="85" spans="2:15" ht="18" customHeight="1">
      <c r="B85" s="899" t="str">
        <f>IFERROR(VLOOKUP(第2号様式!$L$2,様式リスト!$B:$CC,O85,0),"")</f>
        <v/>
      </c>
      <c r="C85" s="900"/>
      <c r="D85" s="901"/>
      <c r="E85" s="327"/>
      <c r="F85" s="858"/>
      <c r="G85" s="862"/>
      <c r="H85" s="860"/>
      <c r="I85" s="860"/>
      <c r="J85" s="860"/>
      <c r="K85" s="860"/>
      <c r="L85" s="860"/>
      <c r="M85" s="860"/>
      <c r="N85" s="861"/>
    </row>
    <row r="86" spans="2:15" ht="18" customHeight="1">
      <c r="B86" s="899" t="str">
        <f>IFERROR(VLOOKUP(第2号様式!$L$2,様式リスト!$B:$CC,O86,0),"")</f>
        <v/>
      </c>
      <c r="C86" s="900"/>
      <c r="D86" s="901"/>
      <c r="E86" s="327"/>
      <c r="F86" s="858"/>
      <c r="G86" s="862"/>
      <c r="H86" s="860"/>
      <c r="I86" s="860"/>
      <c r="J86" s="860"/>
      <c r="K86" s="860"/>
      <c r="L86" s="860"/>
      <c r="M86" s="860"/>
      <c r="N86" s="861"/>
    </row>
    <row r="87" spans="2:15" ht="18" customHeight="1">
      <c r="B87" s="899" t="str">
        <f>IFERROR(VLOOKUP(第2号様式!$L$2,様式リスト!$B:$CC,O87,0),"")</f>
        <v/>
      </c>
      <c r="C87" s="900"/>
      <c r="D87" s="901"/>
      <c r="E87" s="327"/>
      <c r="F87" s="858"/>
      <c r="G87" s="862"/>
      <c r="H87" s="860"/>
      <c r="I87" s="860"/>
      <c r="J87" s="860"/>
      <c r="K87" s="860"/>
      <c r="L87" s="860"/>
      <c r="M87" s="860"/>
      <c r="N87" s="861"/>
    </row>
    <row r="88" spans="2:15" ht="18" customHeight="1">
      <c r="B88" s="899" t="str">
        <f>IFERROR(VLOOKUP(第2号様式!$L$2,様式リスト!$B:$CC,O88,0),"")</f>
        <v/>
      </c>
      <c r="C88" s="900"/>
      <c r="D88" s="901"/>
      <c r="E88" s="327"/>
      <c r="F88" s="858"/>
      <c r="G88" s="862"/>
      <c r="H88" s="860"/>
      <c r="I88" s="860"/>
      <c r="J88" s="860"/>
      <c r="K88" s="860"/>
      <c r="L88" s="860"/>
      <c r="M88" s="860"/>
      <c r="N88" s="861"/>
    </row>
    <row r="89" spans="2:15" ht="18" customHeight="1">
      <c r="B89" s="899" t="str">
        <f>IFERROR(VLOOKUP(第2号様式!$L$2,様式リスト!$B:$CC,O89,0),"")</f>
        <v xml:space="preserve"> </v>
      </c>
      <c r="C89" s="900"/>
      <c r="D89" s="901"/>
      <c r="E89" s="327"/>
      <c r="F89" s="858"/>
      <c r="G89" s="862"/>
      <c r="H89" s="860"/>
      <c r="I89" s="860"/>
      <c r="J89" s="860"/>
      <c r="K89" s="860"/>
      <c r="L89" s="860"/>
      <c r="M89" s="860"/>
      <c r="N89" s="861"/>
      <c r="O89" s="313">
        <v>75</v>
      </c>
    </row>
    <row r="90" spans="2:15" ht="23.25" customHeight="1">
      <c r="B90" s="896" t="s">
        <v>215</v>
      </c>
      <c r="C90" s="897"/>
      <c r="D90" s="898"/>
      <c r="E90" s="330"/>
      <c r="F90" s="450">
        <f>SUM(F18:F89)</f>
        <v>0</v>
      </c>
      <c r="G90" s="330"/>
      <c r="H90" s="332"/>
      <c r="I90" s="332"/>
      <c r="J90" s="332"/>
      <c r="K90" s="332"/>
      <c r="L90" s="332"/>
      <c r="M90" s="332"/>
      <c r="N90" s="331"/>
    </row>
    <row r="91" spans="2:15" ht="19.5" customHeight="1"/>
    <row r="92" spans="2:15">
      <c r="B92" s="313" t="s">
        <v>216</v>
      </c>
    </row>
    <row r="94" spans="2:15" ht="19.5" customHeight="1"/>
  </sheetData>
  <sheetProtection formatCells="0" formatColumns="0" formatRows="0" insertColumns="0" insertRows="0" insertHyperlinks="0" deleteColumns="0" deleteRows="0" sort="0" autoFilter="0" pivotTables="0"/>
  <mergeCells count="89">
    <mergeCell ref="J6:J8"/>
    <mergeCell ref="M6:M8"/>
    <mergeCell ref="N6:N8"/>
    <mergeCell ref="K6:K8"/>
    <mergeCell ref="L6:L8"/>
    <mergeCell ref="C6:C8"/>
    <mergeCell ref="E6:E8"/>
    <mergeCell ref="G6:G8"/>
    <mergeCell ref="H6:H8"/>
    <mergeCell ref="I6:I8"/>
    <mergeCell ref="B23:D23"/>
    <mergeCell ref="M11:M12"/>
    <mergeCell ref="N11:N12"/>
    <mergeCell ref="B16:D16"/>
    <mergeCell ref="E16:F16"/>
    <mergeCell ref="G16:N16"/>
    <mergeCell ref="B17:D17"/>
    <mergeCell ref="B18:D18"/>
    <mergeCell ref="B19:D19"/>
    <mergeCell ref="B20:D20"/>
    <mergeCell ref="B21:D21"/>
    <mergeCell ref="B22:D22"/>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83:D83"/>
    <mergeCell ref="B72:D72"/>
    <mergeCell ref="B73:D73"/>
    <mergeCell ref="B74:D74"/>
    <mergeCell ref="B75:D75"/>
    <mergeCell ref="B76:D76"/>
    <mergeCell ref="B77:D77"/>
    <mergeCell ref="B78:D78"/>
    <mergeCell ref="B79:D79"/>
    <mergeCell ref="B80:D80"/>
    <mergeCell ref="B81:D81"/>
    <mergeCell ref="B82:D82"/>
    <mergeCell ref="B90:D90"/>
    <mergeCell ref="B84:D84"/>
    <mergeCell ref="B85:D85"/>
    <mergeCell ref="B86:D86"/>
    <mergeCell ref="B87:D87"/>
    <mergeCell ref="B88:D88"/>
    <mergeCell ref="B89:D89"/>
  </mergeCells>
  <phoneticPr fontId="4"/>
  <printOptions horizontalCentered="1"/>
  <pageMargins left="0.70866141732283472" right="0.70866141732283472" top="0.74803149606299213" bottom="0.74803149606299213" header="0.31496062992125984" footer="0.31496062992125984"/>
  <pageSetup paperSize="9" scale="35" orientation="portrait" blackAndWhite="1"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AC3F-3CAF-4ABA-864F-F40CE024EAFA}">
  <sheetPr>
    <tabColor rgb="FF00B0F0"/>
    <pageSetUpPr fitToPage="1"/>
  </sheetPr>
  <dimension ref="A1:S95"/>
  <sheetViews>
    <sheetView view="pageBreakPreview" topLeftCell="B1" zoomScale="70" zoomScaleNormal="90" zoomScaleSheetLayoutView="70" workbookViewId="0">
      <selection activeCell="D17" sqref="D17"/>
    </sheetView>
  </sheetViews>
  <sheetFormatPr defaultRowHeight="13.15" outlineLevelCol="1"/>
  <cols>
    <col min="1" max="1" width="3.625" style="313" hidden="1" customWidth="1"/>
    <col min="2" max="16" width="18.625" style="313" customWidth="1"/>
    <col min="17" max="17" width="5.625" style="313" customWidth="1" outlineLevel="1"/>
    <col min="18" max="19" width="9" style="313" customWidth="1" outlineLevel="1"/>
    <col min="20" max="265" width="9" style="313"/>
    <col min="266" max="266" width="15.75" style="313" customWidth="1"/>
    <col min="267" max="272" width="12.125" style="313" customWidth="1"/>
    <col min="273" max="273" width="11.875" style="313" customWidth="1"/>
    <col min="274" max="521" width="9" style="313"/>
    <col min="522" max="522" width="15.75" style="313" customWidth="1"/>
    <col min="523" max="528" width="12.125" style="313" customWidth="1"/>
    <col min="529" max="529" width="11.875" style="313" customWidth="1"/>
    <col min="530" max="777" width="9" style="313"/>
    <col min="778" max="778" width="15.75" style="313" customWidth="1"/>
    <col min="779" max="784" width="12.125" style="313" customWidth="1"/>
    <col min="785" max="785" width="11.875" style="313" customWidth="1"/>
    <col min="786" max="1033" width="9" style="313"/>
    <col min="1034" max="1034" width="15.75" style="313" customWidth="1"/>
    <col min="1035" max="1040" width="12.125" style="313" customWidth="1"/>
    <col min="1041" max="1041" width="11.875" style="313" customWidth="1"/>
    <col min="1042" max="1289" width="9" style="313"/>
    <col min="1290" max="1290" width="15.75" style="313" customWidth="1"/>
    <col min="1291" max="1296" width="12.125" style="313" customWidth="1"/>
    <col min="1297" max="1297" width="11.875" style="313" customWidth="1"/>
    <col min="1298" max="1545" width="9" style="313"/>
    <col min="1546" max="1546" width="15.75" style="313" customWidth="1"/>
    <col min="1547" max="1552" width="12.125" style="313" customWidth="1"/>
    <col min="1553" max="1553" width="11.875" style="313" customWidth="1"/>
    <col min="1554" max="1801" width="9" style="313"/>
    <col min="1802" max="1802" width="15.75" style="313" customWidth="1"/>
    <col min="1803" max="1808" width="12.125" style="313" customWidth="1"/>
    <col min="1809" max="1809" width="11.875" style="313" customWidth="1"/>
    <col min="1810" max="2057" width="9" style="313"/>
    <col min="2058" max="2058" width="15.75" style="313" customWidth="1"/>
    <col min="2059" max="2064" width="12.125" style="313" customWidth="1"/>
    <col min="2065" max="2065" width="11.875" style="313" customWidth="1"/>
    <col min="2066" max="2313" width="9" style="313"/>
    <col min="2314" max="2314" width="15.75" style="313" customWidth="1"/>
    <col min="2315" max="2320" width="12.125" style="313" customWidth="1"/>
    <col min="2321" max="2321" width="11.875" style="313" customWidth="1"/>
    <col min="2322" max="2569" width="9" style="313"/>
    <col min="2570" max="2570" width="15.75" style="313" customWidth="1"/>
    <col min="2571" max="2576" width="12.125" style="313" customWidth="1"/>
    <col min="2577" max="2577" width="11.875" style="313" customWidth="1"/>
    <col min="2578" max="2825" width="9" style="313"/>
    <col min="2826" max="2826" width="15.75" style="313" customWidth="1"/>
    <col min="2827" max="2832" width="12.125" style="313" customWidth="1"/>
    <col min="2833" max="2833" width="11.875" style="313" customWidth="1"/>
    <col min="2834" max="3081" width="9" style="313"/>
    <col min="3082" max="3082" width="15.75" style="313" customWidth="1"/>
    <col min="3083" max="3088" width="12.125" style="313" customWidth="1"/>
    <col min="3089" max="3089" width="11.875" style="313" customWidth="1"/>
    <col min="3090" max="3337" width="9" style="313"/>
    <col min="3338" max="3338" width="15.75" style="313" customWidth="1"/>
    <col min="3339" max="3344" width="12.125" style="313" customWidth="1"/>
    <col min="3345" max="3345" width="11.875" style="313" customWidth="1"/>
    <col min="3346" max="3593" width="9" style="313"/>
    <col min="3594" max="3594" width="15.75" style="313" customWidth="1"/>
    <col min="3595" max="3600" width="12.125" style="313" customWidth="1"/>
    <col min="3601" max="3601" width="11.875" style="313" customWidth="1"/>
    <col min="3602" max="3849" width="9" style="313"/>
    <col min="3850" max="3850" width="15.75" style="313" customWidth="1"/>
    <col min="3851" max="3856" width="12.125" style="313" customWidth="1"/>
    <col min="3857" max="3857" width="11.875" style="313" customWidth="1"/>
    <col min="3858" max="4105" width="9" style="313"/>
    <col min="4106" max="4106" width="15.75" style="313" customWidth="1"/>
    <col min="4107" max="4112" width="12.125" style="313" customWidth="1"/>
    <col min="4113" max="4113" width="11.875" style="313" customWidth="1"/>
    <col min="4114" max="4361" width="9" style="313"/>
    <col min="4362" max="4362" width="15.75" style="313" customWidth="1"/>
    <col min="4363" max="4368" width="12.125" style="313" customWidth="1"/>
    <col min="4369" max="4369" width="11.875" style="313" customWidth="1"/>
    <col min="4370" max="4617" width="9" style="313"/>
    <col min="4618" max="4618" width="15.75" style="313" customWidth="1"/>
    <col min="4619" max="4624" width="12.125" style="313" customWidth="1"/>
    <col min="4625" max="4625" width="11.875" style="313" customWidth="1"/>
    <col min="4626" max="4873" width="9" style="313"/>
    <col min="4874" max="4874" width="15.75" style="313" customWidth="1"/>
    <col min="4875" max="4880" width="12.125" style="313" customWidth="1"/>
    <col min="4881" max="4881" width="11.875" style="313" customWidth="1"/>
    <col min="4882" max="5129" width="9" style="313"/>
    <col min="5130" max="5130" width="15.75" style="313" customWidth="1"/>
    <col min="5131" max="5136" width="12.125" style="313" customWidth="1"/>
    <col min="5137" max="5137" width="11.875" style="313" customWidth="1"/>
    <col min="5138" max="5385" width="9" style="313"/>
    <col min="5386" max="5386" width="15.75" style="313" customWidth="1"/>
    <col min="5387" max="5392" width="12.125" style="313" customWidth="1"/>
    <col min="5393" max="5393" width="11.875" style="313" customWidth="1"/>
    <col min="5394" max="5641" width="9" style="313"/>
    <col min="5642" max="5642" width="15.75" style="313" customWidth="1"/>
    <col min="5643" max="5648" width="12.125" style="313" customWidth="1"/>
    <col min="5649" max="5649" width="11.875" style="313" customWidth="1"/>
    <col min="5650" max="5897" width="9" style="313"/>
    <col min="5898" max="5898" width="15.75" style="313" customWidth="1"/>
    <col min="5899" max="5904" width="12.125" style="313" customWidth="1"/>
    <col min="5905" max="5905" width="11.875" style="313" customWidth="1"/>
    <col min="5906" max="6153" width="9" style="313"/>
    <col min="6154" max="6154" width="15.75" style="313" customWidth="1"/>
    <col min="6155" max="6160" width="12.125" style="313" customWidth="1"/>
    <col min="6161" max="6161" width="11.875" style="313" customWidth="1"/>
    <col min="6162" max="6409" width="9" style="313"/>
    <col min="6410" max="6410" width="15.75" style="313" customWidth="1"/>
    <col min="6411" max="6416" width="12.125" style="313" customWidth="1"/>
    <col min="6417" max="6417" width="11.875" style="313" customWidth="1"/>
    <col min="6418" max="6665" width="9" style="313"/>
    <col min="6666" max="6666" width="15.75" style="313" customWidth="1"/>
    <col min="6667" max="6672" width="12.125" style="313" customWidth="1"/>
    <col min="6673" max="6673" width="11.875" style="313" customWidth="1"/>
    <col min="6674" max="6921" width="9" style="313"/>
    <col min="6922" max="6922" width="15.75" style="313" customWidth="1"/>
    <col min="6923" max="6928" width="12.125" style="313" customWidth="1"/>
    <col min="6929" max="6929" width="11.875" style="313" customWidth="1"/>
    <col min="6930" max="7177" width="9" style="313"/>
    <col min="7178" max="7178" width="15.75" style="313" customWidth="1"/>
    <col min="7179" max="7184" width="12.125" style="313" customWidth="1"/>
    <col min="7185" max="7185" width="11.875" style="313" customWidth="1"/>
    <col min="7186" max="7433" width="9" style="313"/>
    <col min="7434" max="7434" width="15.75" style="313" customWidth="1"/>
    <col min="7435" max="7440" width="12.125" style="313" customWidth="1"/>
    <col min="7441" max="7441" width="11.875" style="313" customWidth="1"/>
    <col min="7442" max="7689" width="9" style="313"/>
    <col min="7690" max="7690" width="15.75" style="313" customWidth="1"/>
    <col min="7691" max="7696" width="12.125" style="313" customWidth="1"/>
    <col min="7697" max="7697" width="11.875" style="313" customWidth="1"/>
    <col min="7698" max="7945" width="9" style="313"/>
    <col min="7946" max="7946" width="15.75" style="313" customWidth="1"/>
    <col min="7947" max="7952" width="12.125" style="313" customWidth="1"/>
    <col min="7953" max="7953" width="11.875" style="313" customWidth="1"/>
    <col min="7954" max="8201" width="9" style="313"/>
    <col min="8202" max="8202" width="15.75" style="313" customWidth="1"/>
    <col min="8203" max="8208" width="12.125" style="313" customWidth="1"/>
    <col min="8209" max="8209" width="11.875" style="313" customWidth="1"/>
    <col min="8210" max="8457" width="9" style="313"/>
    <col min="8458" max="8458" width="15.75" style="313" customWidth="1"/>
    <col min="8459" max="8464" width="12.125" style="313" customWidth="1"/>
    <col min="8465" max="8465" width="11.875" style="313" customWidth="1"/>
    <col min="8466" max="8713" width="9" style="313"/>
    <col min="8714" max="8714" width="15.75" style="313" customWidth="1"/>
    <col min="8715" max="8720" width="12.125" style="313" customWidth="1"/>
    <col min="8721" max="8721" width="11.875" style="313" customWidth="1"/>
    <col min="8722" max="8969" width="9" style="313"/>
    <col min="8970" max="8970" width="15.75" style="313" customWidth="1"/>
    <col min="8971" max="8976" width="12.125" style="313" customWidth="1"/>
    <col min="8977" max="8977" width="11.875" style="313" customWidth="1"/>
    <col min="8978" max="9225" width="9" style="313"/>
    <col min="9226" max="9226" width="15.75" style="313" customWidth="1"/>
    <col min="9227" max="9232" width="12.125" style="313" customWidth="1"/>
    <col min="9233" max="9233" width="11.875" style="313" customWidth="1"/>
    <col min="9234" max="9481" width="9" style="313"/>
    <col min="9482" max="9482" width="15.75" style="313" customWidth="1"/>
    <col min="9483" max="9488" width="12.125" style="313" customWidth="1"/>
    <col min="9489" max="9489" width="11.875" style="313" customWidth="1"/>
    <col min="9490" max="9737" width="9" style="313"/>
    <col min="9738" max="9738" width="15.75" style="313" customWidth="1"/>
    <col min="9739" max="9744" width="12.125" style="313" customWidth="1"/>
    <col min="9745" max="9745" width="11.875" style="313" customWidth="1"/>
    <col min="9746" max="9993" width="9" style="313"/>
    <col min="9994" max="9994" width="15.75" style="313" customWidth="1"/>
    <col min="9995" max="10000" width="12.125" style="313" customWidth="1"/>
    <col min="10001" max="10001" width="11.875" style="313" customWidth="1"/>
    <col min="10002" max="10249" width="9" style="313"/>
    <col min="10250" max="10250" width="15.75" style="313" customWidth="1"/>
    <col min="10251" max="10256" width="12.125" style="313" customWidth="1"/>
    <col min="10257" max="10257" width="11.875" style="313" customWidth="1"/>
    <col min="10258" max="10505" width="9" style="313"/>
    <col min="10506" max="10506" width="15.75" style="313" customWidth="1"/>
    <col min="10507" max="10512" width="12.125" style="313" customWidth="1"/>
    <col min="10513" max="10513" width="11.875" style="313" customWidth="1"/>
    <col min="10514" max="10761" width="9" style="313"/>
    <col min="10762" max="10762" width="15.75" style="313" customWidth="1"/>
    <col min="10763" max="10768" width="12.125" style="313" customWidth="1"/>
    <col min="10769" max="10769" width="11.875" style="313" customWidth="1"/>
    <col min="10770" max="11017" width="9" style="313"/>
    <col min="11018" max="11018" width="15.75" style="313" customWidth="1"/>
    <col min="11019" max="11024" width="12.125" style="313" customWidth="1"/>
    <col min="11025" max="11025" width="11.875" style="313" customWidth="1"/>
    <col min="11026" max="11273" width="9" style="313"/>
    <col min="11274" max="11274" width="15.75" style="313" customWidth="1"/>
    <col min="11275" max="11280" width="12.125" style="313" customWidth="1"/>
    <col min="11281" max="11281" width="11.875" style="313" customWidth="1"/>
    <col min="11282" max="11529" width="9" style="313"/>
    <col min="11530" max="11530" width="15.75" style="313" customWidth="1"/>
    <col min="11531" max="11536" width="12.125" style="313" customWidth="1"/>
    <col min="11537" max="11537" width="11.875" style="313" customWidth="1"/>
    <col min="11538" max="11785" width="9" style="313"/>
    <col min="11786" max="11786" width="15.75" style="313" customWidth="1"/>
    <col min="11787" max="11792" width="12.125" style="313" customWidth="1"/>
    <col min="11793" max="11793" width="11.875" style="313" customWidth="1"/>
    <col min="11794" max="12041" width="9" style="313"/>
    <col min="12042" max="12042" width="15.75" style="313" customWidth="1"/>
    <col min="12043" max="12048" width="12.125" style="313" customWidth="1"/>
    <col min="12049" max="12049" width="11.875" style="313" customWidth="1"/>
    <col min="12050" max="12297" width="9" style="313"/>
    <col min="12298" max="12298" width="15.75" style="313" customWidth="1"/>
    <col min="12299" max="12304" width="12.125" style="313" customWidth="1"/>
    <col min="12305" max="12305" width="11.875" style="313" customWidth="1"/>
    <col min="12306" max="12553" width="9" style="313"/>
    <col min="12554" max="12554" width="15.75" style="313" customWidth="1"/>
    <col min="12555" max="12560" width="12.125" style="313" customWidth="1"/>
    <col min="12561" max="12561" width="11.875" style="313" customWidth="1"/>
    <col min="12562" max="12809" width="9" style="313"/>
    <col min="12810" max="12810" width="15.75" style="313" customWidth="1"/>
    <col min="12811" max="12816" width="12.125" style="313" customWidth="1"/>
    <col min="12817" max="12817" width="11.875" style="313" customWidth="1"/>
    <col min="12818" max="13065" width="9" style="313"/>
    <col min="13066" max="13066" width="15.75" style="313" customWidth="1"/>
    <col min="13067" max="13072" width="12.125" style="313" customWidth="1"/>
    <col min="13073" max="13073" width="11.875" style="313" customWidth="1"/>
    <col min="13074" max="13321" width="9" style="313"/>
    <col min="13322" max="13322" width="15.75" style="313" customWidth="1"/>
    <col min="13323" max="13328" width="12.125" style="313" customWidth="1"/>
    <col min="13329" max="13329" width="11.875" style="313" customWidth="1"/>
    <col min="13330" max="13577" width="9" style="313"/>
    <col min="13578" max="13578" width="15.75" style="313" customWidth="1"/>
    <col min="13579" max="13584" width="12.125" style="313" customWidth="1"/>
    <col min="13585" max="13585" width="11.875" style="313" customWidth="1"/>
    <col min="13586" max="13833" width="9" style="313"/>
    <col min="13834" max="13834" width="15.75" style="313" customWidth="1"/>
    <col min="13835" max="13840" width="12.125" style="313" customWidth="1"/>
    <col min="13841" max="13841" width="11.875" style="313" customWidth="1"/>
    <col min="13842" max="14089" width="9" style="313"/>
    <col min="14090" max="14090" width="15.75" style="313" customWidth="1"/>
    <col min="14091" max="14096" width="12.125" style="313" customWidth="1"/>
    <col min="14097" max="14097" width="11.875" style="313" customWidth="1"/>
    <col min="14098" max="14345" width="9" style="313"/>
    <col min="14346" max="14346" width="15.75" style="313" customWidth="1"/>
    <col min="14347" max="14352" width="12.125" style="313" customWidth="1"/>
    <col min="14353" max="14353" width="11.875" style="313" customWidth="1"/>
    <col min="14354" max="14601" width="9" style="313"/>
    <col min="14602" max="14602" width="15.75" style="313" customWidth="1"/>
    <col min="14603" max="14608" width="12.125" style="313" customWidth="1"/>
    <col min="14609" max="14609" width="11.875" style="313" customWidth="1"/>
    <col min="14610" max="14857" width="9" style="313"/>
    <col min="14858" max="14858" width="15.75" style="313" customWidth="1"/>
    <col min="14859" max="14864" width="12.125" style="313" customWidth="1"/>
    <col min="14865" max="14865" width="11.875" style="313" customWidth="1"/>
    <col min="14866" max="15113" width="9" style="313"/>
    <col min="15114" max="15114" width="15.75" style="313" customWidth="1"/>
    <col min="15115" max="15120" width="12.125" style="313" customWidth="1"/>
    <col min="15121" max="15121" width="11.875" style="313" customWidth="1"/>
    <col min="15122" max="15369" width="9" style="313"/>
    <col min="15370" max="15370" width="15.75" style="313" customWidth="1"/>
    <col min="15371" max="15376" width="12.125" style="313" customWidth="1"/>
    <col min="15377" max="15377" width="11.875" style="313" customWidth="1"/>
    <col min="15378" max="15625" width="9" style="313"/>
    <col min="15626" max="15626" width="15.75" style="313" customWidth="1"/>
    <col min="15627" max="15632" width="12.125" style="313" customWidth="1"/>
    <col min="15633" max="15633" width="11.875" style="313" customWidth="1"/>
    <col min="15634" max="15881" width="9" style="313"/>
    <col min="15882" max="15882" width="15.75" style="313" customWidth="1"/>
    <col min="15883" max="15888" width="12.125" style="313" customWidth="1"/>
    <col min="15889" max="15889" width="11.875" style="313" customWidth="1"/>
    <col min="15890" max="16137" width="9" style="313"/>
    <col min="16138" max="16138" width="15.75" style="313" customWidth="1"/>
    <col min="16139" max="16144" width="12.125" style="313" customWidth="1"/>
    <col min="16145" max="16145" width="11.875" style="313" customWidth="1"/>
    <col min="16146" max="16384" width="9" style="313"/>
  </cols>
  <sheetData>
    <row r="1" spans="2:19" ht="18" customHeight="1">
      <c r="B1" s="311" t="s">
        <v>217</v>
      </c>
      <c r="C1" s="312"/>
    </row>
    <row r="2" spans="2:19" ht="18" customHeight="1"/>
    <row r="3" spans="2:19" ht="18" customHeight="1">
      <c r="B3" s="848" t="s">
        <v>177</v>
      </c>
      <c r="C3" s="848"/>
      <c r="D3" s="848"/>
      <c r="E3" s="848"/>
      <c r="F3" s="848"/>
      <c r="G3" s="848"/>
      <c r="H3" s="848"/>
      <c r="I3" s="848"/>
      <c r="J3" s="848"/>
      <c r="K3" s="848"/>
      <c r="L3" s="848"/>
      <c r="M3" s="848"/>
      <c r="N3" s="848"/>
      <c r="O3" s="848"/>
      <c r="P3" s="848"/>
    </row>
    <row r="4" spans="2:19" ht="18" customHeight="1">
      <c r="C4" s="314"/>
      <c r="D4" s="314"/>
      <c r="E4" s="314"/>
      <c r="F4" s="314"/>
      <c r="G4" s="314"/>
      <c r="H4" s="314"/>
      <c r="I4" s="314"/>
      <c r="J4" s="314"/>
      <c r="K4" s="314"/>
      <c r="L4" s="314"/>
      <c r="M4" s="314"/>
      <c r="N4" s="314"/>
      <c r="O4" s="314"/>
      <c r="P4" s="314"/>
    </row>
    <row r="5" spans="2:19" ht="18" customHeight="1">
      <c r="B5" s="311" t="s">
        <v>218</v>
      </c>
      <c r="C5" s="311"/>
    </row>
    <row r="6" spans="2:19" ht="18" customHeight="1">
      <c r="B6" s="315"/>
      <c r="C6" s="907" t="s">
        <v>178</v>
      </c>
      <c r="D6" s="316" t="s">
        <v>179</v>
      </c>
      <c r="E6" s="909" t="s">
        <v>180</v>
      </c>
      <c r="F6" s="586" t="s">
        <v>181</v>
      </c>
      <c r="G6" s="918" t="s">
        <v>182</v>
      </c>
      <c r="H6" s="919"/>
      <c r="I6" s="920"/>
      <c r="J6" s="907" t="s">
        <v>183</v>
      </c>
      <c r="K6" s="907" t="s">
        <v>184</v>
      </c>
      <c r="L6" s="911" t="s">
        <v>185</v>
      </c>
      <c r="M6" s="913" t="s">
        <v>219</v>
      </c>
      <c r="N6" s="913" t="s">
        <v>220</v>
      </c>
      <c r="O6" s="907" t="s">
        <v>188</v>
      </c>
      <c r="P6" s="913" t="s">
        <v>189</v>
      </c>
      <c r="S6" s="313" t="str">
        <f>第2号様式!L2</f>
        <v>臨床研修事業</v>
      </c>
    </row>
    <row r="7" spans="2:19" ht="18" customHeight="1">
      <c r="B7" s="317" t="s">
        <v>190</v>
      </c>
      <c r="C7" s="908"/>
      <c r="D7" s="318" t="s">
        <v>191</v>
      </c>
      <c r="E7" s="910"/>
      <c r="F7" s="587" t="s">
        <v>192</v>
      </c>
      <c r="G7" s="915"/>
      <c r="H7" s="916"/>
      <c r="I7" s="917"/>
      <c r="J7" s="908"/>
      <c r="K7" s="908"/>
      <c r="L7" s="912"/>
      <c r="M7" s="912"/>
      <c r="N7" s="912"/>
      <c r="O7" s="908"/>
      <c r="P7" s="912"/>
    </row>
    <row r="8" spans="2:19" ht="18" customHeight="1">
      <c r="B8" s="319"/>
      <c r="C8" s="908"/>
      <c r="D8" s="318" t="s">
        <v>193</v>
      </c>
      <c r="E8" s="910"/>
      <c r="F8" s="587" t="s">
        <v>194</v>
      </c>
      <c r="G8" s="915"/>
      <c r="H8" s="916"/>
      <c r="I8" s="917"/>
      <c r="J8" s="908"/>
      <c r="K8" s="908"/>
      <c r="L8" s="912"/>
      <c r="M8" s="912"/>
      <c r="N8" s="912"/>
      <c r="O8" s="908"/>
      <c r="P8" s="912"/>
    </row>
    <row r="9" spans="2:19" ht="18" customHeight="1">
      <c r="B9" s="319"/>
      <c r="C9" s="587" t="s">
        <v>195</v>
      </c>
      <c r="D9" s="587" t="s">
        <v>196</v>
      </c>
      <c r="E9" s="318" t="s">
        <v>197</v>
      </c>
      <c r="F9" s="587" t="s">
        <v>198</v>
      </c>
      <c r="G9" s="915" t="s">
        <v>199</v>
      </c>
      <c r="H9" s="916"/>
      <c r="I9" s="917"/>
      <c r="J9" s="587" t="s">
        <v>200</v>
      </c>
      <c r="K9" s="587" t="s">
        <v>201</v>
      </c>
      <c r="L9" s="587" t="s">
        <v>202</v>
      </c>
      <c r="M9" s="587" t="s">
        <v>221</v>
      </c>
      <c r="N9" s="587" t="s">
        <v>222</v>
      </c>
      <c r="O9" s="587" t="s">
        <v>205</v>
      </c>
      <c r="P9" s="587" t="s">
        <v>206</v>
      </c>
    </row>
    <row r="10" spans="2:19" ht="18" customHeight="1">
      <c r="B10" s="319"/>
      <c r="C10" s="587"/>
      <c r="D10" s="318"/>
      <c r="E10" s="321"/>
      <c r="F10" s="321"/>
      <c r="G10" s="603" t="s">
        <v>223</v>
      </c>
      <c r="H10" s="604" t="s">
        <v>224</v>
      </c>
      <c r="I10" s="603" t="s">
        <v>225</v>
      </c>
      <c r="J10" s="587"/>
      <c r="K10" s="587"/>
      <c r="L10" s="587"/>
      <c r="M10" s="587"/>
      <c r="N10" s="587"/>
      <c r="O10" s="321"/>
      <c r="P10" s="587"/>
      <c r="Q10" s="587"/>
      <c r="R10" s="587"/>
    </row>
    <row r="11" spans="2:19" ht="18" customHeight="1">
      <c r="B11" s="323"/>
      <c r="C11" s="324" t="s">
        <v>207</v>
      </c>
      <c r="D11" s="324" t="s">
        <v>207</v>
      </c>
      <c r="E11" s="325" t="s">
        <v>207</v>
      </c>
      <c r="F11" s="324" t="s">
        <v>207</v>
      </c>
      <c r="G11" s="324"/>
      <c r="H11" s="324"/>
      <c r="I11" s="324" t="s">
        <v>208</v>
      </c>
      <c r="J11" s="324" t="s">
        <v>207</v>
      </c>
      <c r="K11" s="324" t="s">
        <v>209</v>
      </c>
      <c r="L11" s="324" t="s">
        <v>207</v>
      </c>
      <c r="M11" s="324" t="s">
        <v>207</v>
      </c>
      <c r="N11" s="324" t="s">
        <v>207</v>
      </c>
      <c r="O11" s="324" t="s">
        <v>209</v>
      </c>
      <c r="P11" s="324" t="s">
        <v>207</v>
      </c>
    </row>
    <row r="12" spans="2:19" ht="18" customHeight="1">
      <c r="B12" s="850" t="s">
        <v>226</v>
      </c>
      <c r="C12" s="852"/>
      <c r="D12" s="853"/>
      <c r="E12" s="334" t="str">
        <f>IF(C12="","",C12-D12)</f>
        <v/>
      </c>
      <c r="F12" s="853">
        <f>F91</f>
        <v>0</v>
      </c>
      <c r="G12" s="333">
        <v>538000</v>
      </c>
      <c r="H12" s="600"/>
      <c r="I12" s="333">
        <f>G12*H12</f>
        <v>0</v>
      </c>
      <c r="J12" s="335">
        <f>IF(I12="","",MIN(F12:I12))</f>
        <v>0</v>
      </c>
      <c r="K12" s="335" t="str">
        <f>IF(E12="","",IF(OR($S$6=#REF!,$S$6=#REF!),MIN(E12,J12)*0.5,MIN(E12,J12)))</f>
        <v/>
      </c>
      <c r="L12" s="335" t="str">
        <f>IFERROR(ROUNDDOWN(K12,-3),"")</f>
        <v/>
      </c>
      <c r="M12" s="856"/>
      <c r="N12" s="335"/>
      <c r="O12" s="902"/>
      <c r="P12" s="902"/>
      <c r="Q12" s="313">
        <v>78</v>
      </c>
    </row>
    <row r="13" spans="2:19" ht="18" customHeight="1">
      <c r="B13" s="851" t="s">
        <v>227</v>
      </c>
      <c r="C13" s="854"/>
      <c r="D13" s="855"/>
      <c r="E13" s="337" t="str">
        <f>IF(C13="","",C13-D13)</f>
        <v/>
      </c>
      <c r="F13" s="855"/>
      <c r="G13" s="336">
        <v>250000</v>
      </c>
      <c r="H13" s="605"/>
      <c r="I13" s="336">
        <v>250000</v>
      </c>
      <c r="J13" s="338">
        <f>IF(I13="","",MIN(F13:I13))</f>
        <v>250000</v>
      </c>
      <c r="K13" s="338" t="str">
        <f>IF(E13="","",IF(OR($S$6=#REF!,$S$6=#REF!),MIN(E13,J13)*0.5,MIN(E13,J13)))</f>
        <v/>
      </c>
      <c r="L13" s="338" t="str">
        <f>IFERROR(ROUNDDOWN(K13,-3),"")</f>
        <v/>
      </c>
      <c r="M13" s="857"/>
      <c r="N13" s="338"/>
      <c r="O13" s="903"/>
      <c r="P13" s="903"/>
      <c r="Q13" s="313" t="s">
        <v>228</v>
      </c>
    </row>
    <row r="14" spans="2:19" ht="18" customHeight="1">
      <c r="B14" s="172" t="s">
        <v>210</v>
      </c>
      <c r="C14" s="339" t="str">
        <f>IF(SUM(C12:C13)=0,"",SUM(C12:C13))</f>
        <v/>
      </c>
      <c r="D14" s="339" t="str">
        <f t="shared" ref="D14:K14" si="0">IF(SUM(D12:D13)=0,"",SUM(D12:D13))</f>
        <v/>
      </c>
      <c r="E14" s="339" t="str">
        <f t="shared" si="0"/>
        <v/>
      </c>
      <c r="F14" s="339" t="str">
        <f>IF(SUM(F12:F13)=0,"",SUM(F12:F13))</f>
        <v/>
      </c>
      <c r="G14" s="339"/>
      <c r="H14" s="339"/>
      <c r="I14" s="339">
        <f>IF(SUM(I12:I13)=0,"",SUM(I12:I13))</f>
        <v>250000</v>
      </c>
      <c r="J14" s="339">
        <f>IF(SUM(J12:J13)=0,"",SUM(J12:J13))</f>
        <v>250000</v>
      </c>
      <c r="K14" s="339" t="str">
        <f t="shared" si="0"/>
        <v/>
      </c>
      <c r="L14" s="339" t="str">
        <f>IF(SUM(L12:L13)=0,"",SUM(L12:L13))</f>
        <v/>
      </c>
      <c r="M14" s="339"/>
      <c r="N14" s="339"/>
      <c r="O14" s="339" t="str">
        <f>IF(SUM(O12:O12)=0,"",SUM(O12:O12))</f>
        <v/>
      </c>
      <c r="P14" s="339" t="str">
        <f>IF(SUM(P12:P12)=0,"",SUM(P12:P12))</f>
        <v/>
      </c>
    </row>
    <row r="15" spans="2:19" ht="18" customHeight="1">
      <c r="C15" s="602"/>
      <c r="D15" s="602"/>
    </row>
    <row r="16" spans="2:19" ht="18" customHeight="1">
      <c r="B16" s="311" t="s">
        <v>211</v>
      </c>
    </row>
    <row r="17" spans="2:17" ht="18" customHeight="1">
      <c r="B17" s="896" t="s">
        <v>212</v>
      </c>
      <c r="C17" s="897"/>
      <c r="D17" s="898"/>
      <c r="E17" s="896" t="s">
        <v>213</v>
      </c>
      <c r="F17" s="898"/>
      <c r="G17" s="896" t="s">
        <v>214</v>
      </c>
      <c r="H17" s="897"/>
      <c r="I17" s="897"/>
      <c r="J17" s="897"/>
      <c r="K17" s="897"/>
      <c r="L17" s="897"/>
      <c r="M17" s="897"/>
      <c r="N17" s="897"/>
      <c r="O17" s="897"/>
      <c r="P17" s="898"/>
    </row>
    <row r="18" spans="2:17" ht="18" customHeight="1">
      <c r="B18" s="904"/>
      <c r="C18" s="905"/>
      <c r="D18" s="906"/>
      <c r="E18" s="327"/>
      <c r="F18" s="328" t="s">
        <v>209</v>
      </c>
      <c r="G18" s="606"/>
      <c r="H18" s="606"/>
      <c r="I18" s="607"/>
      <c r="J18" s="311"/>
      <c r="K18" s="311"/>
      <c r="L18" s="311"/>
      <c r="M18" s="311"/>
      <c r="N18" s="311"/>
      <c r="O18" s="578"/>
      <c r="P18" s="579"/>
    </row>
    <row r="19" spans="2:17" ht="18" customHeight="1">
      <c r="B19" s="899" t="str">
        <f>IFERROR(VLOOKUP(第2号様式!$L$2,様式リスト!$B:$CC,Q19,0),"")</f>
        <v>１　広域連携型プログラム作成経費</v>
      </c>
      <c r="C19" s="900"/>
      <c r="D19" s="901"/>
      <c r="E19" s="327"/>
      <c r="F19" s="858"/>
      <c r="G19" s="863"/>
      <c r="H19" s="863"/>
      <c r="I19" s="864"/>
      <c r="J19" s="860"/>
      <c r="K19" s="860"/>
      <c r="L19" s="860"/>
      <c r="M19" s="860"/>
      <c r="N19" s="860"/>
      <c r="O19" s="860"/>
      <c r="P19" s="861"/>
      <c r="Q19" s="313">
        <v>58</v>
      </c>
    </row>
    <row r="20" spans="2:17" ht="18" customHeight="1">
      <c r="B20" s="899" t="str">
        <f>IFERROR(VLOOKUP(第2号様式!$L$2,様式リスト!$B:$CC,Q20,0),"")</f>
        <v>　職員基本給</v>
      </c>
      <c r="C20" s="900"/>
      <c r="D20" s="901"/>
      <c r="E20" s="327"/>
      <c r="F20" s="858"/>
      <c r="G20" s="863"/>
      <c r="H20" s="863"/>
      <c r="I20" s="864"/>
      <c r="J20" s="860"/>
      <c r="K20" s="860"/>
      <c r="L20" s="860"/>
      <c r="M20" s="860"/>
      <c r="N20" s="860"/>
      <c r="O20" s="860"/>
      <c r="P20" s="861"/>
      <c r="Q20" s="313">
        <v>59</v>
      </c>
    </row>
    <row r="21" spans="2:17" ht="18" customHeight="1">
      <c r="B21" s="899" t="str">
        <f>IFERROR(VLOOKUP(第2号様式!$L$2,様式リスト!$B:$CC,Q21,0),"")</f>
        <v>職員諸手当（非常勤含む）</v>
      </c>
      <c r="C21" s="900"/>
      <c r="D21" s="901"/>
      <c r="E21" s="327"/>
      <c r="F21" s="858"/>
      <c r="G21" s="863"/>
      <c r="H21" s="863"/>
      <c r="I21" s="860"/>
      <c r="J21" s="860"/>
      <c r="K21" s="860"/>
      <c r="L21" s="860"/>
      <c r="M21" s="860"/>
      <c r="N21" s="860"/>
      <c r="O21" s="860"/>
      <c r="P21" s="861"/>
      <c r="Q21" s="313">
        <v>60</v>
      </c>
    </row>
    <row r="22" spans="2:17" ht="18" customHeight="1">
      <c r="B22" s="899" t="str">
        <f>IFERROR(VLOOKUP(第2号様式!$L$2,様式リスト!$B:$CC,Q22,0),"")</f>
        <v>非常勤職員諸手当（事務補助者雇上経費）</v>
      </c>
      <c r="C22" s="900"/>
      <c r="D22" s="901"/>
      <c r="E22" s="327"/>
      <c r="F22" s="858"/>
      <c r="G22" s="863"/>
      <c r="H22" s="863"/>
      <c r="I22" s="860"/>
      <c r="J22" s="860"/>
      <c r="K22" s="860"/>
      <c r="L22" s="860"/>
      <c r="M22" s="860"/>
      <c r="N22" s="860"/>
      <c r="O22" s="860"/>
      <c r="P22" s="861"/>
      <c r="Q22" s="313">
        <v>61</v>
      </c>
    </row>
    <row r="23" spans="2:17" ht="18" customHeight="1">
      <c r="B23" s="899" t="str">
        <f>IFERROR(VLOOKUP(第2号様式!$L$2,様式リスト!$B:$CC,Q23,0),"")</f>
        <v>諸謝金</v>
      </c>
      <c r="C23" s="900"/>
      <c r="D23" s="901"/>
      <c r="E23" s="327"/>
      <c r="F23" s="858"/>
      <c r="G23" s="863"/>
      <c r="H23" s="863"/>
      <c r="I23" s="860"/>
      <c r="J23" s="860"/>
      <c r="K23" s="860"/>
      <c r="L23" s="860"/>
      <c r="M23" s="860"/>
      <c r="N23" s="860"/>
      <c r="O23" s="860"/>
      <c r="P23" s="861"/>
      <c r="Q23" s="313">
        <v>62</v>
      </c>
    </row>
    <row r="24" spans="2:17" ht="18" customHeight="1">
      <c r="B24" s="899" t="str">
        <f>IFERROR(VLOOKUP(第2号様式!$L$2,様式リスト!$B:$CC,Q24,0),"")</f>
        <v>旅費</v>
      </c>
      <c r="C24" s="900"/>
      <c r="D24" s="901"/>
      <c r="E24" s="327"/>
      <c r="F24" s="858"/>
      <c r="G24" s="863"/>
      <c r="H24" s="863"/>
      <c r="I24" s="860"/>
      <c r="J24" s="860"/>
      <c r="K24" s="860"/>
      <c r="L24" s="860"/>
      <c r="M24" s="860"/>
      <c r="N24" s="860"/>
      <c r="O24" s="860"/>
      <c r="P24" s="861"/>
      <c r="Q24" s="313">
        <v>63</v>
      </c>
    </row>
    <row r="25" spans="2:17" ht="18" customHeight="1">
      <c r="B25" s="899" t="str">
        <f>IFERROR(VLOOKUP(第2号様式!$L$2,様式リスト!$B:$CC,Q25,0),"")</f>
        <v>消耗品費</v>
      </c>
      <c r="C25" s="900"/>
      <c r="D25" s="901"/>
      <c r="E25" s="327"/>
      <c r="F25" s="858"/>
      <c r="G25" s="863"/>
      <c r="H25" s="863"/>
      <c r="I25" s="860"/>
      <c r="J25" s="860"/>
      <c r="K25" s="860"/>
      <c r="L25" s="860"/>
      <c r="M25" s="860"/>
      <c r="N25" s="860"/>
      <c r="O25" s="860"/>
      <c r="P25" s="861"/>
      <c r="Q25" s="313">
        <v>64</v>
      </c>
    </row>
    <row r="26" spans="2:17" ht="18" customHeight="1">
      <c r="B26" s="899" t="str">
        <f>IFERROR(VLOOKUP(第2号様式!$L$2,様式リスト!$B:$CC,Q26,0),"")</f>
        <v>印刷製本費</v>
      </c>
      <c r="C26" s="900"/>
      <c r="D26" s="901"/>
      <c r="E26" s="327"/>
      <c r="F26" s="858"/>
      <c r="G26" s="863"/>
      <c r="H26" s="863"/>
      <c r="I26" s="860"/>
      <c r="J26" s="860"/>
      <c r="K26" s="860"/>
      <c r="L26" s="860"/>
      <c r="M26" s="860"/>
      <c r="N26" s="860"/>
      <c r="O26" s="860"/>
      <c r="P26" s="861"/>
      <c r="Q26" s="313">
        <v>65</v>
      </c>
    </row>
    <row r="27" spans="2:17" ht="18" customHeight="1">
      <c r="B27" s="899" t="str">
        <f>IFERROR(VLOOKUP(第2号様式!$L$2,様式リスト!$B:$CC,Q27,0),"")</f>
        <v>通信運搬費</v>
      </c>
      <c r="C27" s="900"/>
      <c r="D27" s="901"/>
      <c r="E27" s="327"/>
      <c r="F27" s="858"/>
      <c r="G27" s="863"/>
      <c r="H27" s="863"/>
      <c r="I27" s="860"/>
      <c r="J27" s="860"/>
      <c r="K27" s="860"/>
      <c r="L27" s="860"/>
      <c r="M27" s="860"/>
      <c r="N27" s="860"/>
      <c r="O27" s="860"/>
      <c r="P27" s="861"/>
      <c r="Q27" s="313">
        <v>66</v>
      </c>
    </row>
    <row r="28" spans="2:17" ht="18" customHeight="1">
      <c r="B28" s="899" t="str">
        <f>IFERROR(VLOOKUP(第2号様式!$L$2,様式リスト!$B:$CC,Q28,0),"")</f>
        <v>会議費</v>
      </c>
      <c r="C28" s="900"/>
      <c r="D28" s="901"/>
      <c r="E28" s="327"/>
      <c r="F28" s="858"/>
      <c r="G28" s="863"/>
      <c r="H28" s="863"/>
      <c r="I28" s="860"/>
      <c r="J28" s="860"/>
      <c r="K28" s="860"/>
      <c r="L28" s="860"/>
      <c r="M28" s="860"/>
      <c r="N28" s="860"/>
      <c r="O28" s="860"/>
      <c r="P28" s="861"/>
      <c r="Q28" s="313">
        <v>67</v>
      </c>
    </row>
    <row r="29" spans="2:17" ht="18" customHeight="1">
      <c r="B29" s="899" t="str">
        <f>IFERROR(VLOOKUP(第2号様式!$L$2,様式リスト!$B:$CC,Q29,0),"")</f>
        <v/>
      </c>
      <c r="C29" s="900"/>
      <c r="D29" s="901"/>
      <c r="E29" s="327"/>
      <c r="F29" s="858"/>
      <c r="G29" s="863"/>
      <c r="H29" s="863"/>
      <c r="I29" s="860"/>
      <c r="J29" s="860"/>
      <c r="K29" s="860"/>
      <c r="L29" s="860"/>
      <c r="M29" s="860"/>
      <c r="N29" s="860"/>
      <c r="O29" s="860"/>
      <c r="P29" s="861"/>
    </row>
    <row r="30" spans="2:17" ht="18" customHeight="1">
      <c r="B30" s="899" t="str">
        <f>IFERROR(VLOOKUP(第2号様式!$L$2,様式リスト!$B:$CC,Q30,0),"")</f>
        <v>２　第三者評価受審経費</v>
      </c>
      <c r="C30" s="900"/>
      <c r="D30" s="901"/>
      <c r="E30" s="327"/>
      <c r="F30" s="858"/>
      <c r="G30" s="863"/>
      <c r="H30" s="863"/>
      <c r="I30" s="860"/>
      <c r="J30" s="860"/>
      <c r="K30" s="860"/>
      <c r="L30" s="860"/>
      <c r="M30" s="860"/>
      <c r="N30" s="860"/>
      <c r="O30" s="860"/>
      <c r="P30" s="861"/>
      <c r="Q30" s="313">
        <v>68</v>
      </c>
    </row>
    <row r="31" spans="2:17" ht="18" customHeight="1">
      <c r="B31" s="899" t="str">
        <f>IFERROR(VLOOKUP(第2号様式!$L$2,様式リスト!$B:$CC,Q31,0),"")</f>
        <v>雑役務費（手数料等）</v>
      </c>
      <c r="C31" s="900"/>
      <c r="D31" s="901"/>
      <c r="E31" s="327"/>
      <c r="F31" s="858"/>
      <c r="G31" s="863"/>
      <c r="H31" s="863"/>
      <c r="I31" s="860"/>
      <c r="J31" s="860"/>
      <c r="K31" s="860"/>
      <c r="L31" s="860"/>
      <c r="M31" s="860"/>
      <c r="N31" s="860"/>
      <c r="O31" s="860"/>
      <c r="P31" s="861"/>
      <c r="Q31" s="313">
        <v>69</v>
      </c>
    </row>
    <row r="32" spans="2:17" ht="18" customHeight="1">
      <c r="B32" s="899" t="str">
        <f>IFERROR(VLOOKUP(第2号様式!$L$2,#REF!,Q32,0),"")</f>
        <v/>
      </c>
      <c r="C32" s="900"/>
      <c r="D32" s="901"/>
      <c r="E32" s="327"/>
      <c r="F32" s="858"/>
      <c r="G32" s="863"/>
      <c r="H32" s="863"/>
      <c r="I32" s="860"/>
      <c r="J32" s="860"/>
      <c r="K32" s="860"/>
      <c r="L32" s="860"/>
      <c r="M32" s="860"/>
      <c r="N32" s="860"/>
      <c r="O32" s="860"/>
      <c r="P32" s="861"/>
    </row>
    <row r="33" spans="2:16" ht="18" customHeight="1">
      <c r="B33" s="899" t="str">
        <f>IFERROR(VLOOKUP(第2号様式!$L$2,#REF!,Q33,0),"")</f>
        <v/>
      </c>
      <c r="C33" s="900"/>
      <c r="D33" s="901"/>
      <c r="E33" s="327"/>
      <c r="F33" s="858"/>
      <c r="G33" s="863"/>
      <c r="H33" s="863"/>
      <c r="I33" s="860"/>
      <c r="J33" s="860"/>
      <c r="K33" s="860"/>
      <c r="L33" s="860"/>
      <c r="M33" s="860"/>
      <c r="N33" s="860"/>
      <c r="O33" s="860"/>
      <c r="P33" s="861"/>
    </row>
    <row r="34" spans="2:16" ht="18" customHeight="1">
      <c r="B34" s="899" t="str">
        <f>IFERROR(VLOOKUP(第2号様式!$L$2,#REF!,Q34,0),"")</f>
        <v/>
      </c>
      <c r="C34" s="900"/>
      <c r="D34" s="901"/>
      <c r="E34" s="327"/>
      <c r="F34" s="858"/>
      <c r="G34" s="863"/>
      <c r="H34" s="863"/>
      <c r="I34" s="860"/>
      <c r="J34" s="860"/>
      <c r="K34" s="860"/>
      <c r="L34" s="860"/>
      <c r="M34" s="860"/>
      <c r="N34" s="860"/>
      <c r="O34" s="860"/>
      <c r="P34" s="861"/>
    </row>
    <row r="35" spans="2:16" ht="18" customHeight="1">
      <c r="B35" s="899" t="str">
        <f>IFERROR(VLOOKUP(第2号様式!$L$2,#REF!,Q35,0),"")</f>
        <v/>
      </c>
      <c r="C35" s="900"/>
      <c r="D35" s="901"/>
      <c r="E35" s="327"/>
      <c r="F35" s="858"/>
      <c r="G35" s="863"/>
      <c r="H35" s="863"/>
      <c r="I35" s="860"/>
      <c r="J35" s="860"/>
      <c r="K35" s="860"/>
      <c r="L35" s="860"/>
      <c r="M35" s="860"/>
      <c r="N35" s="860"/>
      <c r="O35" s="860"/>
      <c r="P35" s="861"/>
    </row>
    <row r="36" spans="2:16" ht="18" customHeight="1">
      <c r="B36" s="899" t="str">
        <f>IFERROR(VLOOKUP(第2号様式!$L$2,#REF!,Q36,0),"")</f>
        <v/>
      </c>
      <c r="C36" s="900"/>
      <c r="D36" s="901"/>
      <c r="E36" s="327"/>
      <c r="F36" s="858"/>
      <c r="G36" s="863"/>
      <c r="H36" s="863"/>
      <c r="I36" s="860"/>
      <c r="J36" s="860"/>
      <c r="K36" s="860"/>
      <c r="L36" s="860"/>
      <c r="M36" s="860"/>
      <c r="N36" s="860"/>
      <c r="O36" s="860"/>
      <c r="P36" s="861"/>
    </row>
    <row r="37" spans="2:16" ht="18" customHeight="1">
      <c r="B37" s="899" t="str">
        <f>IFERROR(VLOOKUP(第2号様式!$L$2,#REF!,Q37,0),"")</f>
        <v/>
      </c>
      <c r="C37" s="900"/>
      <c r="D37" s="901"/>
      <c r="E37" s="327"/>
      <c r="F37" s="858"/>
      <c r="G37" s="863"/>
      <c r="H37" s="863"/>
      <c r="I37" s="860"/>
      <c r="J37" s="860"/>
      <c r="K37" s="860"/>
      <c r="L37" s="860"/>
      <c r="M37" s="860"/>
      <c r="N37" s="860"/>
      <c r="O37" s="860"/>
      <c r="P37" s="861"/>
    </row>
    <row r="38" spans="2:16" ht="18" customHeight="1">
      <c r="B38" s="899" t="str">
        <f>IFERROR(VLOOKUP(第2号様式!$L$2,#REF!,Q38,0),"")</f>
        <v/>
      </c>
      <c r="C38" s="900"/>
      <c r="D38" s="901"/>
      <c r="E38" s="327"/>
      <c r="F38" s="858"/>
      <c r="G38" s="863"/>
      <c r="H38" s="863"/>
      <c r="I38" s="860"/>
      <c r="J38" s="860"/>
      <c r="K38" s="860"/>
      <c r="L38" s="860"/>
      <c r="M38" s="860"/>
      <c r="N38" s="860"/>
      <c r="O38" s="860"/>
      <c r="P38" s="861"/>
    </row>
    <row r="39" spans="2:16" ht="18" customHeight="1">
      <c r="B39" s="899" t="str">
        <f>IFERROR(VLOOKUP(第2号様式!$L$2,#REF!,Q39,0),"")</f>
        <v/>
      </c>
      <c r="C39" s="900"/>
      <c r="D39" s="901"/>
      <c r="E39" s="327"/>
      <c r="F39" s="858"/>
      <c r="G39" s="863"/>
      <c r="H39" s="863"/>
      <c r="I39" s="860"/>
      <c r="J39" s="860"/>
      <c r="K39" s="860"/>
      <c r="L39" s="860"/>
      <c r="M39" s="860"/>
      <c r="N39" s="860"/>
      <c r="O39" s="860"/>
      <c r="P39" s="861"/>
    </row>
    <row r="40" spans="2:16" ht="18" customHeight="1">
      <c r="B40" s="899" t="str">
        <f>IFERROR(VLOOKUP(第2号様式!$L$2,#REF!,Q40,0),"")</f>
        <v/>
      </c>
      <c r="C40" s="900"/>
      <c r="D40" s="901"/>
      <c r="E40" s="327"/>
      <c r="F40" s="858"/>
      <c r="G40" s="863"/>
      <c r="H40" s="863"/>
      <c r="I40" s="860"/>
      <c r="J40" s="860"/>
      <c r="K40" s="860"/>
      <c r="L40" s="860"/>
      <c r="M40" s="860"/>
      <c r="N40" s="860"/>
      <c r="O40" s="860"/>
      <c r="P40" s="861"/>
    </row>
    <row r="41" spans="2:16" ht="18" customHeight="1">
      <c r="B41" s="899" t="str">
        <f>IFERROR(VLOOKUP(第2号様式!$L$2,#REF!,Q41,0),"")</f>
        <v/>
      </c>
      <c r="C41" s="900"/>
      <c r="D41" s="901"/>
      <c r="E41" s="327"/>
      <c r="F41" s="858"/>
      <c r="G41" s="863"/>
      <c r="H41" s="863"/>
      <c r="I41" s="860"/>
      <c r="J41" s="860"/>
      <c r="K41" s="860"/>
      <c r="L41" s="860"/>
      <c r="M41" s="860"/>
      <c r="N41" s="860"/>
      <c r="O41" s="860"/>
      <c r="P41" s="861"/>
    </row>
    <row r="42" spans="2:16" ht="18" customHeight="1">
      <c r="B42" s="899" t="str">
        <f>IFERROR(VLOOKUP(第2号様式!$L$2,#REF!,Q42,0),"")</f>
        <v/>
      </c>
      <c r="C42" s="900"/>
      <c r="D42" s="901"/>
      <c r="E42" s="327"/>
      <c r="F42" s="858"/>
      <c r="G42" s="863"/>
      <c r="H42" s="863"/>
      <c r="I42" s="860"/>
      <c r="J42" s="860"/>
      <c r="K42" s="860"/>
      <c r="L42" s="860"/>
      <c r="M42" s="860"/>
      <c r="N42" s="860"/>
      <c r="O42" s="860"/>
      <c r="P42" s="861"/>
    </row>
    <row r="43" spans="2:16" ht="18" customHeight="1">
      <c r="B43" s="899" t="str">
        <f>IFERROR(VLOOKUP(第2号様式!$L$2,#REF!,Q43,0),"")</f>
        <v/>
      </c>
      <c r="C43" s="900"/>
      <c r="D43" s="901"/>
      <c r="E43" s="327"/>
      <c r="F43" s="858"/>
      <c r="G43" s="863"/>
      <c r="H43" s="863"/>
      <c r="I43" s="860"/>
      <c r="J43" s="860"/>
      <c r="K43" s="860"/>
      <c r="L43" s="860"/>
      <c r="M43" s="860"/>
      <c r="N43" s="860"/>
      <c r="O43" s="860"/>
      <c r="P43" s="861"/>
    </row>
    <row r="44" spans="2:16" ht="18" customHeight="1">
      <c r="B44" s="899" t="str">
        <f>IFERROR(VLOOKUP(第2号様式!$L$2,#REF!,Q44,0),"")</f>
        <v/>
      </c>
      <c r="C44" s="900"/>
      <c r="D44" s="901"/>
      <c r="E44" s="327"/>
      <c r="F44" s="858"/>
      <c r="G44" s="863"/>
      <c r="H44" s="863"/>
      <c r="I44" s="860"/>
      <c r="J44" s="860"/>
      <c r="K44" s="860"/>
      <c r="L44" s="860"/>
      <c r="M44" s="860"/>
      <c r="N44" s="860"/>
      <c r="O44" s="860"/>
      <c r="P44" s="861"/>
    </row>
    <row r="45" spans="2:16" ht="18" customHeight="1">
      <c r="B45" s="899" t="str">
        <f>IFERROR(VLOOKUP(第2号様式!$L$2,#REF!,Q45,0),"")</f>
        <v/>
      </c>
      <c r="C45" s="900"/>
      <c r="D45" s="901"/>
      <c r="E45" s="327"/>
      <c r="F45" s="858"/>
      <c r="G45" s="863"/>
      <c r="H45" s="863"/>
      <c r="I45" s="860"/>
      <c r="J45" s="860"/>
      <c r="K45" s="860"/>
      <c r="L45" s="860"/>
      <c r="M45" s="860"/>
      <c r="N45" s="860"/>
      <c r="O45" s="860"/>
      <c r="P45" s="861"/>
    </row>
    <row r="46" spans="2:16" ht="18" customHeight="1">
      <c r="B46" s="899" t="str">
        <f>IFERROR(VLOOKUP(第2号様式!$L$2,#REF!,Q46,0),"")</f>
        <v/>
      </c>
      <c r="C46" s="900"/>
      <c r="D46" s="901"/>
      <c r="E46" s="327"/>
      <c r="F46" s="858"/>
      <c r="G46" s="863"/>
      <c r="H46" s="863"/>
      <c r="I46" s="860"/>
      <c r="J46" s="860"/>
      <c r="K46" s="860"/>
      <c r="L46" s="860"/>
      <c r="M46" s="860"/>
      <c r="N46" s="860"/>
      <c r="O46" s="860"/>
      <c r="P46" s="861"/>
    </row>
    <row r="47" spans="2:16" ht="18" customHeight="1">
      <c r="B47" s="899" t="str">
        <f>IFERROR(VLOOKUP(第2号様式!$L$2,#REF!,Q47,0),"")</f>
        <v/>
      </c>
      <c r="C47" s="900"/>
      <c r="D47" s="901"/>
      <c r="E47" s="327"/>
      <c r="F47" s="858"/>
      <c r="G47" s="863"/>
      <c r="H47" s="863"/>
      <c r="I47" s="860"/>
      <c r="J47" s="860"/>
      <c r="K47" s="860"/>
      <c r="L47" s="860"/>
      <c r="M47" s="860"/>
      <c r="N47" s="860"/>
      <c r="O47" s="860"/>
      <c r="P47" s="861"/>
    </row>
    <row r="48" spans="2:16" ht="18" customHeight="1">
      <c r="B48" s="899" t="str">
        <f>IFERROR(VLOOKUP(第2号様式!$L$2,#REF!,Q48,0),"")</f>
        <v/>
      </c>
      <c r="C48" s="900"/>
      <c r="D48" s="901"/>
      <c r="E48" s="327"/>
      <c r="F48" s="858"/>
      <c r="G48" s="863"/>
      <c r="H48" s="863"/>
      <c r="I48" s="860"/>
      <c r="J48" s="860"/>
      <c r="K48" s="860"/>
      <c r="L48" s="860"/>
      <c r="M48" s="860"/>
      <c r="N48" s="860"/>
      <c r="O48" s="860"/>
      <c r="P48" s="861"/>
    </row>
    <row r="49" spans="2:16" ht="18" customHeight="1">
      <c r="B49" s="899" t="str">
        <f>IFERROR(VLOOKUP(第2号様式!$L$2,#REF!,Q49,0),"")</f>
        <v/>
      </c>
      <c r="C49" s="900"/>
      <c r="D49" s="901"/>
      <c r="E49" s="327"/>
      <c r="F49" s="858"/>
      <c r="G49" s="863"/>
      <c r="H49" s="863"/>
      <c r="I49" s="860"/>
      <c r="J49" s="860"/>
      <c r="K49" s="860"/>
      <c r="L49" s="860"/>
      <c r="M49" s="860"/>
      <c r="N49" s="860"/>
      <c r="O49" s="860"/>
      <c r="P49" s="861"/>
    </row>
    <row r="50" spans="2:16" ht="18" customHeight="1">
      <c r="B50" s="899" t="str">
        <f>IFERROR(VLOOKUP(第2号様式!$L$2,#REF!,Q50,0),"")</f>
        <v/>
      </c>
      <c r="C50" s="900"/>
      <c r="D50" s="901"/>
      <c r="E50" s="327"/>
      <c r="F50" s="858"/>
      <c r="G50" s="863"/>
      <c r="H50" s="863"/>
      <c r="I50" s="860"/>
      <c r="J50" s="860"/>
      <c r="K50" s="860"/>
      <c r="L50" s="860"/>
      <c r="M50" s="860"/>
      <c r="N50" s="860"/>
      <c r="O50" s="860"/>
      <c r="P50" s="861"/>
    </row>
    <row r="51" spans="2:16" ht="18" customHeight="1">
      <c r="B51" s="899" t="str">
        <f>IFERROR(VLOOKUP(第2号様式!$L$2,#REF!,Q51,0),"")</f>
        <v/>
      </c>
      <c r="C51" s="900"/>
      <c r="D51" s="901"/>
      <c r="E51" s="327"/>
      <c r="F51" s="858"/>
      <c r="G51" s="863"/>
      <c r="H51" s="863"/>
      <c r="I51" s="860"/>
      <c r="J51" s="860"/>
      <c r="K51" s="860"/>
      <c r="L51" s="860"/>
      <c r="M51" s="860"/>
      <c r="N51" s="860"/>
      <c r="O51" s="860"/>
      <c r="P51" s="861"/>
    </row>
    <row r="52" spans="2:16" ht="18" customHeight="1">
      <c r="B52" s="899" t="str">
        <f>IFERROR(VLOOKUP(第2号様式!$L$2,#REF!,Q52,0),"")</f>
        <v/>
      </c>
      <c r="C52" s="900"/>
      <c r="D52" s="901"/>
      <c r="E52" s="327"/>
      <c r="F52" s="858"/>
      <c r="G52" s="863"/>
      <c r="H52" s="863"/>
      <c r="I52" s="860"/>
      <c r="J52" s="860"/>
      <c r="K52" s="860"/>
      <c r="L52" s="860"/>
      <c r="M52" s="860"/>
      <c r="N52" s="860"/>
      <c r="O52" s="860"/>
      <c r="P52" s="861"/>
    </row>
    <row r="53" spans="2:16" ht="18" customHeight="1">
      <c r="B53" s="899" t="str">
        <f>IFERROR(VLOOKUP(第2号様式!$L$2,#REF!,Q53,0),"")</f>
        <v/>
      </c>
      <c r="C53" s="900"/>
      <c r="D53" s="901"/>
      <c r="E53" s="327"/>
      <c r="F53" s="858"/>
      <c r="G53" s="863"/>
      <c r="H53" s="863"/>
      <c r="I53" s="860"/>
      <c r="J53" s="860"/>
      <c r="K53" s="860"/>
      <c r="L53" s="860"/>
      <c r="M53" s="860"/>
      <c r="N53" s="860"/>
      <c r="O53" s="860"/>
      <c r="P53" s="861"/>
    </row>
    <row r="54" spans="2:16" ht="18" customHeight="1">
      <c r="B54" s="899" t="str">
        <f>IFERROR(VLOOKUP(第2号様式!$L$2,#REF!,Q54,0),"")</f>
        <v/>
      </c>
      <c r="C54" s="900"/>
      <c r="D54" s="901"/>
      <c r="E54" s="327"/>
      <c r="F54" s="858"/>
      <c r="G54" s="863"/>
      <c r="H54" s="863"/>
      <c r="I54" s="860"/>
      <c r="J54" s="860"/>
      <c r="K54" s="860"/>
      <c r="L54" s="860"/>
      <c r="M54" s="860"/>
      <c r="N54" s="860"/>
      <c r="O54" s="860"/>
      <c r="P54" s="861"/>
    </row>
    <row r="55" spans="2:16" ht="18" customHeight="1">
      <c r="B55" s="899" t="str">
        <f>IFERROR(VLOOKUP(第2号様式!$L$2,#REF!,Q55,0),"")</f>
        <v/>
      </c>
      <c r="C55" s="900"/>
      <c r="D55" s="901"/>
      <c r="E55" s="327"/>
      <c r="F55" s="858"/>
      <c r="G55" s="863"/>
      <c r="H55" s="863"/>
      <c r="I55" s="860"/>
      <c r="J55" s="860"/>
      <c r="K55" s="860"/>
      <c r="L55" s="860"/>
      <c r="M55" s="860"/>
      <c r="N55" s="860"/>
      <c r="O55" s="860"/>
      <c r="P55" s="861"/>
    </row>
    <row r="56" spans="2:16" ht="18" customHeight="1">
      <c r="B56" s="899" t="str">
        <f>IFERROR(VLOOKUP(第2号様式!$L$2,#REF!,Q56,0),"")</f>
        <v/>
      </c>
      <c r="C56" s="900"/>
      <c r="D56" s="901"/>
      <c r="E56" s="327"/>
      <c r="F56" s="858"/>
      <c r="G56" s="863"/>
      <c r="H56" s="863"/>
      <c r="I56" s="860"/>
      <c r="J56" s="860"/>
      <c r="K56" s="860"/>
      <c r="L56" s="860"/>
      <c r="M56" s="860"/>
      <c r="N56" s="860"/>
      <c r="O56" s="860"/>
      <c r="P56" s="861"/>
    </row>
    <row r="57" spans="2:16" ht="18" customHeight="1">
      <c r="B57" s="899" t="str">
        <f>IFERROR(VLOOKUP(第2号様式!$L$2,#REF!,Q57,0),"")</f>
        <v/>
      </c>
      <c r="C57" s="900"/>
      <c r="D57" s="901"/>
      <c r="E57" s="327"/>
      <c r="F57" s="858"/>
      <c r="G57" s="863"/>
      <c r="H57" s="863"/>
      <c r="I57" s="860"/>
      <c r="J57" s="860"/>
      <c r="K57" s="860"/>
      <c r="L57" s="860"/>
      <c r="M57" s="860"/>
      <c r="N57" s="860"/>
      <c r="O57" s="860"/>
      <c r="P57" s="861"/>
    </row>
    <row r="58" spans="2:16" ht="18" customHeight="1">
      <c r="B58" s="899" t="str">
        <f>IFERROR(VLOOKUP(第2号様式!$L$2,#REF!,Q58,0),"")</f>
        <v/>
      </c>
      <c r="C58" s="900"/>
      <c r="D58" s="901"/>
      <c r="E58" s="327"/>
      <c r="F58" s="858"/>
      <c r="G58" s="863"/>
      <c r="H58" s="863"/>
      <c r="I58" s="860"/>
      <c r="J58" s="860"/>
      <c r="K58" s="860"/>
      <c r="L58" s="860"/>
      <c r="M58" s="860"/>
      <c r="N58" s="860"/>
      <c r="O58" s="860"/>
      <c r="P58" s="861"/>
    </row>
    <row r="59" spans="2:16" ht="18" customHeight="1">
      <c r="B59" s="899" t="str">
        <f>IFERROR(VLOOKUP(第2号様式!$L$2,#REF!,Q59,0),"")</f>
        <v/>
      </c>
      <c r="C59" s="900"/>
      <c r="D59" s="901"/>
      <c r="E59" s="327"/>
      <c r="F59" s="858"/>
      <c r="G59" s="863"/>
      <c r="H59" s="863"/>
      <c r="I59" s="860"/>
      <c r="J59" s="860"/>
      <c r="K59" s="860"/>
      <c r="L59" s="860"/>
      <c r="M59" s="860"/>
      <c r="N59" s="860"/>
      <c r="O59" s="860"/>
      <c r="P59" s="861"/>
    </row>
    <row r="60" spans="2:16" ht="18" customHeight="1">
      <c r="B60" s="899" t="str">
        <f>IFERROR(VLOOKUP(第2号様式!$L$2,#REF!,Q60,0),"")</f>
        <v/>
      </c>
      <c r="C60" s="900"/>
      <c r="D60" s="901"/>
      <c r="E60" s="327"/>
      <c r="F60" s="858"/>
      <c r="G60" s="863"/>
      <c r="H60" s="863"/>
      <c r="I60" s="860"/>
      <c r="J60" s="860"/>
      <c r="K60" s="860"/>
      <c r="L60" s="860"/>
      <c r="M60" s="860"/>
      <c r="N60" s="860"/>
      <c r="O60" s="860"/>
      <c r="P60" s="861"/>
    </row>
    <row r="61" spans="2:16" ht="18" customHeight="1">
      <c r="B61" s="899" t="str">
        <f>IFERROR(VLOOKUP(第2号様式!$L$2,#REF!,Q61,0),"")</f>
        <v/>
      </c>
      <c r="C61" s="900"/>
      <c r="D61" s="901"/>
      <c r="E61" s="327"/>
      <c r="F61" s="858"/>
      <c r="G61" s="863"/>
      <c r="H61" s="863"/>
      <c r="I61" s="860"/>
      <c r="J61" s="860"/>
      <c r="K61" s="860"/>
      <c r="L61" s="860"/>
      <c r="M61" s="860"/>
      <c r="N61" s="860"/>
      <c r="O61" s="860"/>
      <c r="P61" s="861"/>
    </row>
    <row r="62" spans="2:16" ht="18" customHeight="1">
      <c r="B62" s="899" t="str">
        <f>IFERROR(VLOOKUP(第2号様式!$L$2,#REF!,Q62,0),"")</f>
        <v/>
      </c>
      <c r="C62" s="900"/>
      <c r="D62" s="901"/>
      <c r="E62" s="327"/>
      <c r="F62" s="858"/>
      <c r="G62" s="863"/>
      <c r="H62" s="863"/>
      <c r="I62" s="860"/>
      <c r="J62" s="860"/>
      <c r="K62" s="860"/>
      <c r="L62" s="860"/>
      <c r="M62" s="860"/>
      <c r="N62" s="860"/>
      <c r="O62" s="860"/>
      <c r="P62" s="861"/>
    </row>
    <row r="63" spans="2:16" ht="18" customHeight="1">
      <c r="B63" s="899" t="str">
        <f>IFERROR(VLOOKUP(第2号様式!$L$2,#REF!,Q63,0),"")</f>
        <v/>
      </c>
      <c r="C63" s="900"/>
      <c r="D63" s="901"/>
      <c r="E63" s="327"/>
      <c r="F63" s="858"/>
      <c r="G63" s="863"/>
      <c r="H63" s="863"/>
      <c r="I63" s="860"/>
      <c r="J63" s="860"/>
      <c r="K63" s="860"/>
      <c r="L63" s="860"/>
      <c r="M63" s="860"/>
      <c r="N63" s="860"/>
      <c r="O63" s="860"/>
      <c r="P63" s="861"/>
    </row>
    <row r="64" spans="2:16" ht="18" customHeight="1">
      <c r="B64" s="899" t="str">
        <f>IFERROR(VLOOKUP(第2号様式!$L$2,#REF!,Q64,0),"")</f>
        <v/>
      </c>
      <c r="C64" s="900"/>
      <c r="D64" s="901"/>
      <c r="E64" s="327"/>
      <c r="F64" s="858"/>
      <c r="G64" s="863"/>
      <c r="H64" s="863"/>
      <c r="I64" s="860"/>
      <c r="J64" s="860"/>
      <c r="K64" s="860"/>
      <c r="L64" s="860"/>
      <c r="M64" s="860"/>
      <c r="N64" s="860"/>
      <c r="O64" s="860"/>
      <c r="P64" s="861"/>
    </row>
    <row r="65" spans="2:16" ht="18" customHeight="1">
      <c r="B65" s="899" t="str">
        <f>IFERROR(VLOOKUP(第2号様式!$L$2,#REF!,Q65,0),"")</f>
        <v/>
      </c>
      <c r="C65" s="900"/>
      <c r="D65" s="901"/>
      <c r="E65" s="327"/>
      <c r="F65" s="858"/>
      <c r="G65" s="863"/>
      <c r="H65" s="863"/>
      <c r="I65" s="860"/>
      <c r="J65" s="860"/>
      <c r="K65" s="860"/>
      <c r="L65" s="860"/>
      <c r="M65" s="860"/>
      <c r="N65" s="860"/>
      <c r="O65" s="860"/>
      <c r="P65" s="861"/>
    </row>
    <row r="66" spans="2:16" ht="18" customHeight="1">
      <c r="B66" s="899" t="str">
        <f>IFERROR(VLOOKUP(第2号様式!$L$2,#REF!,Q66,0),"")</f>
        <v/>
      </c>
      <c r="C66" s="900"/>
      <c r="D66" s="901"/>
      <c r="E66" s="327"/>
      <c r="F66" s="858"/>
      <c r="G66" s="863"/>
      <c r="H66" s="863"/>
      <c r="I66" s="860"/>
      <c r="J66" s="860"/>
      <c r="K66" s="860"/>
      <c r="L66" s="860"/>
      <c r="M66" s="860"/>
      <c r="N66" s="860"/>
      <c r="O66" s="860"/>
      <c r="P66" s="861"/>
    </row>
    <row r="67" spans="2:16" ht="18" customHeight="1">
      <c r="B67" s="899" t="str">
        <f>IFERROR(VLOOKUP(第2号様式!$L$2,#REF!,Q67,0),"")</f>
        <v/>
      </c>
      <c r="C67" s="900"/>
      <c r="D67" s="901"/>
      <c r="E67" s="327"/>
      <c r="F67" s="858"/>
      <c r="G67" s="863"/>
      <c r="H67" s="863"/>
      <c r="I67" s="860"/>
      <c r="J67" s="860"/>
      <c r="K67" s="860"/>
      <c r="L67" s="860"/>
      <c r="M67" s="860"/>
      <c r="N67" s="860"/>
      <c r="O67" s="860"/>
      <c r="P67" s="861"/>
    </row>
    <row r="68" spans="2:16" ht="18" customHeight="1">
      <c r="B68" s="899" t="str">
        <f>IFERROR(VLOOKUP(第2号様式!$L$2,#REF!,Q68,0),"")</f>
        <v/>
      </c>
      <c r="C68" s="900"/>
      <c r="D68" s="901"/>
      <c r="E68" s="327"/>
      <c r="F68" s="858"/>
      <c r="G68" s="863"/>
      <c r="H68" s="863"/>
      <c r="I68" s="860"/>
      <c r="J68" s="860"/>
      <c r="K68" s="860"/>
      <c r="L68" s="860"/>
      <c r="M68" s="860"/>
      <c r="N68" s="860"/>
      <c r="O68" s="860"/>
      <c r="P68" s="861"/>
    </row>
    <row r="69" spans="2:16" ht="18" customHeight="1">
      <c r="B69" s="899" t="str">
        <f>IFERROR(VLOOKUP(第2号様式!$L$2,#REF!,Q69,0),"")</f>
        <v/>
      </c>
      <c r="C69" s="900"/>
      <c r="D69" s="901"/>
      <c r="E69" s="327"/>
      <c r="F69" s="858"/>
      <c r="G69" s="863"/>
      <c r="H69" s="863"/>
      <c r="I69" s="860"/>
      <c r="J69" s="860"/>
      <c r="K69" s="860"/>
      <c r="L69" s="860"/>
      <c r="M69" s="860"/>
      <c r="N69" s="860"/>
      <c r="O69" s="860"/>
      <c r="P69" s="861"/>
    </row>
    <row r="70" spans="2:16" ht="18" customHeight="1">
      <c r="B70" s="899" t="str">
        <f>IFERROR(VLOOKUP(第2号様式!$L$2,#REF!,Q70,0),"")</f>
        <v/>
      </c>
      <c r="C70" s="900"/>
      <c r="D70" s="901"/>
      <c r="E70" s="327"/>
      <c r="F70" s="858"/>
      <c r="G70" s="863"/>
      <c r="H70" s="863"/>
      <c r="I70" s="860"/>
      <c r="J70" s="860"/>
      <c r="K70" s="860"/>
      <c r="L70" s="860"/>
      <c r="M70" s="860"/>
      <c r="N70" s="860"/>
      <c r="O70" s="860"/>
      <c r="P70" s="861"/>
    </row>
    <row r="71" spans="2:16" ht="18" customHeight="1">
      <c r="B71" s="899" t="str">
        <f>IFERROR(VLOOKUP(第2号様式!$L$2,#REF!,Q71,0),"")</f>
        <v/>
      </c>
      <c r="C71" s="900"/>
      <c r="D71" s="901"/>
      <c r="E71" s="327"/>
      <c r="F71" s="858"/>
      <c r="G71" s="863"/>
      <c r="H71" s="863"/>
      <c r="I71" s="860"/>
      <c r="J71" s="860"/>
      <c r="K71" s="860"/>
      <c r="L71" s="860"/>
      <c r="M71" s="860"/>
      <c r="N71" s="860"/>
      <c r="O71" s="860"/>
      <c r="P71" s="861"/>
    </row>
    <row r="72" spans="2:16" ht="18" customHeight="1">
      <c r="B72" s="899" t="str">
        <f>IFERROR(VLOOKUP(第2号様式!$L$2,#REF!,Q72,0),"")</f>
        <v/>
      </c>
      <c r="C72" s="900"/>
      <c r="D72" s="901"/>
      <c r="E72" s="327"/>
      <c r="F72" s="858"/>
      <c r="G72" s="863"/>
      <c r="H72" s="863"/>
      <c r="I72" s="860"/>
      <c r="J72" s="860"/>
      <c r="K72" s="860"/>
      <c r="L72" s="860"/>
      <c r="M72" s="860"/>
      <c r="N72" s="860"/>
      <c r="O72" s="860"/>
      <c r="P72" s="861"/>
    </row>
    <row r="73" spans="2:16" ht="18" customHeight="1">
      <c r="B73" s="899" t="str">
        <f>IFERROR(VLOOKUP(第2号様式!$L$2,#REF!,Q73,0),"")</f>
        <v/>
      </c>
      <c r="C73" s="900"/>
      <c r="D73" s="901"/>
      <c r="E73" s="327"/>
      <c r="F73" s="858"/>
      <c r="G73" s="863"/>
      <c r="H73" s="863"/>
      <c r="I73" s="860"/>
      <c r="J73" s="860"/>
      <c r="K73" s="860"/>
      <c r="L73" s="860"/>
      <c r="M73" s="860"/>
      <c r="N73" s="860"/>
      <c r="O73" s="860"/>
      <c r="P73" s="861"/>
    </row>
    <row r="74" spans="2:16" ht="18" customHeight="1">
      <c r="B74" s="899" t="str">
        <f>IFERROR(VLOOKUP(第2号様式!$L$2,#REF!,Q74,0),"")</f>
        <v/>
      </c>
      <c r="C74" s="900"/>
      <c r="D74" s="901"/>
      <c r="E74" s="327"/>
      <c r="F74" s="858"/>
      <c r="G74" s="863"/>
      <c r="H74" s="863"/>
      <c r="I74" s="860"/>
      <c r="J74" s="860"/>
      <c r="K74" s="860"/>
      <c r="L74" s="860"/>
      <c r="M74" s="860"/>
      <c r="N74" s="860"/>
      <c r="O74" s="860"/>
      <c r="P74" s="861"/>
    </row>
    <row r="75" spans="2:16" ht="18" customHeight="1">
      <c r="B75" s="899" t="str">
        <f>IFERROR(VLOOKUP(第2号様式!$L$2,#REF!,Q75,0),"")</f>
        <v/>
      </c>
      <c r="C75" s="900"/>
      <c r="D75" s="901"/>
      <c r="E75" s="327"/>
      <c r="F75" s="858"/>
      <c r="G75" s="863"/>
      <c r="H75" s="863"/>
      <c r="I75" s="860"/>
      <c r="J75" s="860"/>
      <c r="K75" s="860"/>
      <c r="L75" s="860"/>
      <c r="M75" s="860"/>
      <c r="N75" s="860"/>
      <c r="O75" s="860"/>
      <c r="P75" s="861"/>
    </row>
    <row r="76" spans="2:16" ht="18" customHeight="1">
      <c r="B76" s="899" t="str">
        <f>IFERROR(VLOOKUP(第2号様式!$L$2,#REF!,Q76,0),"")</f>
        <v/>
      </c>
      <c r="C76" s="900"/>
      <c r="D76" s="901"/>
      <c r="E76" s="327"/>
      <c r="F76" s="858"/>
      <c r="G76" s="863"/>
      <c r="H76" s="863"/>
      <c r="I76" s="860"/>
      <c r="J76" s="860"/>
      <c r="K76" s="860"/>
      <c r="L76" s="860"/>
      <c r="M76" s="860"/>
      <c r="N76" s="860"/>
      <c r="O76" s="860"/>
      <c r="P76" s="861"/>
    </row>
    <row r="77" spans="2:16" ht="18" customHeight="1">
      <c r="B77" s="899" t="str">
        <f>IFERROR(VLOOKUP(第2号様式!$L$2,#REF!,Q77,0),"")</f>
        <v/>
      </c>
      <c r="C77" s="900"/>
      <c r="D77" s="901"/>
      <c r="E77" s="327"/>
      <c r="F77" s="858"/>
      <c r="G77" s="863"/>
      <c r="H77" s="863"/>
      <c r="I77" s="860"/>
      <c r="J77" s="860"/>
      <c r="K77" s="860"/>
      <c r="L77" s="860"/>
      <c r="M77" s="860"/>
      <c r="N77" s="860"/>
      <c r="O77" s="860"/>
      <c r="P77" s="861"/>
    </row>
    <row r="78" spans="2:16" ht="18" customHeight="1">
      <c r="B78" s="899" t="str">
        <f>IFERROR(VLOOKUP(第2号様式!$L$2,#REF!,Q78,0),"")</f>
        <v/>
      </c>
      <c r="C78" s="900"/>
      <c r="D78" s="901"/>
      <c r="E78" s="327"/>
      <c r="F78" s="858"/>
      <c r="G78" s="863"/>
      <c r="H78" s="863"/>
      <c r="I78" s="860"/>
      <c r="J78" s="860"/>
      <c r="K78" s="860"/>
      <c r="L78" s="860"/>
      <c r="M78" s="860"/>
      <c r="N78" s="860"/>
      <c r="O78" s="860"/>
      <c r="P78" s="861"/>
    </row>
    <row r="79" spans="2:16" ht="18" customHeight="1">
      <c r="B79" s="899" t="str">
        <f>IFERROR(VLOOKUP(第2号様式!$L$2,#REF!,Q79,0),"")</f>
        <v/>
      </c>
      <c r="C79" s="900"/>
      <c r="D79" s="901"/>
      <c r="E79" s="327"/>
      <c r="F79" s="858"/>
      <c r="G79" s="863"/>
      <c r="H79" s="863"/>
      <c r="I79" s="860"/>
      <c r="J79" s="860"/>
      <c r="K79" s="860"/>
      <c r="L79" s="860"/>
      <c r="M79" s="860"/>
      <c r="N79" s="860"/>
      <c r="O79" s="860"/>
      <c r="P79" s="861"/>
    </row>
    <row r="80" spans="2:16" ht="18" customHeight="1">
      <c r="B80" s="899" t="str">
        <f>IFERROR(VLOOKUP(第2号様式!$L$2,#REF!,Q80,0),"")</f>
        <v/>
      </c>
      <c r="C80" s="900"/>
      <c r="D80" s="901"/>
      <c r="E80" s="327"/>
      <c r="F80" s="858"/>
      <c r="G80" s="863"/>
      <c r="H80" s="863"/>
      <c r="I80" s="860"/>
      <c r="J80" s="860"/>
      <c r="K80" s="860"/>
      <c r="L80" s="860"/>
      <c r="M80" s="860"/>
      <c r="N80" s="860"/>
      <c r="O80" s="860"/>
      <c r="P80" s="861"/>
    </row>
    <row r="81" spans="2:16" ht="18" customHeight="1">
      <c r="B81" s="899" t="str">
        <f>IFERROR(VLOOKUP(第2号様式!$L$2,#REF!,Q81,0),"")</f>
        <v/>
      </c>
      <c r="C81" s="900"/>
      <c r="D81" s="901"/>
      <c r="E81" s="327"/>
      <c r="F81" s="858"/>
      <c r="G81" s="863"/>
      <c r="H81" s="863"/>
      <c r="I81" s="860"/>
      <c r="J81" s="860"/>
      <c r="K81" s="860"/>
      <c r="L81" s="860"/>
      <c r="M81" s="860"/>
      <c r="N81" s="860"/>
      <c r="O81" s="860"/>
      <c r="P81" s="861"/>
    </row>
    <row r="82" spans="2:16" ht="18" customHeight="1">
      <c r="B82" s="899" t="str">
        <f>IFERROR(VLOOKUP(第2号様式!$L$2,#REF!,Q82,0),"")</f>
        <v/>
      </c>
      <c r="C82" s="900"/>
      <c r="D82" s="901"/>
      <c r="E82" s="327"/>
      <c r="F82" s="858"/>
      <c r="G82" s="863"/>
      <c r="H82" s="863"/>
      <c r="I82" s="860"/>
      <c r="J82" s="860"/>
      <c r="K82" s="860"/>
      <c r="L82" s="860"/>
      <c r="M82" s="860"/>
      <c r="N82" s="860"/>
      <c r="O82" s="860"/>
      <c r="P82" s="861"/>
    </row>
    <row r="83" spans="2:16" ht="18" customHeight="1">
      <c r="B83" s="899" t="str">
        <f>IFERROR(VLOOKUP(第2号様式!$L$2,#REF!,Q83,0),"")</f>
        <v/>
      </c>
      <c r="C83" s="900"/>
      <c r="D83" s="901"/>
      <c r="E83" s="327"/>
      <c r="F83" s="858"/>
      <c r="G83" s="863"/>
      <c r="H83" s="863"/>
      <c r="I83" s="860"/>
      <c r="J83" s="860"/>
      <c r="K83" s="860"/>
      <c r="L83" s="860"/>
      <c r="M83" s="860"/>
      <c r="N83" s="860"/>
      <c r="O83" s="860"/>
      <c r="P83" s="861"/>
    </row>
    <row r="84" spans="2:16" ht="18" customHeight="1">
      <c r="B84" s="899" t="str">
        <f>IFERROR(VLOOKUP(第2号様式!$L$2,#REF!,Q84,0),"")</f>
        <v/>
      </c>
      <c r="C84" s="900"/>
      <c r="D84" s="901"/>
      <c r="E84" s="327"/>
      <c r="F84" s="858"/>
      <c r="G84" s="863"/>
      <c r="H84" s="863"/>
      <c r="I84" s="860"/>
      <c r="J84" s="860"/>
      <c r="K84" s="860"/>
      <c r="L84" s="860"/>
      <c r="M84" s="860"/>
      <c r="N84" s="860"/>
      <c r="O84" s="860"/>
      <c r="P84" s="861"/>
    </row>
    <row r="85" spans="2:16" ht="18" customHeight="1">
      <c r="B85" s="899" t="str">
        <f>IFERROR(VLOOKUP(第2号様式!$L$2,#REF!,Q85,0),"")</f>
        <v/>
      </c>
      <c r="C85" s="900"/>
      <c r="D85" s="901"/>
      <c r="E85" s="327"/>
      <c r="F85" s="858"/>
      <c r="G85" s="863"/>
      <c r="H85" s="863"/>
      <c r="I85" s="860"/>
      <c r="J85" s="860"/>
      <c r="K85" s="860"/>
      <c r="L85" s="860"/>
      <c r="M85" s="860"/>
      <c r="N85" s="860"/>
      <c r="O85" s="860"/>
      <c r="P85" s="861"/>
    </row>
    <row r="86" spans="2:16" ht="18" customHeight="1">
      <c r="B86" s="899" t="str">
        <f>IFERROR(VLOOKUP(第2号様式!$L$2,#REF!,Q86,0),"")</f>
        <v/>
      </c>
      <c r="C86" s="900"/>
      <c r="D86" s="901"/>
      <c r="E86" s="327"/>
      <c r="F86" s="858"/>
      <c r="G86" s="863"/>
      <c r="H86" s="863"/>
      <c r="I86" s="860"/>
      <c r="J86" s="860"/>
      <c r="K86" s="860"/>
      <c r="L86" s="860"/>
      <c r="M86" s="860"/>
      <c r="N86" s="860"/>
      <c r="O86" s="860"/>
      <c r="P86" s="861"/>
    </row>
    <row r="87" spans="2:16" ht="18" customHeight="1">
      <c r="B87" s="899" t="str">
        <f>IFERROR(VLOOKUP(第2号様式!$L$2,#REF!,Q87,0),"")</f>
        <v/>
      </c>
      <c r="C87" s="900"/>
      <c r="D87" s="901"/>
      <c r="E87" s="327"/>
      <c r="F87" s="858"/>
      <c r="G87" s="863"/>
      <c r="H87" s="863"/>
      <c r="I87" s="860"/>
      <c r="J87" s="860"/>
      <c r="K87" s="860"/>
      <c r="L87" s="860"/>
      <c r="M87" s="860"/>
      <c r="N87" s="860"/>
      <c r="O87" s="860"/>
      <c r="P87" s="861"/>
    </row>
    <row r="88" spans="2:16" ht="18" customHeight="1">
      <c r="B88" s="899" t="str">
        <f>IFERROR(VLOOKUP(第2号様式!$L$2,#REF!,Q88,0),"")</f>
        <v/>
      </c>
      <c r="C88" s="900"/>
      <c r="D88" s="901"/>
      <c r="E88" s="327"/>
      <c r="F88" s="858"/>
      <c r="G88" s="863"/>
      <c r="H88" s="863"/>
      <c r="I88" s="860"/>
      <c r="J88" s="860"/>
      <c r="K88" s="860"/>
      <c r="L88" s="860"/>
      <c r="M88" s="860"/>
      <c r="N88" s="860"/>
      <c r="O88" s="860"/>
      <c r="P88" s="861"/>
    </row>
    <row r="89" spans="2:16" ht="18" customHeight="1">
      <c r="B89" s="899" t="str">
        <f>IFERROR(VLOOKUP(第2号様式!$L$2,#REF!,Q89,0),"")</f>
        <v/>
      </c>
      <c r="C89" s="900"/>
      <c r="D89" s="901"/>
      <c r="E89" s="327"/>
      <c r="F89" s="858"/>
      <c r="G89" s="863"/>
      <c r="H89" s="863"/>
      <c r="I89" s="860"/>
      <c r="J89" s="860"/>
      <c r="K89" s="860"/>
      <c r="L89" s="860"/>
      <c r="M89" s="860"/>
      <c r="N89" s="860"/>
      <c r="O89" s="860"/>
      <c r="P89" s="861"/>
    </row>
    <row r="90" spans="2:16" ht="18" customHeight="1">
      <c r="B90" s="899" t="str">
        <f>IFERROR(VLOOKUP(第2号様式!$L$2,#REF!,Q90,0),"")</f>
        <v/>
      </c>
      <c r="C90" s="900"/>
      <c r="D90" s="901"/>
      <c r="E90" s="327"/>
      <c r="F90" s="858"/>
      <c r="G90" s="863"/>
      <c r="H90" s="863"/>
      <c r="I90" s="865"/>
      <c r="J90" s="860"/>
      <c r="K90" s="860"/>
      <c r="L90" s="860"/>
      <c r="M90" s="860"/>
      <c r="N90" s="860"/>
      <c r="O90" s="860"/>
      <c r="P90" s="861"/>
    </row>
    <row r="91" spans="2:16" ht="18" customHeight="1">
      <c r="B91" s="896" t="s">
        <v>215</v>
      </c>
      <c r="C91" s="897"/>
      <c r="D91" s="898"/>
      <c r="E91" s="330"/>
      <c r="F91" s="450">
        <f>SUM(F19:F90)</f>
        <v>0</v>
      </c>
      <c r="G91" s="608"/>
      <c r="H91" s="608"/>
      <c r="I91" s="332"/>
      <c r="J91" s="332"/>
      <c r="K91" s="332"/>
      <c r="L91" s="332"/>
      <c r="M91" s="332"/>
      <c r="N91" s="332"/>
      <c r="O91" s="332"/>
      <c r="P91" s="331"/>
    </row>
    <row r="92" spans="2:16" ht="18" customHeight="1"/>
    <row r="93" spans="2:16" ht="18" customHeight="1">
      <c r="B93" s="313" t="s">
        <v>216</v>
      </c>
    </row>
    <row r="94" spans="2:16" ht="18" customHeight="1"/>
    <row r="95" spans="2:16" ht="19.5" customHeight="1"/>
  </sheetData>
  <sheetProtection formatCells="0" formatColumns="0" formatRows="0" insertColumns="0" insertRows="0" insertHyperlinks="0" deleteColumns="0" deleteRows="0" sort="0" autoFilter="0" pivotTables="0"/>
  <mergeCells count="90">
    <mergeCell ref="L6:L8"/>
    <mergeCell ref="O6:O8"/>
    <mergeCell ref="P6:P8"/>
    <mergeCell ref="M6:M8"/>
    <mergeCell ref="N6:N8"/>
    <mergeCell ref="C6:C8"/>
    <mergeCell ref="E6:E8"/>
    <mergeCell ref="G6:I8"/>
    <mergeCell ref="J6:J8"/>
    <mergeCell ref="K6:K8"/>
    <mergeCell ref="B23:D23"/>
    <mergeCell ref="G9:I9"/>
    <mergeCell ref="O12:O13"/>
    <mergeCell ref="P12:P13"/>
    <mergeCell ref="B17:D17"/>
    <mergeCell ref="E17:F17"/>
    <mergeCell ref="G17:P17"/>
    <mergeCell ref="B18:D18"/>
    <mergeCell ref="B19:D19"/>
    <mergeCell ref="B20:D20"/>
    <mergeCell ref="B21:D21"/>
    <mergeCell ref="B22:D22"/>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83:D83"/>
    <mergeCell ref="B72:D72"/>
    <mergeCell ref="B73:D73"/>
    <mergeCell ref="B74:D74"/>
    <mergeCell ref="B75:D75"/>
    <mergeCell ref="B76:D76"/>
    <mergeCell ref="B77:D77"/>
    <mergeCell ref="B78:D78"/>
    <mergeCell ref="B79:D79"/>
    <mergeCell ref="B80:D80"/>
    <mergeCell ref="B81:D81"/>
    <mergeCell ref="B82:D82"/>
    <mergeCell ref="B90:D90"/>
    <mergeCell ref="B91:D91"/>
    <mergeCell ref="B84:D84"/>
    <mergeCell ref="B85:D85"/>
    <mergeCell ref="B86:D86"/>
    <mergeCell ref="B87:D87"/>
    <mergeCell ref="B88:D88"/>
    <mergeCell ref="B89:D89"/>
  </mergeCells>
  <phoneticPr fontId="4"/>
  <conditionalFormatting sqref="H12">
    <cfRule type="expression" dxfId="134" priority="1">
      <formula>IF(B12="第三者評価受審経費",TRUE,FALSE)</formula>
    </cfRule>
  </conditionalFormatting>
  <dataValidations count="1">
    <dataValidation type="custom" allowBlank="1" showInputMessage="1" showErrorMessage="1" sqref="H12" xr:uid="{0CC3FF02-AA24-4431-B6EF-E322EEC86ADB}">
      <formula1>IF(B12="第三者評価受審経費",FALSE,TRUE)</formula1>
    </dataValidation>
  </dataValidations>
  <printOptions horizontalCentered="1"/>
  <pageMargins left="0.7" right="0.7" top="0.75" bottom="0.75" header="0.3" footer="0.3"/>
  <pageSetup paperSize="9" scale="31" orientation="portrait" blackAndWhite="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P50"/>
  <sheetViews>
    <sheetView view="pageBreakPreview" zoomScale="55" zoomScaleNormal="90" zoomScaleSheetLayoutView="55" workbookViewId="0">
      <selection activeCell="D17" sqref="D17"/>
    </sheetView>
  </sheetViews>
  <sheetFormatPr defaultRowHeight="16.149999999999999" outlineLevelCol="1"/>
  <cols>
    <col min="1" max="1" width="3.625" style="370" customWidth="1"/>
    <col min="2" max="9" width="22.5" style="370" customWidth="1"/>
    <col min="10" max="12" width="20.75" style="370" customWidth="1"/>
    <col min="13" max="13" width="5.625" style="370" hidden="1" customWidth="1" outlineLevel="1"/>
    <col min="14" max="15" width="9" style="370" hidden="1" customWidth="1" outlineLevel="1"/>
    <col min="16" max="16" width="9" style="370" collapsed="1"/>
    <col min="17" max="261" width="9" style="370"/>
    <col min="262" max="262" width="15.75" style="370" customWidth="1"/>
    <col min="263" max="268" width="12.125" style="370" customWidth="1"/>
    <col min="269" max="269" width="11.875" style="370" customWidth="1"/>
    <col min="270" max="517" width="9" style="370"/>
    <col min="518" max="518" width="15.75" style="370" customWidth="1"/>
    <col min="519" max="524" width="12.125" style="370" customWidth="1"/>
    <col min="525" max="525" width="11.875" style="370" customWidth="1"/>
    <col min="526" max="773" width="9" style="370"/>
    <col min="774" max="774" width="15.75" style="370" customWidth="1"/>
    <col min="775" max="780" width="12.125" style="370" customWidth="1"/>
    <col min="781" max="781" width="11.875" style="370" customWidth="1"/>
    <col min="782" max="1029" width="9" style="370"/>
    <col min="1030" max="1030" width="15.75" style="370" customWidth="1"/>
    <col min="1031" max="1036" width="12.125" style="370" customWidth="1"/>
    <col min="1037" max="1037" width="11.875" style="370" customWidth="1"/>
    <col min="1038" max="1285" width="9" style="370"/>
    <col min="1286" max="1286" width="15.75" style="370" customWidth="1"/>
    <col min="1287" max="1292" width="12.125" style="370" customWidth="1"/>
    <col min="1293" max="1293" width="11.875" style="370" customWidth="1"/>
    <col min="1294" max="1541" width="9" style="370"/>
    <col min="1542" max="1542" width="15.75" style="370" customWidth="1"/>
    <col min="1543" max="1548" width="12.125" style="370" customWidth="1"/>
    <col min="1549" max="1549" width="11.875" style="370" customWidth="1"/>
    <col min="1550" max="1797" width="9" style="370"/>
    <col min="1798" max="1798" width="15.75" style="370" customWidth="1"/>
    <col min="1799" max="1804" width="12.125" style="370" customWidth="1"/>
    <col min="1805" max="1805" width="11.875" style="370" customWidth="1"/>
    <col min="1806" max="2053" width="9" style="370"/>
    <col min="2054" max="2054" width="15.75" style="370" customWidth="1"/>
    <col min="2055" max="2060" width="12.125" style="370" customWidth="1"/>
    <col min="2061" max="2061" width="11.875" style="370" customWidth="1"/>
    <col min="2062" max="2309" width="9" style="370"/>
    <col min="2310" max="2310" width="15.75" style="370" customWidth="1"/>
    <col min="2311" max="2316" width="12.125" style="370" customWidth="1"/>
    <col min="2317" max="2317" width="11.875" style="370" customWidth="1"/>
    <col min="2318" max="2565" width="9" style="370"/>
    <col min="2566" max="2566" width="15.75" style="370" customWidth="1"/>
    <col min="2567" max="2572" width="12.125" style="370" customWidth="1"/>
    <col min="2573" max="2573" width="11.875" style="370" customWidth="1"/>
    <col min="2574" max="2821" width="9" style="370"/>
    <col min="2822" max="2822" width="15.75" style="370" customWidth="1"/>
    <col min="2823" max="2828" width="12.125" style="370" customWidth="1"/>
    <col min="2829" max="2829" width="11.875" style="370" customWidth="1"/>
    <col min="2830" max="3077" width="9" style="370"/>
    <col min="3078" max="3078" width="15.75" style="370" customWidth="1"/>
    <col min="3079" max="3084" width="12.125" style="370" customWidth="1"/>
    <col min="3085" max="3085" width="11.875" style="370" customWidth="1"/>
    <col min="3086" max="3333" width="9" style="370"/>
    <col min="3334" max="3334" width="15.75" style="370" customWidth="1"/>
    <col min="3335" max="3340" width="12.125" style="370" customWidth="1"/>
    <col min="3341" max="3341" width="11.875" style="370" customWidth="1"/>
    <col min="3342" max="3589" width="9" style="370"/>
    <col min="3590" max="3590" width="15.75" style="370" customWidth="1"/>
    <col min="3591" max="3596" width="12.125" style="370" customWidth="1"/>
    <col min="3597" max="3597" width="11.875" style="370" customWidth="1"/>
    <col min="3598" max="3845" width="9" style="370"/>
    <col min="3846" max="3846" width="15.75" style="370" customWidth="1"/>
    <col min="3847" max="3852" width="12.125" style="370" customWidth="1"/>
    <col min="3853" max="3853" width="11.875" style="370" customWidth="1"/>
    <col min="3854" max="4101" width="9" style="370"/>
    <col min="4102" max="4102" width="15.75" style="370" customWidth="1"/>
    <col min="4103" max="4108" width="12.125" style="370" customWidth="1"/>
    <col min="4109" max="4109" width="11.875" style="370" customWidth="1"/>
    <col min="4110" max="4357" width="9" style="370"/>
    <col min="4358" max="4358" width="15.75" style="370" customWidth="1"/>
    <col min="4359" max="4364" width="12.125" style="370" customWidth="1"/>
    <col min="4365" max="4365" width="11.875" style="370" customWidth="1"/>
    <col min="4366" max="4613" width="9" style="370"/>
    <col min="4614" max="4614" width="15.75" style="370" customWidth="1"/>
    <col min="4615" max="4620" width="12.125" style="370" customWidth="1"/>
    <col min="4621" max="4621" width="11.875" style="370" customWidth="1"/>
    <col min="4622" max="4869" width="9" style="370"/>
    <col min="4870" max="4870" width="15.75" style="370" customWidth="1"/>
    <col min="4871" max="4876" width="12.125" style="370" customWidth="1"/>
    <col min="4877" max="4877" width="11.875" style="370" customWidth="1"/>
    <col min="4878" max="5125" width="9" style="370"/>
    <col min="5126" max="5126" width="15.75" style="370" customWidth="1"/>
    <col min="5127" max="5132" width="12.125" style="370" customWidth="1"/>
    <col min="5133" max="5133" width="11.875" style="370" customWidth="1"/>
    <col min="5134" max="5381" width="9" style="370"/>
    <col min="5382" max="5382" width="15.75" style="370" customWidth="1"/>
    <col min="5383" max="5388" width="12.125" style="370" customWidth="1"/>
    <col min="5389" max="5389" width="11.875" style="370" customWidth="1"/>
    <col min="5390" max="5637" width="9" style="370"/>
    <col min="5638" max="5638" width="15.75" style="370" customWidth="1"/>
    <col min="5639" max="5644" width="12.125" style="370" customWidth="1"/>
    <col min="5645" max="5645" width="11.875" style="370" customWidth="1"/>
    <col min="5646" max="5893" width="9" style="370"/>
    <col min="5894" max="5894" width="15.75" style="370" customWidth="1"/>
    <col min="5895" max="5900" width="12.125" style="370" customWidth="1"/>
    <col min="5901" max="5901" width="11.875" style="370" customWidth="1"/>
    <col min="5902" max="6149" width="9" style="370"/>
    <col min="6150" max="6150" width="15.75" style="370" customWidth="1"/>
    <col min="6151" max="6156" width="12.125" style="370" customWidth="1"/>
    <col min="6157" max="6157" width="11.875" style="370" customWidth="1"/>
    <col min="6158" max="6405" width="9" style="370"/>
    <col min="6406" max="6406" width="15.75" style="370" customWidth="1"/>
    <col min="6407" max="6412" width="12.125" style="370" customWidth="1"/>
    <col min="6413" max="6413" width="11.875" style="370" customWidth="1"/>
    <col min="6414" max="6661" width="9" style="370"/>
    <col min="6662" max="6662" width="15.75" style="370" customWidth="1"/>
    <col min="6663" max="6668" width="12.125" style="370" customWidth="1"/>
    <col min="6669" max="6669" width="11.875" style="370" customWidth="1"/>
    <col min="6670" max="6917" width="9" style="370"/>
    <col min="6918" max="6918" width="15.75" style="370" customWidth="1"/>
    <col min="6919" max="6924" width="12.125" style="370" customWidth="1"/>
    <col min="6925" max="6925" width="11.875" style="370" customWidth="1"/>
    <col min="6926" max="7173" width="9" style="370"/>
    <col min="7174" max="7174" width="15.75" style="370" customWidth="1"/>
    <col min="7175" max="7180" width="12.125" style="370" customWidth="1"/>
    <col min="7181" max="7181" width="11.875" style="370" customWidth="1"/>
    <col min="7182" max="7429" width="9" style="370"/>
    <col min="7430" max="7430" width="15.75" style="370" customWidth="1"/>
    <col min="7431" max="7436" width="12.125" style="370" customWidth="1"/>
    <col min="7437" max="7437" width="11.875" style="370" customWidth="1"/>
    <col min="7438" max="7685" width="9" style="370"/>
    <col min="7686" max="7686" width="15.75" style="370" customWidth="1"/>
    <col min="7687" max="7692" width="12.125" style="370" customWidth="1"/>
    <col min="7693" max="7693" width="11.875" style="370" customWidth="1"/>
    <col min="7694" max="7941" width="9" style="370"/>
    <col min="7942" max="7942" width="15.75" style="370" customWidth="1"/>
    <col min="7943" max="7948" width="12.125" style="370" customWidth="1"/>
    <col min="7949" max="7949" width="11.875" style="370" customWidth="1"/>
    <col min="7950" max="8197" width="9" style="370"/>
    <col min="8198" max="8198" width="15.75" style="370" customWidth="1"/>
    <col min="8199" max="8204" width="12.125" style="370" customWidth="1"/>
    <col min="8205" max="8205" width="11.875" style="370" customWidth="1"/>
    <col min="8206" max="8453" width="9" style="370"/>
    <col min="8454" max="8454" width="15.75" style="370" customWidth="1"/>
    <col min="8455" max="8460" width="12.125" style="370" customWidth="1"/>
    <col min="8461" max="8461" width="11.875" style="370" customWidth="1"/>
    <col min="8462" max="8709" width="9" style="370"/>
    <col min="8710" max="8710" width="15.75" style="370" customWidth="1"/>
    <col min="8711" max="8716" width="12.125" style="370" customWidth="1"/>
    <col min="8717" max="8717" width="11.875" style="370" customWidth="1"/>
    <col min="8718" max="8965" width="9" style="370"/>
    <col min="8966" max="8966" width="15.75" style="370" customWidth="1"/>
    <col min="8967" max="8972" width="12.125" style="370" customWidth="1"/>
    <col min="8973" max="8973" width="11.875" style="370" customWidth="1"/>
    <col min="8974" max="9221" width="9" style="370"/>
    <col min="9222" max="9222" width="15.75" style="370" customWidth="1"/>
    <col min="9223" max="9228" width="12.125" style="370" customWidth="1"/>
    <col min="9229" max="9229" width="11.875" style="370" customWidth="1"/>
    <col min="9230" max="9477" width="9" style="370"/>
    <col min="9478" max="9478" width="15.75" style="370" customWidth="1"/>
    <col min="9479" max="9484" width="12.125" style="370" customWidth="1"/>
    <col min="9485" max="9485" width="11.875" style="370" customWidth="1"/>
    <col min="9486" max="9733" width="9" style="370"/>
    <col min="9734" max="9734" width="15.75" style="370" customWidth="1"/>
    <col min="9735" max="9740" width="12.125" style="370" customWidth="1"/>
    <col min="9741" max="9741" width="11.875" style="370" customWidth="1"/>
    <col min="9742" max="9989" width="9" style="370"/>
    <col min="9990" max="9990" width="15.75" style="370" customWidth="1"/>
    <col min="9991" max="9996" width="12.125" style="370" customWidth="1"/>
    <col min="9997" max="9997" width="11.875" style="370" customWidth="1"/>
    <col min="9998" max="10245" width="9" style="370"/>
    <col min="10246" max="10246" width="15.75" style="370" customWidth="1"/>
    <col min="10247" max="10252" width="12.125" style="370" customWidth="1"/>
    <col min="10253" max="10253" width="11.875" style="370" customWidth="1"/>
    <col min="10254" max="10501" width="9" style="370"/>
    <col min="10502" max="10502" width="15.75" style="370" customWidth="1"/>
    <col min="10503" max="10508" width="12.125" style="370" customWidth="1"/>
    <col min="10509" max="10509" width="11.875" style="370" customWidth="1"/>
    <col min="10510" max="10757" width="9" style="370"/>
    <col min="10758" max="10758" width="15.75" style="370" customWidth="1"/>
    <col min="10759" max="10764" width="12.125" style="370" customWidth="1"/>
    <col min="10765" max="10765" width="11.875" style="370" customWidth="1"/>
    <col min="10766" max="11013" width="9" style="370"/>
    <col min="11014" max="11014" width="15.75" style="370" customWidth="1"/>
    <col min="11015" max="11020" width="12.125" style="370" customWidth="1"/>
    <col min="11021" max="11021" width="11.875" style="370" customWidth="1"/>
    <col min="11022" max="11269" width="9" style="370"/>
    <col min="11270" max="11270" width="15.75" style="370" customWidth="1"/>
    <col min="11271" max="11276" width="12.125" style="370" customWidth="1"/>
    <col min="11277" max="11277" width="11.875" style="370" customWidth="1"/>
    <col min="11278" max="11525" width="9" style="370"/>
    <col min="11526" max="11526" width="15.75" style="370" customWidth="1"/>
    <col min="11527" max="11532" width="12.125" style="370" customWidth="1"/>
    <col min="11533" max="11533" width="11.875" style="370" customWidth="1"/>
    <col min="11534" max="11781" width="9" style="370"/>
    <col min="11782" max="11782" width="15.75" style="370" customWidth="1"/>
    <col min="11783" max="11788" width="12.125" style="370" customWidth="1"/>
    <col min="11789" max="11789" width="11.875" style="370" customWidth="1"/>
    <col min="11790" max="12037" width="9" style="370"/>
    <col min="12038" max="12038" width="15.75" style="370" customWidth="1"/>
    <col min="12039" max="12044" width="12.125" style="370" customWidth="1"/>
    <col min="12045" max="12045" width="11.875" style="370" customWidth="1"/>
    <col min="12046" max="12293" width="9" style="370"/>
    <col min="12294" max="12294" width="15.75" style="370" customWidth="1"/>
    <col min="12295" max="12300" width="12.125" style="370" customWidth="1"/>
    <col min="12301" max="12301" width="11.875" style="370" customWidth="1"/>
    <col min="12302" max="12549" width="9" style="370"/>
    <col min="12550" max="12550" width="15.75" style="370" customWidth="1"/>
    <col min="12551" max="12556" width="12.125" style="370" customWidth="1"/>
    <col min="12557" max="12557" width="11.875" style="370" customWidth="1"/>
    <col min="12558" max="12805" width="9" style="370"/>
    <col min="12806" max="12806" width="15.75" style="370" customWidth="1"/>
    <col min="12807" max="12812" width="12.125" style="370" customWidth="1"/>
    <col min="12813" max="12813" width="11.875" style="370" customWidth="1"/>
    <col min="12814" max="13061" width="9" style="370"/>
    <col min="13062" max="13062" width="15.75" style="370" customWidth="1"/>
    <col min="13063" max="13068" width="12.125" style="370" customWidth="1"/>
    <col min="13069" max="13069" width="11.875" style="370" customWidth="1"/>
    <col min="13070" max="13317" width="9" style="370"/>
    <col min="13318" max="13318" width="15.75" style="370" customWidth="1"/>
    <col min="13319" max="13324" width="12.125" style="370" customWidth="1"/>
    <col min="13325" max="13325" width="11.875" style="370" customWidth="1"/>
    <col min="13326" max="13573" width="9" style="370"/>
    <col min="13574" max="13574" width="15.75" style="370" customWidth="1"/>
    <col min="13575" max="13580" width="12.125" style="370" customWidth="1"/>
    <col min="13581" max="13581" width="11.875" style="370" customWidth="1"/>
    <col min="13582" max="13829" width="9" style="370"/>
    <col min="13830" max="13830" width="15.75" style="370" customWidth="1"/>
    <col min="13831" max="13836" width="12.125" style="370" customWidth="1"/>
    <col min="13837" max="13837" width="11.875" style="370" customWidth="1"/>
    <col min="13838" max="14085" width="9" style="370"/>
    <col min="14086" max="14086" width="15.75" style="370" customWidth="1"/>
    <col min="14087" max="14092" width="12.125" style="370" customWidth="1"/>
    <col min="14093" max="14093" width="11.875" style="370" customWidth="1"/>
    <col min="14094" max="14341" width="9" style="370"/>
    <col min="14342" max="14342" width="15.75" style="370" customWidth="1"/>
    <col min="14343" max="14348" width="12.125" style="370" customWidth="1"/>
    <col min="14349" max="14349" width="11.875" style="370" customWidth="1"/>
    <col min="14350" max="14597" width="9" style="370"/>
    <col min="14598" max="14598" width="15.75" style="370" customWidth="1"/>
    <col min="14599" max="14604" width="12.125" style="370" customWidth="1"/>
    <col min="14605" max="14605" width="11.875" style="370" customWidth="1"/>
    <col min="14606" max="14853" width="9" style="370"/>
    <col min="14854" max="14854" width="15.75" style="370" customWidth="1"/>
    <col min="14855" max="14860" width="12.125" style="370" customWidth="1"/>
    <col min="14861" max="14861" width="11.875" style="370" customWidth="1"/>
    <col min="14862" max="15109" width="9" style="370"/>
    <col min="15110" max="15110" width="15.75" style="370" customWidth="1"/>
    <col min="15111" max="15116" width="12.125" style="370" customWidth="1"/>
    <col min="15117" max="15117" width="11.875" style="370" customWidth="1"/>
    <col min="15118" max="15365" width="9" style="370"/>
    <col min="15366" max="15366" width="15.75" style="370" customWidth="1"/>
    <col min="15367" max="15372" width="12.125" style="370" customWidth="1"/>
    <col min="15373" max="15373" width="11.875" style="370" customWidth="1"/>
    <col min="15374" max="15621" width="9" style="370"/>
    <col min="15622" max="15622" width="15.75" style="370" customWidth="1"/>
    <col min="15623" max="15628" width="12.125" style="370" customWidth="1"/>
    <col min="15629" max="15629" width="11.875" style="370" customWidth="1"/>
    <col min="15630" max="15877" width="9" style="370"/>
    <col min="15878" max="15878" width="15.75" style="370" customWidth="1"/>
    <col min="15879" max="15884" width="12.125" style="370" customWidth="1"/>
    <col min="15885" max="15885" width="11.875" style="370" customWidth="1"/>
    <col min="15886" max="16133" width="9" style="370"/>
    <col min="16134" max="16134" width="15.75" style="370" customWidth="1"/>
    <col min="16135" max="16140" width="12.125" style="370" customWidth="1"/>
    <col min="16141" max="16141" width="11.875" style="370" customWidth="1"/>
    <col min="16142" max="16384" width="9" style="370"/>
  </cols>
  <sheetData>
    <row r="1" spans="2:15" ht="16.5" customHeight="1">
      <c r="B1" s="370" t="s">
        <v>229</v>
      </c>
      <c r="C1" s="371"/>
    </row>
    <row r="2" spans="2:15" ht="13.5" customHeight="1"/>
    <row r="3" spans="2:15" ht="23.25" customHeight="1">
      <c r="B3" s="921" t="s">
        <v>177</v>
      </c>
      <c r="C3" s="921"/>
      <c r="D3" s="921"/>
      <c r="E3" s="921"/>
      <c r="F3" s="921"/>
      <c r="G3" s="921"/>
      <c r="H3" s="921"/>
      <c r="I3" s="921"/>
      <c r="J3" s="372"/>
      <c r="K3" s="372"/>
      <c r="L3" s="372"/>
    </row>
    <row r="4" spans="2:15" ht="13.5" customHeight="1">
      <c r="C4" s="372"/>
      <c r="D4" s="372"/>
      <c r="E4" s="372"/>
      <c r="F4" s="372"/>
      <c r="G4" s="372"/>
      <c r="H4" s="372"/>
      <c r="I4" s="372"/>
      <c r="J4" s="372"/>
      <c r="K4" s="372"/>
      <c r="L4" s="372"/>
    </row>
    <row r="5" spans="2:15" ht="23.25" customHeight="1">
      <c r="B5" s="370" t="s">
        <v>230</v>
      </c>
    </row>
    <row r="6" spans="2:15" ht="30" customHeight="1">
      <c r="B6" s="373"/>
      <c r="C6" s="922" t="s">
        <v>178</v>
      </c>
      <c r="D6" s="374" t="s">
        <v>179</v>
      </c>
      <c r="E6" s="924" t="s">
        <v>180</v>
      </c>
      <c r="F6" s="375" t="s">
        <v>181</v>
      </c>
      <c r="G6" s="922" t="s">
        <v>182</v>
      </c>
      <c r="H6" s="922" t="s">
        <v>183</v>
      </c>
      <c r="I6" s="922" t="s">
        <v>184</v>
      </c>
      <c r="J6" s="926" t="s">
        <v>185</v>
      </c>
      <c r="K6" s="931" t="s">
        <v>188</v>
      </c>
      <c r="L6" s="933" t="s">
        <v>189</v>
      </c>
      <c r="O6" s="370" t="s">
        <v>231</v>
      </c>
    </row>
    <row r="7" spans="2:15" ht="30" customHeight="1">
      <c r="B7" s="376" t="s">
        <v>190</v>
      </c>
      <c r="C7" s="923"/>
      <c r="D7" s="377" t="s">
        <v>191</v>
      </c>
      <c r="E7" s="925"/>
      <c r="F7" s="376" t="s">
        <v>192</v>
      </c>
      <c r="G7" s="923"/>
      <c r="H7" s="923"/>
      <c r="I7" s="923"/>
      <c r="J7" s="927"/>
      <c r="K7" s="932"/>
      <c r="L7" s="934"/>
    </row>
    <row r="8" spans="2:15" ht="30" customHeight="1">
      <c r="B8" s="378"/>
      <c r="C8" s="923"/>
      <c r="D8" s="377" t="s">
        <v>193</v>
      </c>
      <c r="E8" s="925"/>
      <c r="F8" s="376" t="s">
        <v>194</v>
      </c>
      <c r="G8" s="923"/>
      <c r="H8" s="923"/>
      <c r="I8" s="923"/>
      <c r="J8" s="927"/>
      <c r="K8" s="932"/>
      <c r="L8" s="934"/>
    </row>
    <row r="9" spans="2:15" ht="30" customHeight="1">
      <c r="B9" s="379"/>
      <c r="C9" s="380" t="s">
        <v>195</v>
      </c>
      <c r="D9" s="381" t="s">
        <v>196</v>
      </c>
      <c r="E9" s="381" t="s">
        <v>197</v>
      </c>
      <c r="F9" s="380" t="s">
        <v>198</v>
      </c>
      <c r="G9" s="380" t="s">
        <v>199</v>
      </c>
      <c r="H9" s="380" t="s">
        <v>200</v>
      </c>
      <c r="I9" s="380" t="s">
        <v>201</v>
      </c>
      <c r="J9" s="380" t="s">
        <v>202</v>
      </c>
      <c r="K9" s="583" t="s">
        <v>221</v>
      </c>
      <c r="L9" s="583" t="s">
        <v>222</v>
      </c>
    </row>
    <row r="10" spans="2:15" ht="30" customHeight="1">
      <c r="B10" s="382"/>
      <c r="C10" s="383" t="s">
        <v>207</v>
      </c>
      <c r="D10" s="383" t="s">
        <v>207</v>
      </c>
      <c r="E10" s="384" t="s">
        <v>207</v>
      </c>
      <c r="F10" s="383" t="s">
        <v>207</v>
      </c>
      <c r="G10" s="383" t="s">
        <v>208</v>
      </c>
      <c r="H10" s="383" t="s">
        <v>207</v>
      </c>
      <c r="I10" s="383" t="s">
        <v>209</v>
      </c>
      <c r="J10" s="383" t="s">
        <v>207</v>
      </c>
      <c r="K10" s="584" t="s">
        <v>209</v>
      </c>
      <c r="L10" s="584" t="s">
        <v>207</v>
      </c>
    </row>
    <row r="11" spans="2:15" ht="30" customHeight="1">
      <c r="B11" s="385"/>
      <c r="C11" s="386">
        <v>5600000</v>
      </c>
      <c r="D11" s="387">
        <v>0</v>
      </c>
      <c r="E11" s="388">
        <v>5600000</v>
      </c>
      <c r="F11" s="387">
        <v>3970000</v>
      </c>
      <c r="G11" s="389">
        <v>3500000</v>
      </c>
      <c r="H11" s="390">
        <v>3500000</v>
      </c>
      <c r="I11" s="390">
        <v>3500000</v>
      </c>
      <c r="J11" s="390">
        <v>3500000</v>
      </c>
      <c r="K11" s="935"/>
      <c r="L11" s="935"/>
      <c r="M11" s="370">
        <v>76</v>
      </c>
    </row>
    <row r="12" spans="2:15" ht="30" customHeight="1">
      <c r="B12" s="391"/>
      <c r="C12" s="392"/>
      <c r="D12" s="393"/>
      <c r="E12" s="394" t="s">
        <v>232</v>
      </c>
      <c r="F12" s="393"/>
      <c r="G12" s="395" t="s">
        <v>232</v>
      </c>
      <c r="H12" s="396" t="s">
        <v>232</v>
      </c>
      <c r="I12" s="396" t="s">
        <v>232</v>
      </c>
      <c r="J12" s="396" t="s">
        <v>232</v>
      </c>
      <c r="K12" s="936"/>
      <c r="L12" s="936"/>
      <c r="M12" s="370">
        <v>77</v>
      </c>
    </row>
    <row r="13" spans="2:15" ht="30" customHeight="1">
      <c r="B13" s="397" t="s">
        <v>210</v>
      </c>
      <c r="C13" s="398">
        <v>5600000</v>
      </c>
      <c r="D13" s="398" t="s">
        <v>232</v>
      </c>
      <c r="E13" s="398">
        <v>5600000</v>
      </c>
      <c r="F13" s="398">
        <v>3970000</v>
      </c>
      <c r="G13" s="398">
        <v>3500000</v>
      </c>
      <c r="H13" s="398">
        <v>3500000</v>
      </c>
      <c r="I13" s="398">
        <v>3500000</v>
      </c>
      <c r="J13" s="398">
        <v>3500000</v>
      </c>
      <c r="K13" s="585" t="str">
        <f>IF(SUM(K11:K11)=0,"",SUM(K11:K11))</f>
        <v/>
      </c>
      <c r="L13" s="585" t="str">
        <f>IF(SUM(L11:L11)=0,"",SUM(L11:L11))</f>
        <v/>
      </c>
    </row>
    <row r="14" spans="2:15" ht="16.5" customHeight="1">
      <c r="C14" s="399"/>
      <c r="D14" s="399"/>
    </row>
    <row r="15" spans="2:15" ht="28.5" customHeight="1">
      <c r="B15" s="370" t="s">
        <v>211</v>
      </c>
    </row>
    <row r="16" spans="2:15" ht="28.5" customHeight="1">
      <c r="B16" s="928" t="s">
        <v>212</v>
      </c>
      <c r="C16" s="929"/>
      <c r="D16" s="930"/>
      <c r="E16" s="928" t="s">
        <v>213</v>
      </c>
      <c r="F16" s="930"/>
      <c r="G16" s="928" t="s">
        <v>214</v>
      </c>
      <c r="H16" s="929"/>
      <c r="I16" s="929"/>
      <c r="J16" s="929"/>
      <c r="K16" s="929"/>
      <c r="L16" s="930"/>
    </row>
    <row r="17" spans="2:13" ht="28.5" customHeight="1">
      <c r="B17" s="400"/>
      <c r="D17" s="401"/>
      <c r="E17" s="402"/>
      <c r="F17" s="403" t="s">
        <v>209</v>
      </c>
      <c r="G17" s="404"/>
      <c r="L17" s="401"/>
    </row>
    <row r="18" spans="2:13" ht="28.5" customHeight="1">
      <c r="B18" s="405" t="s">
        <v>233</v>
      </c>
      <c r="C18" s="406"/>
      <c r="D18" s="407"/>
      <c r="E18" s="402"/>
      <c r="F18" s="408">
        <v>1000000</v>
      </c>
      <c r="G18" s="409" t="s">
        <v>234</v>
      </c>
      <c r="H18" s="410"/>
      <c r="I18" s="410"/>
      <c r="J18" s="410"/>
      <c r="K18" s="410"/>
      <c r="L18" s="411"/>
      <c r="M18" s="370">
        <v>4</v>
      </c>
    </row>
    <row r="19" spans="2:13" ht="28.5" customHeight="1">
      <c r="B19" s="405" t="s">
        <v>66</v>
      </c>
      <c r="C19" s="406"/>
      <c r="D19" s="407"/>
      <c r="E19" s="402"/>
      <c r="F19" s="408"/>
      <c r="G19" s="409"/>
      <c r="H19" s="410"/>
      <c r="I19" s="410"/>
      <c r="J19" s="410"/>
      <c r="K19" s="410"/>
      <c r="L19" s="411"/>
      <c r="M19" s="370">
        <v>5</v>
      </c>
    </row>
    <row r="20" spans="2:13" ht="28.5" customHeight="1">
      <c r="B20" s="405" t="s">
        <v>235</v>
      </c>
      <c r="C20" s="406"/>
      <c r="D20" s="407"/>
      <c r="E20" s="402"/>
      <c r="F20" s="408">
        <v>500000</v>
      </c>
      <c r="G20" s="409" t="s">
        <v>234</v>
      </c>
      <c r="H20" s="410"/>
      <c r="I20" s="410"/>
      <c r="J20" s="410"/>
      <c r="K20" s="410"/>
      <c r="L20" s="411"/>
      <c r="M20" s="370">
        <v>6</v>
      </c>
    </row>
    <row r="21" spans="2:13" ht="28.5" customHeight="1">
      <c r="B21" s="405" t="s">
        <v>66</v>
      </c>
      <c r="C21" s="406"/>
      <c r="D21" s="407"/>
      <c r="E21" s="402"/>
      <c r="F21" s="408"/>
      <c r="G21" s="409"/>
      <c r="H21" s="410"/>
      <c r="I21" s="410"/>
      <c r="J21" s="410"/>
      <c r="K21" s="410"/>
      <c r="L21" s="411"/>
      <c r="M21" s="370">
        <v>7</v>
      </c>
    </row>
    <row r="22" spans="2:13" ht="28.5" customHeight="1">
      <c r="B22" s="405" t="s">
        <v>236</v>
      </c>
      <c r="C22" s="406"/>
      <c r="D22" s="407"/>
      <c r="E22" s="402"/>
      <c r="F22" s="408">
        <v>250000</v>
      </c>
      <c r="G22" s="409" t="s">
        <v>237</v>
      </c>
      <c r="H22" s="410"/>
      <c r="I22" s="410"/>
      <c r="J22" s="410"/>
      <c r="K22" s="410"/>
      <c r="L22" s="411"/>
      <c r="M22" s="370">
        <v>8</v>
      </c>
    </row>
    <row r="23" spans="2:13" ht="28.5" customHeight="1">
      <c r="B23" s="405"/>
      <c r="C23" s="406"/>
      <c r="D23" s="407"/>
      <c r="E23" s="402"/>
      <c r="F23" s="408"/>
      <c r="G23" s="409" t="s">
        <v>237</v>
      </c>
      <c r="H23" s="410"/>
      <c r="I23" s="410"/>
      <c r="J23" s="410"/>
      <c r="K23" s="410"/>
      <c r="L23" s="411"/>
    </row>
    <row r="24" spans="2:13" ht="28.5" customHeight="1">
      <c r="B24" s="405"/>
      <c r="C24" s="406"/>
      <c r="D24" s="407"/>
      <c r="E24" s="402"/>
      <c r="F24" s="408"/>
      <c r="G24" s="409" t="s">
        <v>238</v>
      </c>
      <c r="H24" s="410"/>
      <c r="I24" s="410"/>
      <c r="J24" s="410"/>
      <c r="K24" s="410"/>
      <c r="L24" s="411"/>
    </row>
    <row r="25" spans="2:13" ht="28.5" customHeight="1">
      <c r="B25" s="405" t="s">
        <v>66</v>
      </c>
      <c r="C25" s="406"/>
      <c r="D25" s="407"/>
      <c r="E25" s="402"/>
      <c r="F25" s="408"/>
      <c r="G25" s="409"/>
      <c r="H25" s="410"/>
      <c r="I25" s="410"/>
      <c r="J25" s="410"/>
      <c r="K25" s="410"/>
      <c r="L25" s="411"/>
      <c r="M25" s="370">
        <v>9</v>
      </c>
    </row>
    <row r="26" spans="2:13" ht="28.5" customHeight="1">
      <c r="B26" s="405" t="s">
        <v>239</v>
      </c>
      <c r="C26" s="406"/>
      <c r="D26" s="407"/>
      <c r="E26" s="402"/>
      <c r="F26" s="408">
        <v>200000</v>
      </c>
      <c r="G26" s="409" t="s">
        <v>240</v>
      </c>
      <c r="H26" s="410"/>
      <c r="I26" s="410"/>
      <c r="J26" s="410"/>
      <c r="K26" s="410"/>
      <c r="L26" s="411"/>
      <c r="M26" s="370">
        <v>10</v>
      </c>
    </row>
    <row r="27" spans="2:13" ht="28.5" customHeight="1">
      <c r="B27" s="405" t="s">
        <v>66</v>
      </c>
      <c r="C27" s="406"/>
      <c r="D27" s="407"/>
      <c r="E27" s="402"/>
      <c r="F27" s="408"/>
      <c r="G27" s="409"/>
      <c r="H27" s="410"/>
      <c r="I27" s="410"/>
      <c r="J27" s="410"/>
      <c r="K27" s="410"/>
      <c r="L27" s="411"/>
      <c r="M27" s="370">
        <v>11</v>
      </c>
    </row>
    <row r="28" spans="2:13" ht="28.5" customHeight="1">
      <c r="B28" s="405" t="s">
        <v>241</v>
      </c>
      <c r="C28" s="406"/>
      <c r="D28" s="407"/>
      <c r="E28" s="402"/>
      <c r="F28" s="408">
        <v>1000000</v>
      </c>
      <c r="G28" s="409" t="s">
        <v>242</v>
      </c>
      <c r="H28" s="410"/>
      <c r="I28" s="410"/>
      <c r="J28" s="410"/>
      <c r="K28" s="410"/>
      <c r="L28" s="411"/>
      <c r="M28" s="370">
        <v>12</v>
      </c>
    </row>
    <row r="29" spans="2:13" ht="28.5" customHeight="1">
      <c r="B29" s="405" t="s">
        <v>66</v>
      </c>
      <c r="C29" s="406"/>
      <c r="D29" s="407"/>
      <c r="E29" s="402"/>
      <c r="F29" s="408"/>
      <c r="G29" s="409"/>
      <c r="H29" s="410"/>
      <c r="I29" s="410"/>
      <c r="J29" s="410"/>
      <c r="K29" s="410"/>
      <c r="L29" s="411"/>
      <c r="M29" s="370">
        <v>13</v>
      </c>
    </row>
    <row r="30" spans="2:13" ht="28.5" customHeight="1">
      <c r="B30" s="405" t="s">
        <v>243</v>
      </c>
      <c r="C30" s="406"/>
      <c r="D30" s="407"/>
      <c r="E30" s="402"/>
      <c r="F30" s="408">
        <v>250000</v>
      </c>
      <c r="G30" s="409" t="s">
        <v>244</v>
      </c>
      <c r="H30" s="410"/>
      <c r="I30" s="410"/>
      <c r="J30" s="410"/>
      <c r="K30" s="410"/>
      <c r="L30" s="411"/>
      <c r="M30" s="370">
        <v>14</v>
      </c>
    </row>
    <row r="31" spans="2:13" ht="28.5" customHeight="1">
      <c r="B31" s="405" t="s">
        <v>66</v>
      </c>
      <c r="C31" s="406"/>
      <c r="D31" s="407"/>
      <c r="E31" s="402"/>
      <c r="F31" s="408"/>
      <c r="G31" s="409"/>
      <c r="H31" s="410"/>
      <c r="I31" s="410"/>
      <c r="J31" s="410"/>
      <c r="K31" s="410"/>
      <c r="L31" s="411"/>
      <c r="M31" s="370">
        <v>15</v>
      </c>
    </row>
    <row r="32" spans="2:13" ht="28.5" customHeight="1">
      <c r="B32" s="405" t="s">
        <v>245</v>
      </c>
      <c r="C32" s="406"/>
      <c r="D32" s="407"/>
      <c r="E32" s="402"/>
      <c r="F32" s="408">
        <v>50000</v>
      </c>
      <c r="G32" s="409" t="s">
        <v>246</v>
      </c>
      <c r="H32" s="410"/>
      <c r="I32" s="410"/>
      <c r="J32" s="410"/>
      <c r="K32" s="410"/>
      <c r="L32" s="411"/>
      <c r="M32" s="370">
        <v>16</v>
      </c>
    </row>
    <row r="33" spans="2:13" ht="28.5" customHeight="1">
      <c r="B33" s="405" t="s">
        <v>66</v>
      </c>
      <c r="C33" s="406"/>
      <c r="D33" s="407"/>
      <c r="E33" s="402"/>
      <c r="F33" s="408"/>
      <c r="G33" s="409"/>
      <c r="H33" s="410"/>
      <c r="I33" s="410"/>
      <c r="J33" s="410"/>
      <c r="K33" s="410"/>
      <c r="L33" s="411"/>
      <c r="M33" s="370">
        <v>17</v>
      </c>
    </row>
    <row r="34" spans="2:13" ht="28.5" customHeight="1">
      <c r="B34" s="405" t="s">
        <v>247</v>
      </c>
      <c r="C34" s="406"/>
      <c r="D34" s="412"/>
      <c r="E34" s="402"/>
      <c r="F34" s="408">
        <v>20000</v>
      </c>
      <c r="G34" s="409" t="s">
        <v>244</v>
      </c>
      <c r="H34" s="410"/>
      <c r="I34" s="410"/>
      <c r="J34" s="410"/>
      <c r="K34" s="410"/>
      <c r="L34" s="411"/>
      <c r="M34" s="370">
        <v>18</v>
      </c>
    </row>
    <row r="35" spans="2:13" ht="28.5" customHeight="1">
      <c r="B35" s="405" t="s">
        <v>66</v>
      </c>
      <c r="C35" s="406"/>
      <c r="D35" s="407"/>
      <c r="E35" s="402"/>
      <c r="F35" s="408"/>
      <c r="G35" s="409"/>
      <c r="H35" s="410"/>
      <c r="I35" s="410"/>
      <c r="J35" s="410"/>
      <c r="K35" s="410"/>
      <c r="L35" s="411"/>
      <c r="M35" s="370">
        <v>19</v>
      </c>
    </row>
    <row r="36" spans="2:13" ht="28.5" customHeight="1">
      <c r="B36" s="405" t="s">
        <v>248</v>
      </c>
      <c r="C36" s="406"/>
      <c r="D36" s="407"/>
      <c r="E36" s="402"/>
      <c r="F36" s="408"/>
      <c r="G36" s="409"/>
      <c r="H36" s="410"/>
      <c r="I36" s="410"/>
      <c r="J36" s="410"/>
      <c r="K36" s="410"/>
      <c r="L36" s="411"/>
      <c r="M36" s="370">
        <v>20</v>
      </c>
    </row>
    <row r="37" spans="2:13" ht="28.5" customHeight="1">
      <c r="B37" s="405" t="s">
        <v>66</v>
      </c>
      <c r="C37" s="406"/>
      <c r="D37" s="407"/>
      <c r="E37" s="402"/>
      <c r="F37" s="408"/>
      <c r="G37" s="409"/>
      <c r="H37" s="410"/>
      <c r="I37" s="410"/>
      <c r="J37" s="410"/>
      <c r="K37" s="410"/>
      <c r="L37" s="411"/>
      <c r="M37" s="370">
        <v>21</v>
      </c>
    </row>
    <row r="38" spans="2:13" ht="28.5" customHeight="1">
      <c r="B38" s="405" t="s">
        <v>249</v>
      </c>
      <c r="C38" s="406"/>
      <c r="D38" s="407"/>
      <c r="E38" s="402"/>
      <c r="F38" s="408">
        <v>450000</v>
      </c>
      <c r="G38" s="409" t="s">
        <v>250</v>
      </c>
      <c r="H38" s="410"/>
      <c r="I38" s="410"/>
      <c r="J38" s="410"/>
      <c r="K38" s="410"/>
      <c r="L38" s="411"/>
      <c r="M38" s="370">
        <v>22</v>
      </c>
    </row>
    <row r="39" spans="2:13" ht="28.5" customHeight="1">
      <c r="B39" s="405" t="s">
        <v>66</v>
      </c>
      <c r="C39" s="406"/>
      <c r="D39" s="407"/>
      <c r="E39" s="402"/>
      <c r="F39" s="408"/>
      <c r="G39" s="409"/>
      <c r="H39" s="410"/>
      <c r="I39" s="410"/>
      <c r="J39" s="410"/>
      <c r="K39" s="410"/>
      <c r="L39" s="411"/>
      <c r="M39" s="370">
        <v>23</v>
      </c>
    </row>
    <row r="40" spans="2:13" ht="28.5" customHeight="1">
      <c r="B40" s="405" t="s">
        <v>251</v>
      </c>
      <c r="C40" s="406"/>
      <c r="D40" s="407"/>
      <c r="E40" s="402"/>
      <c r="F40" s="408"/>
      <c r="G40" s="409"/>
      <c r="H40" s="410"/>
      <c r="I40" s="410"/>
      <c r="J40" s="410"/>
      <c r="K40" s="410"/>
      <c r="L40" s="411"/>
      <c r="M40" s="370">
        <v>24</v>
      </c>
    </row>
    <row r="41" spans="2:13" ht="28.5" customHeight="1">
      <c r="B41" s="405" t="s">
        <v>66</v>
      </c>
      <c r="C41" s="406"/>
      <c r="D41" s="407"/>
      <c r="E41" s="402"/>
      <c r="F41" s="408"/>
      <c r="G41" s="409"/>
      <c r="H41" s="410"/>
      <c r="I41" s="410"/>
      <c r="J41" s="410"/>
      <c r="K41" s="410"/>
      <c r="L41" s="411"/>
      <c r="M41" s="370">
        <v>25</v>
      </c>
    </row>
    <row r="42" spans="2:13" ht="28.5" customHeight="1">
      <c r="B42" s="405" t="s">
        <v>252</v>
      </c>
      <c r="C42" s="406"/>
      <c r="D42" s="407"/>
      <c r="E42" s="402"/>
      <c r="F42" s="408">
        <v>100000</v>
      </c>
      <c r="G42" s="409" t="s">
        <v>234</v>
      </c>
      <c r="H42" s="410"/>
      <c r="I42" s="410"/>
      <c r="J42" s="410"/>
      <c r="K42" s="410"/>
      <c r="L42" s="411"/>
      <c r="M42" s="370">
        <v>26</v>
      </c>
    </row>
    <row r="43" spans="2:13" ht="28.5" customHeight="1">
      <c r="B43" s="405" t="s">
        <v>66</v>
      </c>
      <c r="C43" s="406"/>
      <c r="D43" s="407"/>
      <c r="E43" s="402"/>
      <c r="F43" s="408"/>
      <c r="G43" s="409"/>
      <c r="H43" s="410"/>
      <c r="I43" s="410"/>
      <c r="J43" s="410"/>
      <c r="K43" s="410"/>
      <c r="L43" s="411"/>
      <c r="M43" s="370">
        <v>27</v>
      </c>
    </row>
    <row r="44" spans="2:13" ht="28.5" customHeight="1">
      <c r="B44" s="405" t="s">
        <v>253</v>
      </c>
      <c r="C44" s="406"/>
      <c r="D44" s="407"/>
      <c r="E44" s="402"/>
      <c r="F44" s="408">
        <v>150000</v>
      </c>
      <c r="G44" s="409" t="s">
        <v>246</v>
      </c>
      <c r="H44" s="410"/>
      <c r="I44" s="410"/>
      <c r="J44" s="410"/>
      <c r="K44" s="410"/>
      <c r="L44" s="411"/>
      <c r="M44" s="370">
        <v>28</v>
      </c>
    </row>
    <row r="45" spans="2:13" ht="28.5" customHeight="1">
      <c r="B45" s="405" t="s">
        <v>66</v>
      </c>
      <c r="C45" s="406"/>
      <c r="D45" s="407"/>
      <c r="E45" s="402"/>
      <c r="F45" s="408"/>
      <c r="G45" s="409"/>
      <c r="H45" s="410"/>
      <c r="I45" s="410"/>
      <c r="J45" s="410"/>
      <c r="K45" s="410"/>
      <c r="L45" s="411"/>
      <c r="M45" s="370">
        <v>29</v>
      </c>
    </row>
    <row r="46" spans="2:13" ht="28.5" customHeight="1">
      <c r="B46" s="405" t="s">
        <v>254</v>
      </c>
      <c r="C46" s="406"/>
      <c r="D46" s="407"/>
      <c r="E46" s="402"/>
      <c r="F46" s="408"/>
      <c r="G46" s="409"/>
      <c r="H46" s="410"/>
      <c r="I46" s="410"/>
      <c r="J46" s="410"/>
      <c r="K46" s="410"/>
      <c r="L46" s="411"/>
      <c r="M46" s="370">
        <v>30</v>
      </c>
    </row>
    <row r="47" spans="2:13" ht="28.5" customHeight="1">
      <c r="B47" s="405" t="s">
        <v>249</v>
      </c>
      <c r="C47" s="406"/>
      <c r="D47" s="413"/>
      <c r="E47" s="402"/>
      <c r="F47" s="408"/>
      <c r="G47" s="409"/>
      <c r="H47" s="410"/>
      <c r="I47" s="410"/>
      <c r="J47" s="410"/>
      <c r="K47" s="410"/>
      <c r="L47" s="411"/>
      <c r="M47" s="370">
        <v>31</v>
      </c>
    </row>
    <row r="48" spans="2:13" ht="28.5" customHeight="1">
      <c r="B48" s="928" t="s">
        <v>215</v>
      </c>
      <c r="C48" s="929"/>
      <c r="D48" s="930"/>
      <c r="E48" s="414"/>
      <c r="F48" s="417">
        <v>3970000</v>
      </c>
      <c r="G48" s="414"/>
      <c r="H48" s="415"/>
      <c r="I48" s="415"/>
      <c r="J48" s="415"/>
      <c r="K48" s="415"/>
      <c r="L48" s="416"/>
    </row>
    <row r="49" spans="2:2" ht="19.5" customHeight="1"/>
    <row r="50" spans="2:2">
      <c r="B50" s="313" t="s">
        <v>255</v>
      </c>
    </row>
  </sheetData>
  <sheetProtection formatCells="0" formatColumns="0" formatRows="0" insertColumns="0" insertRows="0" insertHyperlinks="0" deleteColumns="0" deleteRows="0" sort="0" autoFilter="0" pivotTables="0"/>
  <mergeCells count="15">
    <mergeCell ref="J6:J8"/>
    <mergeCell ref="B16:D16"/>
    <mergeCell ref="E16:F16"/>
    <mergeCell ref="B48:D48"/>
    <mergeCell ref="G16:L16"/>
    <mergeCell ref="K6:K8"/>
    <mergeCell ref="L6:L8"/>
    <mergeCell ref="K11:K12"/>
    <mergeCell ref="L11:L12"/>
    <mergeCell ref="B3:I3"/>
    <mergeCell ref="C6:C8"/>
    <mergeCell ref="E6:E8"/>
    <mergeCell ref="G6:G8"/>
    <mergeCell ref="H6:H8"/>
    <mergeCell ref="I6:I8"/>
  </mergeCells>
  <phoneticPr fontId="4"/>
  <printOptions horizontalCentered="1"/>
  <pageMargins left="0.62992125984251968" right="0.59055118110236227" top="0.59055118110236227" bottom="0.59055118110236227" header="0.51181102362204722" footer="0.51181102362204722"/>
  <pageSetup paperSize="9" scale="37" orientation="portrait" r:id="rId1"/>
  <headerFooter alignWithMargins="0"/>
  <colBreaks count="1" manualBreakCount="1">
    <brk id="12" max="4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A48"/>
  <sheetViews>
    <sheetView view="pageBreakPreview" zoomScaleNormal="100" zoomScaleSheetLayoutView="100" workbookViewId="0">
      <selection activeCell="B9" sqref="B9:M10"/>
    </sheetView>
  </sheetViews>
  <sheetFormatPr defaultColWidth="3.625" defaultRowHeight="13.15"/>
  <cols>
    <col min="1" max="1" width="4.375" style="1" customWidth="1"/>
    <col min="2" max="22" width="3.625" style="1" customWidth="1"/>
    <col min="23" max="23" width="4.625" style="1" customWidth="1"/>
    <col min="24" max="24" width="3.625" style="1" customWidth="1"/>
    <col min="25" max="25" width="4.625" style="1" customWidth="1"/>
    <col min="26" max="26" width="3.625" style="1"/>
    <col min="27" max="27" width="0" style="1" hidden="1" customWidth="1"/>
    <col min="28"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2" width="3.625" style="1"/>
    <col min="283" max="283" width="0" style="1" hidden="1" customWidth="1"/>
    <col min="284"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8" width="3.625" style="1"/>
    <col min="539" max="539" width="0" style="1" hidden="1" customWidth="1"/>
    <col min="540"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4" width="3.625" style="1"/>
    <col min="795" max="795" width="0" style="1" hidden="1" customWidth="1"/>
    <col min="796"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0" width="3.625" style="1"/>
    <col min="1051" max="1051" width="0" style="1" hidden="1" customWidth="1"/>
    <col min="1052"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6" width="3.625" style="1"/>
    <col min="1307" max="1307" width="0" style="1" hidden="1" customWidth="1"/>
    <col min="1308"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2" width="3.625" style="1"/>
    <col min="1563" max="1563" width="0" style="1" hidden="1" customWidth="1"/>
    <col min="1564"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8" width="3.625" style="1"/>
    <col min="1819" max="1819" width="0" style="1" hidden="1" customWidth="1"/>
    <col min="1820"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4" width="3.625" style="1"/>
    <col min="2075" max="2075" width="0" style="1" hidden="1" customWidth="1"/>
    <col min="2076"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0" width="3.625" style="1"/>
    <col min="2331" max="2331" width="0" style="1" hidden="1" customWidth="1"/>
    <col min="2332"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6" width="3.625" style="1"/>
    <col min="2587" max="2587" width="0" style="1" hidden="1" customWidth="1"/>
    <col min="2588"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2" width="3.625" style="1"/>
    <col min="2843" max="2843" width="0" style="1" hidden="1" customWidth="1"/>
    <col min="2844"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8" width="3.625" style="1"/>
    <col min="3099" max="3099" width="0" style="1" hidden="1" customWidth="1"/>
    <col min="3100"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4" width="3.625" style="1"/>
    <col min="3355" max="3355" width="0" style="1" hidden="1" customWidth="1"/>
    <col min="3356"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0" width="3.625" style="1"/>
    <col min="3611" max="3611" width="0" style="1" hidden="1" customWidth="1"/>
    <col min="3612"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6" width="3.625" style="1"/>
    <col min="3867" max="3867" width="0" style="1" hidden="1" customWidth="1"/>
    <col min="3868"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2" width="3.625" style="1"/>
    <col min="4123" max="4123" width="0" style="1" hidden="1" customWidth="1"/>
    <col min="4124"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8" width="3.625" style="1"/>
    <col min="4379" max="4379" width="0" style="1" hidden="1" customWidth="1"/>
    <col min="4380"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4" width="3.625" style="1"/>
    <col min="4635" max="4635" width="0" style="1" hidden="1" customWidth="1"/>
    <col min="4636"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0" width="3.625" style="1"/>
    <col min="4891" max="4891" width="0" style="1" hidden="1" customWidth="1"/>
    <col min="4892"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6" width="3.625" style="1"/>
    <col min="5147" max="5147" width="0" style="1" hidden="1" customWidth="1"/>
    <col min="5148"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2" width="3.625" style="1"/>
    <col min="5403" max="5403" width="0" style="1" hidden="1" customWidth="1"/>
    <col min="5404"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8" width="3.625" style="1"/>
    <col min="5659" max="5659" width="0" style="1" hidden="1" customWidth="1"/>
    <col min="5660"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4" width="3.625" style="1"/>
    <col min="5915" max="5915" width="0" style="1" hidden="1" customWidth="1"/>
    <col min="5916"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0" width="3.625" style="1"/>
    <col min="6171" max="6171" width="0" style="1" hidden="1" customWidth="1"/>
    <col min="6172"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6" width="3.625" style="1"/>
    <col min="6427" max="6427" width="0" style="1" hidden="1" customWidth="1"/>
    <col min="6428"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2" width="3.625" style="1"/>
    <col min="6683" max="6683" width="0" style="1" hidden="1" customWidth="1"/>
    <col min="6684"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8" width="3.625" style="1"/>
    <col min="6939" max="6939" width="0" style="1" hidden="1" customWidth="1"/>
    <col min="6940"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4" width="3.625" style="1"/>
    <col min="7195" max="7195" width="0" style="1" hidden="1" customWidth="1"/>
    <col min="7196"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0" width="3.625" style="1"/>
    <col min="7451" max="7451" width="0" style="1" hidden="1" customWidth="1"/>
    <col min="7452"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6" width="3.625" style="1"/>
    <col min="7707" max="7707" width="0" style="1" hidden="1" customWidth="1"/>
    <col min="7708"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2" width="3.625" style="1"/>
    <col min="7963" max="7963" width="0" style="1" hidden="1" customWidth="1"/>
    <col min="7964"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8" width="3.625" style="1"/>
    <col min="8219" max="8219" width="0" style="1" hidden="1" customWidth="1"/>
    <col min="8220"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4" width="3.625" style="1"/>
    <col min="8475" max="8475" width="0" style="1" hidden="1" customWidth="1"/>
    <col min="8476"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0" width="3.625" style="1"/>
    <col min="8731" max="8731" width="0" style="1" hidden="1" customWidth="1"/>
    <col min="8732"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6" width="3.625" style="1"/>
    <col min="8987" max="8987" width="0" style="1" hidden="1" customWidth="1"/>
    <col min="8988"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2" width="3.625" style="1"/>
    <col min="9243" max="9243" width="0" style="1" hidden="1" customWidth="1"/>
    <col min="9244"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8" width="3.625" style="1"/>
    <col min="9499" max="9499" width="0" style="1" hidden="1" customWidth="1"/>
    <col min="9500"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4" width="3.625" style="1"/>
    <col min="9755" max="9755" width="0" style="1" hidden="1" customWidth="1"/>
    <col min="9756"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0" width="3.625" style="1"/>
    <col min="10011" max="10011" width="0" style="1" hidden="1" customWidth="1"/>
    <col min="10012"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6" width="3.625" style="1"/>
    <col min="10267" max="10267" width="0" style="1" hidden="1" customWidth="1"/>
    <col min="10268"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2" width="3.625" style="1"/>
    <col min="10523" max="10523" width="0" style="1" hidden="1" customWidth="1"/>
    <col min="10524"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8" width="3.625" style="1"/>
    <col min="10779" max="10779" width="0" style="1" hidden="1" customWidth="1"/>
    <col min="10780"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4" width="3.625" style="1"/>
    <col min="11035" max="11035" width="0" style="1" hidden="1" customWidth="1"/>
    <col min="11036"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0" width="3.625" style="1"/>
    <col min="11291" max="11291" width="0" style="1" hidden="1" customWidth="1"/>
    <col min="11292"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6" width="3.625" style="1"/>
    <col min="11547" max="11547" width="0" style="1" hidden="1" customWidth="1"/>
    <col min="11548"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2" width="3.625" style="1"/>
    <col min="11803" max="11803" width="0" style="1" hidden="1" customWidth="1"/>
    <col min="11804"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8" width="3.625" style="1"/>
    <col min="12059" max="12059" width="0" style="1" hidden="1" customWidth="1"/>
    <col min="12060"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4" width="3.625" style="1"/>
    <col min="12315" max="12315" width="0" style="1" hidden="1" customWidth="1"/>
    <col min="12316"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0" width="3.625" style="1"/>
    <col min="12571" max="12571" width="0" style="1" hidden="1" customWidth="1"/>
    <col min="12572"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6" width="3.625" style="1"/>
    <col min="12827" max="12827" width="0" style="1" hidden="1" customWidth="1"/>
    <col min="12828"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2" width="3.625" style="1"/>
    <col min="13083" max="13083" width="0" style="1" hidden="1" customWidth="1"/>
    <col min="13084"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8" width="3.625" style="1"/>
    <col min="13339" max="13339" width="0" style="1" hidden="1" customWidth="1"/>
    <col min="13340"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4" width="3.625" style="1"/>
    <col min="13595" max="13595" width="0" style="1" hidden="1" customWidth="1"/>
    <col min="13596"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0" width="3.625" style="1"/>
    <col min="13851" max="13851" width="0" style="1" hidden="1" customWidth="1"/>
    <col min="13852"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6" width="3.625" style="1"/>
    <col min="14107" max="14107" width="0" style="1" hidden="1" customWidth="1"/>
    <col min="14108"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2" width="3.625" style="1"/>
    <col min="14363" max="14363" width="0" style="1" hidden="1" customWidth="1"/>
    <col min="14364"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8" width="3.625" style="1"/>
    <col min="14619" max="14619" width="0" style="1" hidden="1" customWidth="1"/>
    <col min="14620"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4" width="3.625" style="1"/>
    <col min="14875" max="14875" width="0" style="1" hidden="1" customWidth="1"/>
    <col min="14876"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0" width="3.625" style="1"/>
    <col min="15131" max="15131" width="0" style="1" hidden="1" customWidth="1"/>
    <col min="15132"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6" width="3.625" style="1"/>
    <col min="15387" max="15387" width="0" style="1" hidden="1" customWidth="1"/>
    <col min="15388"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2" width="3.625" style="1"/>
    <col min="15643" max="15643" width="0" style="1" hidden="1" customWidth="1"/>
    <col min="15644"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8" width="3.625" style="1"/>
    <col min="15899" max="15899" width="0" style="1" hidden="1" customWidth="1"/>
    <col min="15900"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4" width="3.625" style="1"/>
    <col min="16155" max="16155" width="0" style="1" hidden="1" customWidth="1"/>
    <col min="16156" max="16384" width="3.625" style="1"/>
  </cols>
  <sheetData>
    <row r="1" spans="1:27" ht="18.75" customHeight="1">
      <c r="B1" s="305"/>
      <c r="AA1" s="1" t="s">
        <v>256</v>
      </c>
    </row>
    <row r="2" spans="1:27" ht="9" customHeight="1"/>
    <row r="3" spans="1:27" ht="18.75" customHeight="1">
      <c r="A3" s="952" t="s">
        <v>257</v>
      </c>
      <c r="B3" s="952"/>
      <c r="C3" s="952"/>
      <c r="D3" s="952"/>
      <c r="E3" s="952"/>
      <c r="F3" s="952"/>
      <c r="G3" s="952"/>
      <c r="H3" s="952"/>
      <c r="I3" s="952"/>
      <c r="J3" s="952"/>
      <c r="K3" s="952"/>
      <c r="L3" s="952"/>
      <c r="M3" s="952"/>
      <c r="N3" s="952"/>
      <c r="O3" s="952"/>
      <c r="P3" s="952"/>
      <c r="Q3" s="952"/>
      <c r="R3" s="952"/>
      <c r="S3" s="952"/>
      <c r="T3" s="952"/>
      <c r="U3" s="952"/>
      <c r="V3" s="952"/>
      <c r="W3" s="952"/>
      <c r="X3" s="952"/>
      <c r="Y3" s="952"/>
    </row>
    <row r="4" spans="1:27" ht="9" customHeight="1"/>
    <row r="5" spans="1:27" ht="18.75" customHeight="1">
      <c r="N5" s="101" t="s">
        <v>258</v>
      </c>
    </row>
    <row r="6" spans="1:27" ht="18.75" customHeight="1">
      <c r="N6" s="953"/>
      <c r="O6" s="953"/>
      <c r="P6" s="953"/>
      <c r="Q6" s="953"/>
      <c r="R6" s="953"/>
      <c r="S6" s="953"/>
      <c r="T6" s="953"/>
      <c r="U6" s="953"/>
      <c r="V6" s="953"/>
      <c r="W6" s="953"/>
      <c r="X6" s="953"/>
      <c r="Y6" s="953"/>
    </row>
    <row r="7" spans="1:27" ht="18.75" customHeight="1">
      <c r="N7" s="35"/>
      <c r="O7" s="35"/>
      <c r="P7" s="35"/>
      <c r="Q7" s="35"/>
      <c r="R7" s="35"/>
      <c r="S7" s="35"/>
      <c r="T7" s="35"/>
      <c r="U7" s="35"/>
      <c r="V7" s="35"/>
      <c r="W7" s="35"/>
      <c r="X7" s="35"/>
      <c r="Y7" s="35"/>
    </row>
    <row r="8" spans="1:27" ht="15" customHeight="1">
      <c r="C8" s="948" t="s">
        <v>259</v>
      </c>
      <c r="D8" s="948"/>
      <c r="E8" s="948"/>
      <c r="F8" s="948"/>
      <c r="G8" s="948"/>
      <c r="H8" s="948"/>
      <c r="I8" s="948"/>
      <c r="J8" s="948"/>
      <c r="K8" s="284"/>
      <c r="L8" s="954"/>
      <c r="M8" s="954"/>
      <c r="N8" s="948" t="s">
        <v>260</v>
      </c>
      <c r="O8" s="948"/>
    </row>
    <row r="9" spans="1:27" ht="30" customHeight="1">
      <c r="C9" s="950" t="s">
        <v>261</v>
      </c>
      <c r="D9" s="950"/>
      <c r="E9" s="950"/>
      <c r="F9" s="950"/>
      <c r="G9" s="950"/>
      <c r="H9" s="950"/>
      <c r="I9" s="950"/>
      <c r="J9" s="950"/>
      <c r="K9" s="950"/>
      <c r="L9" s="950"/>
      <c r="M9" s="950"/>
      <c r="N9" s="950"/>
      <c r="O9" s="950"/>
      <c r="P9" s="950"/>
      <c r="Q9" s="950"/>
      <c r="R9" s="950"/>
      <c r="S9" s="950"/>
      <c r="T9" s="950"/>
      <c r="U9" s="950"/>
      <c r="V9" s="950"/>
      <c r="W9" s="950"/>
      <c r="X9" s="950"/>
    </row>
    <row r="10" spans="1:27" ht="15" customHeight="1"/>
    <row r="11" spans="1:27" ht="15" customHeight="1">
      <c r="C11" s="1" t="s">
        <v>262</v>
      </c>
      <c r="H11" s="101"/>
      <c r="I11" s="101"/>
      <c r="J11" s="101"/>
      <c r="K11" s="101"/>
      <c r="L11" s="101"/>
      <c r="M11" s="101"/>
      <c r="N11" s="101"/>
      <c r="O11" s="101"/>
      <c r="P11" s="101"/>
      <c r="Q11" s="101"/>
      <c r="R11" s="101"/>
      <c r="S11" s="101"/>
      <c r="T11" s="34" t="s">
        <v>263</v>
      </c>
      <c r="U11" s="939">
        <f>IF(AND(L8&gt;=1,L8&lt;8),ROUNDDOWN(E16*P16,0),IF(AND(L8&gt;=8,L8&lt;15),ROUNDDOWN(E19*P19,0),IF(AND(L8&gt;=15,L8&lt;22),ROUNDDOWN(E22*P22,0),0)))</f>
        <v>0</v>
      </c>
      <c r="V11" s="939"/>
      <c r="W11" s="939"/>
      <c r="X11" s="939"/>
      <c r="Y11" s="1" t="s">
        <v>264</v>
      </c>
    </row>
    <row r="12" spans="1:27" ht="18" customHeight="1">
      <c r="D12" s="950" t="s">
        <v>265</v>
      </c>
      <c r="E12" s="950"/>
      <c r="F12" s="950"/>
      <c r="G12" s="950"/>
      <c r="H12" s="950"/>
      <c r="I12" s="950"/>
      <c r="J12" s="950"/>
      <c r="K12" s="950"/>
      <c r="L12" s="950"/>
      <c r="M12" s="950"/>
      <c r="N12" s="950"/>
      <c r="O12" s="950"/>
      <c r="P12" s="950"/>
      <c r="Q12" s="950"/>
      <c r="R12" s="950"/>
      <c r="S12" s="950"/>
      <c r="T12" s="950"/>
      <c r="U12" s="950"/>
      <c r="V12" s="950"/>
      <c r="W12" s="950"/>
      <c r="X12" s="950"/>
      <c r="Y12" s="950"/>
    </row>
    <row r="13" spans="1:27" ht="18" customHeight="1">
      <c r="D13" s="950"/>
      <c r="E13" s="950"/>
      <c r="F13" s="950"/>
      <c r="G13" s="950"/>
      <c r="H13" s="950"/>
      <c r="I13" s="950"/>
      <c r="J13" s="950"/>
      <c r="K13" s="950"/>
      <c r="L13" s="950"/>
      <c r="M13" s="950"/>
      <c r="N13" s="950"/>
      <c r="O13" s="950"/>
      <c r="P13" s="950"/>
      <c r="Q13" s="950"/>
      <c r="R13" s="950"/>
      <c r="S13" s="950"/>
      <c r="T13" s="950"/>
      <c r="U13" s="950"/>
      <c r="V13" s="950"/>
      <c r="W13" s="950"/>
      <c r="X13" s="950"/>
      <c r="Y13" s="950"/>
    </row>
    <row r="14" spans="1:27" ht="9" customHeight="1">
      <c r="I14" s="35"/>
      <c r="J14" s="35"/>
      <c r="T14" s="34"/>
      <c r="U14" s="256"/>
      <c r="V14" s="256"/>
      <c r="W14" s="256"/>
      <c r="X14" s="256"/>
    </row>
    <row r="15" spans="1:27" ht="18" customHeight="1">
      <c r="B15" s="33"/>
      <c r="D15" s="951" t="s">
        <v>266</v>
      </c>
      <c r="E15" s="951"/>
      <c r="F15" s="951"/>
      <c r="G15" s="951"/>
      <c r="H15" s="951"/>
      <c r="I15" s="951"/>
      <c r="J15" s="951"/>
      <c r="K15" s="951"/>
      <c r="L15" s="951"/>
      <c r="M15" s="951"/>
      <c r="N15" s="951"/>
      <c r="O15" s="951"/>
      <c r="P15" s="951"/>
      <c r="Q15" s="951"/>
      <c r="R15" s="951"/>
      <c r="S15" s="951"/>
      <c r="T15" s="951"/>
      <c r="U15" s="62"/>
      <c r="V15" s="62"/>
      <c r="W15" s="62"/>
      <c r="X15" s="62"/>
    </row>
    <row r="16" spans="1:27" ht="18" customHeight="1">
      <c r="B16" s="944"/>
      <c r="C16" s="945"/>
      <c r="D16" s="34"/>
      <c r="E16" s="955">
        <v>5175</v>
      </c>
      <c r="F16" s="943"/>
      <c r="G16" s="943"/>
      <c r="H16" s="1" t="s">
        <v>267</v>
      </c>
      <c r="J16" s="35" t="s">
        <v>268</v>
      </c>
      <c r="K16" s="35"/>
      <c r="L16" s="949" t="s">
        <v>269</v>
      </c>
      <c r="M16" s="949"/>
      <c r="N16" s="949"/>
      <c r="O16" s="949"/>
      <c r="P16" s="948"/>
      <c r="Q16" s="948"/>
      <c r="R16" s="948" t="s">
        <v>270</v>
      </c>
      <c r="S16" s="948"/>
      <c r="T16" s="34"/>
      <c r="U16" s="62"/>
      <c r="V16" s="62"/>
      <c r="W16" s="62"/>
      <c r="X16" s="62"/>
    </row>
    <row r="17" spans="1:25" ht="9" customHeight="1">
      <c r="B17" s="29"/>
      <c r="C17" s="29"/>
      <c r="D17" s="34"/>
      <c r="E17" s="154"/>
      <c r="F17" s="154"/>
      <c r="G17" s="154"/>
      <c r="K17" s="35"/>
      <c r="M17" s="36"/>
      <c r="N17" s="36"/>
      <c r="O17" s="36"/>
      <c r="P17" s="36"/>
      <c r="Q17" s="154"/>
      <c r="R17" s="154"/>
      <c r="T17" s="34"/>
      <c r="U17" s="62"/>
      <c r="V17" s="62"/>
      <c r="W17" s="62"/>
      <c r="X17" s="62"/>
    </row>
    <row r="18" spans="1:25" ht="18" customHeight="1">
      <c r="B18" s="33"/>
      <c r="D18" s="951" t="s">
        <v>271</v>
      </c>
      <c r="E18" s="951"/>
      <c r="F18" s="951"/>
      <c r="G18" s="951"/>
      <c r="H18" s="951"/>
      <c r="I18" s="951"/>
      <c r="J18" s="951"/>
      <c r="K18" s="951"/>
      <c r="L18" s="951"/>
      <c r="M18" s="951"/>
      <c r="N18" s="951"/>
      <c r="O18" s="951"/>
      <c r="P18" s="951"/>
      <c r="Q18" s="951"/>
      <c r="R18" s="951"/>
      <c r="S18" s="951"/>
      <c r="T18" s="951"/>
      <c r="U18" s="62"/>
      <c r="V18" s="62"/>
      <c r="W18" s="62"/>
      <c r="X18" s="62"/>
    </row>
    <row r="19" spans="1:25" ht="18" customHeight="1">
      <c r="B19" s="944"/>
      <c r="C19" s="945"/>
      <c r="D19" s="34"/>
      <c r="E19" s="946">
        <v>5750</v>
      </c>
      <c r="F19" s="947"/>
      <c r="G19" s="947"/>
      <c r="H19" s="1" t="s">
        <v>267</v>
      </c>
      <c r="J19" s="35" t="s">
        <v>268</v>
      </c>
      <c r="K19" s="35"/>
      <c r="L19" s="949" t="s">
        <v>269</v>
      </c>
      <c r="M19" s="949"/>
      <c r="N19" s="949"/>
      <c r="O19" s="949"/>
      <c r="P19" s="948"/>
      <c r="Q19" s="948"/>
      <c r="R19" s="948" t="s">
        <v>270</v>
      </c>
      <c r="S19" s="948"/>
      <c r="T19" s="34"/>
      <c r="U19" s="62"/>
      <c r="V19" s="62"/>
      <c r="W19" s="62"/>
      <c r="X19" s="62"/>
    </row>
    <row r="20" spans="1:25" ht="14.25" customHeight="1">
      <c r="B20" s="29"/>
      <c r="C20" s="29"/>
      <c r="D20" s="34"/>
      <c r="E20" s="38"/>
      <c r="F20" s="38"/>
      <c r="G20" s="38"/>
      <c r="K20" s="35"/>
      <c r="M20" s="36"/>
      <c r="N20" s="36"/>
      <c r="O20" s="36"/>
      <c r="P20" s="36"/>
      <c r="Q20" s="38"/>
      <c r="R20" s="38"/>
      <c r="T20" s="34"/>
      <c r="U20" s="62"/>
      <c r="V20" s="62"/>
      <c r="W20" s="62"/>
      <c r="X20" s="62"/>
    </row>
    <row r="21" spans="1:25" ht="26.25" customHeight="1">
      <c r="B21" s="33"/>
      <c r="D21" s="951" t="s">
        <v>272</v>
      </c>
      <c r="E21" s="951"/>
      <c r="F21" s="951"/>
      <c r="G21" s="951"/>
      <c r="H21" s="951"/>
      <c r="I21" s="951"/>
      <c r="J21" s="951"/>
      <c r="K21" s="951"/>
      <c r="L21" s="951"/>
      <c r="M21" s="951"/>
      <c r="N21" s="951"/>
      <c r="O21" s="951"/>
      <c r="P21" s="951"/>
      <c r="Q21" s="951"/>
      <c r="R21" s="951"/>
      <c r="S21" s="951"/>
      <c r="T21" s="951"/>
      <c r="U21" s="62"/>
      <c r="V21" s="62"/>
      <c r="W21" s="62"/>
      <c r="X21" s="62"/>
    </row>
    <row r="22" spans="1:25" s="11" customFormat="1" ht="19.5" customHeight="1">
      <c r="A22" s="1"/>
      <c r="B22" s="944"/>
      <c r="C22" s="945"/>
      <c r="D22" s="34"/>
      <c r="E22" s="946">
        <v>6325</v>
      </c>
      <c r="F22" s="947"/>
      <c r="G22" s="947"/>
      <c r="H22" s="1" t="s">
        <v>267</v>
      </c>
      <c r="I22" s="1"/>
      <c r="J22" s="35" t="s">
        <v>268</v>
      </c>
      <c r="K22" s="35"/>
      <c r="L22" s="949" t="s">
        <v>269</v>
      </c>
      <c r="M22" s="949"/>
      <c r="N22" s="949"/>
      <c r="O22" s="949"/>
      <c r="P22" s="948"/>
      <c r="Q22" s="948"/>
      <c r="R22" s="948" t="s">
        <v>270</v>
      </c>
      <c r="S22" s="948"/>
      <c r="T22" s="34"/>
      <c r="U22" s="62"/>
      <c r="V22" s="62"/>
      <c r="W22" s="62"/>
      <c r="X22" s="62"/>
      <c r="Y22" s="1"/>
    </row>
    <row r="23" spans="1:25" s="11" customFormat="1" ht="19.5" customHeight="1">
      <c r="A23" s="1"/>
      <c r="B23" s="29"/>
      <c r="C23" s="29"/>
      <c r="D23" s="34"/>
      <c r="E23" s="154"/>
      <c r="F23" s="154"/>
      <c r="G23" s="154"/>
      <c r="H23" s="1"/>
      <c r="I23" s="1"/>
      <c r="J23" s="1"/>
      <c r="K23" s="35"/>
      <c r="L23" s="1"/>
      <c r="M23" s="36"/>
      <c r="N23" s="36"/>
      <c r="O23" s="36"/>
      <c r="P23" s="36"/>
      <c r="Q23" s="154"/>
      <c r="R23" s="154"/>
      <c r="S23" s="1"/>
      <c r="T23" s="34"/>
      <c r="U23" s="62"/>
      <c r="V23" s="62"/>
      <c r="W23" s="62"/>
      <c r="X23" s="62"/>
      <c r="Y23" s="1"/>
    </row>
    <row r="24" spans="1:25" s="11" customFormat="1" ht="13.5" customHeight="1">
      <c r="A24" s="1"/>
      <c r="B24" s="29"/>
      <c r="C24" s="29"/>
      <c r="D24" s="34"/>
      <c r="E24" s="154"/>
      <c r="F24" s="154"/>
      <c r="G24" s="154"/>
      <c r="H24" s="1"/>
      <c r="I24" s="1"/>
      <c r="J24" s="1"/>
      <c r="K24" s="35"/>
      <c r="L24" s="1"/>
      <c r="M24" s="36"/>
      <c r="N24" s="36"/>
      <c r="O24" s="36"/>
      <c r="P24" s="36"/>
      <c r="Q24" s="154"/>
      <c r="R24" s="154"/>
      <c r="S24" s="1"/>
      <c r="T24" s="34"/>
      <c r="U24" s="62"/>
      <c r="V24" s="62"/>
      <c r="W24" s="62"/>
      <c r="X24" s="62"/>
      <c r="Y24" s="1"/>
    </row>
    <row r="25" spans="1:25">
      <c r="A25" s="11"/>
      <c r="C25" s="1" t="s">
        <v>273</v>
      </c>
      <c r="D25" s="34"/>
      <c r="E25" s="62"/>
      <c r="L25" s="937" t="s">
        <v>274</v>
      </c>
      <c r="M25" s="937"/>
      <c r="N25" s="937"/>
      <c r="O25" s="937"/>
      <c r="P25" s="943">
        <v>298000</v>
      </c>
      <c r="Q25" s="943"/>
      <c r="R25" s="943"/>
      <c r="S25" s="1" t="s">
        <v>267</v>
      </c>
      <c r="T25" s="43" t="s">
        <v>263</v>
      </c>
      <c r="U25" s="939">
        <f>IF(D26="○",P25,0)</f>
        <v>0</v>
      </c>
      <c r="V25" s="939"/>
      <c r="W25" s="939"/>
      <c r="X25" s="939"/>
      <c r="Y25" s="11" t="s">
        <v>264</v>
      </c>
    </row>
    <row r="26" spans="1:25" s="11" customFormat="1" ht="19.5" customHeight="1">
      <c r="C26" s="30"/>
      <c r="D26" s="257"/>
      <c r="E26" s="940"/>
      <c r="F26" s="941"/>
      <c r="G26" s="941"/>
      <c r="H26" s="941"/>
      <c r="I26" s="941"/>
      <c r="J26" s="941"/>
      <c r="K26" s="941"/>
      <c r="L26" s="941"/>
      <c r="M26" s="941"/>
      <c r="N26" s="941"/>
      <c r="O26" s="941"/>
      <c r="P26" s="941"/>
      <c r="Q26" s="941"/>
      <c r="R26" s="941"/>
      <c r="S26" s="941"/>
      <c r="T26" s="43"/>
      <c r="U26" s="256"/>
      <c r="V26" s="256"/>
      <c r="W26" s="256"/>
      <c r="X26" s="256"/>
    </row>
    <row r="27" spans="1:25" s="11" customFormat="1">
      <c r="C27" s="30"/>
      <c r="D27" s="956" t="s">
        <v>275</v>
      </c>
      <c r="E27" s="956"/>
      <c r="F27" s="956"/>
      <c r="G27" s="956"/>
      <c r="H27" s="956"/>
      <c r="I27" s="956"/>
      <c r="J27" s="956"/>
      <c r="K27" s="956"/>
      <c r="L27" s="956"/>
      <c r="M27" s="956"/>
      <c r="N27" s="956"/>
      <c r="O27" s="956"/>
      <c r="P27" s="956"/>
      <c r="Q27" s="956"/>
      <c r="R27" s="956"/>
      <c r="S27" s="956"/>
      <c r="T27" s="43"/>
      <c r="U27" s="256"/>
      <c r="V27" s="256"/>
      <c r="W27" s="256"/>
      <c r="X27" s="256"/>
    </row>
    <row r="28" spans="1:25" s="11" customFormat="1" ht="30" customHeight="1">
      <c r="A28" s="1"/>
      <c r="B28" s="29"/>
      <c r="C28" s="29"/>
      <c r="D28" s="34"/>
      <c r="E28" s="154"/>
      <c r="F28" s="154"/>
      <c r="G28" s="154"/>
      <c r="H28" s="1"/>
      <c r="I28" s="1"/>
      <c r="J28" s="1"/>
      <c r="K28" s="35"/>
      <c r="L28" s="1"/>
      <c r="M28" s="36"/>
      <c r="N28" s="36"/>
      <c r="O28" s="36"/>
      <c r="P28" s="36"/>
      <c r="Q28" s="154"/>
      <c r="R28" s="154"/>
      <c r="S28" s="1"/>
      <c r="T28" s="34"/>
      <c r="U28" s="62"/>
      <c r="V28" s="62"/>
      <c r="W28" s="62"/>
      <c r="X28" s="62"/>
      <c r="Y28" s="1"/>
    </row>
    <row r="29" spans="1:25">
      <c r="A29" s="11"/>
      <c r="C29" s="1" t="s">
        <v>276</v>
      </c>
      <c r="D29" s="34"/>
      <c r="E29" s="62"/>
      <c r="N29" s="937" t="s">
        <v>274</v>
      </c>
      <c r="O29" s="937"/>
      <c r="P29" s="943">
        <v>725500</v>
      </c>
      <c r="Q29" s="943"/>
      <c r="R29" s="943"/>
      <c r="S29" s="1" t="s">
        <v>267</v>
      </c>
      <c r="T29" s="43" t="s">
        <v>263</v>
      </c>
      <c r="U29" s="939">
        <f>IF(D30="○",P29,0)</f>
        <v>0</v>
      </c>
      <c r="V29" s="939"/>
      <c r="W29" s="939"/>
      <c r="X29" s="939"/>
      <c r="Y29" s="11" t="s">
        <v>264</v>
      </c>
    </row>
    <row r="30" spans="1:25" s="11" customFormat="1" ht="19.5" customHeight="1">
      <c r="C30" s="30"/>
      <c r="D30" s="257"/>
      <c r="E30" s="940"/>
      <c r="F30" s="941"/>
      <c r="G30" s="941"/>
      <c r="H30" s="941"/>
      <c r="I30" s="941"/>
      <c r="J30" s="941"/>
      <c r="K30" s="941"/>
      <c r="L30" s="941"/>
      <c r="M30" s="941"/>
      <c r="N30" s="941"/>
      <c r="O30" s="941"/>
      <c r="P30" s="941"/>
      <c r="Q30" s="941"/>
      <c r="R30" s="941"/>
      <c r="S30" s="941"/>
      <c r="T30" s="43"/>
      <c r="U30" s="256"/>
      <c r="V30" s="256"/>
      <c r="W30" s="256"/>
      <c r="X30" s="256"/>
    </row>
    <row r="31" spans="1:25" s="11" customFormat="1" ht="19.5" customHeight="1">
      <c r="C31" s="30"/>
      <c r="D31" s="942" t="s">
        <v>277</v>
      </c>
      <c r="E31" s="942"/>
      <c r="F31" s="942"/>
      <c r="G31" s="942"/>
      <c r="H31" s="942"/>
      <c r="I31" s="942"/>
      <c r="J31" s="942"/>
      <c r="K31" s="942"/>
      <c r="L31" s="942"/>
      <c r="M31" s="942"/>
      <c r="N31" s="942"/>
      <c r="O31" s="942"/>
      <c r="P31" s="942"/>
      <c r="Q31" s="942"/>
      <c r="R31" s="942"/>
      <c r="S31" s="942"/>
      <c r="T31" s="43"/>
      <c r="U31" s="256"/>
      <c r="V31" s="256"/>
      <c r="W31" s="256"/>
      <c r="X31" s="256"/>
    </row>
    <row r="32" spans="1:25" s="11" customFormat="1" ht="24.75" customHeight="1">
      <c r="A32" s="1"/>
      <c r="B32" s="29"/>
      <c r="C32" s="29"/>
      <c r="D32" s="34"/>
      <c r="E32" s="154"/>
      <c r="F32" s="154"/>
      <c r="G32" s="154"/>
      <c r="H32" s="1"/>
      <c r="I32" s="1"/>
      <c r="J32" s="1"/>
      <c r="K32" s="35"/>
      <c r="L32" s="1"/>
      <c r="M32" s="36"/>
      <c r="N32" s="36"/>
      <c r="O32" s="36"/>
      <c r="P32" s="36"/>
      <c r="Q32" s="154"/>
      <c r="R32" s="154"/>
      <c r="S32" s="1"/>
      <c r="T32" s="34"/>
      <c r="U32" s="62"/>
      <c r="V32" s="62"/>
      <c r="W32" s="62"/>
      <c r="X32" s="62"/>
      <c r="Y32" s="1"/>
    </row>
    <row r="33" spans="1:25">
      <c r="A33" s="11"/>
      <c r="C33" s="1" t="s">
        <v>278</v>
      </c>
      <c r="D33" s="34"/>
      <c r="E33" s="62"/>
      <c r="N33" s="937" t="s">
        <v>274</v>
      </c>
      <c r="O33" s="937"/>
      <c r="P33" s="943">
        <v>104000</v>
      </c>
      <c r="Q33" s="943"/>
      <c r="R33" s="943"/>
      <c r="S33" s="1" t="s">
        <v>267</v>
      </c>
      <c r="T33" s="43" t="s">
        <v>263</v>
      </c>
      <c r="U33" s="939">
        <f>IF(D34="○",P33,0)</f>
        <v>0</v>
      </c>
      <c r="V33" s="939"/>
      <c r="W33" s="939"/>
      <c r="X33" s="939"/>
      <c r="Y33" s="11" t="s">
        <v>264</v>
      </c>
    </row>
    <row r="34" spans="1:25" s="11" customFormat="1" ht="19.5" customHeight="1">
      <c r="C34" s="30"/>
      <c r="D34" s="257"/>
      <c r="E34" s="940"/>
      <c r="F34" s="941"/>
      <c r="G34" s="941"/>
      <c r="H34" s="941"/>
      <c r="I34" s="941"/>
      <c r="J34" s="941"/>
      <c r="K34" s="941"/>
      <c r="L34" s="941"/>
      <c r="M34" s="941"/>
      <c r="N34" s="941"/>
      <c r="O34" s="941"/>
      <c r="P34" s="941"/>
      <c r="Q34" s="941"/>
      <c r="R34" s="941"/>
      <c r="S34" s="941"/>
      <c r="T34" s="43"/>
      <c r="U34" s="256"/>
      <c r="V34" s="256"/>
      <c r="W34" s="256"/>
      <c r="X34" s="256"/>
    </row>
    <row r="35" spans="1:25" s="11" customFormat="1" ht="19.5" customHeight="1">
      <c r="C35" s="30"/>
      <c r="D35" s="942" t="s">
        <v>279</v>
      </c>
      <c r="E35" s="942"/>
      <c r="F35" s="942"/>
      <c r="G35" s="942"/>
      <c r="H35" s="942"/>
      <c r="I35" s="942"/>
      <c r="J35" s="942"/>
      <c r="K35" s="942"/>
      <c r="L35" s="942"/>
      <c r="M35" s="942"/>
      <c r="N35" s="942"/>
      <c r="O35" s="942"/>
      <c r="P35" s="942"/>
      <c r="Q35" s="942"/>
      <c r="R35" s="942"/>
      <c r="S35" s="942"/>
      <c r="T35" s="43"/>
      <c r="U35" s="256"/>
      <c r="V35" s="256"/>
      <c r="W35" s="256"/>
      <c r="X35" s="256"/>
    </row>
    <row r="36" spans="1:25" s="11" customFormat="1" ht="30" customHeight="1">
      <c r="A36" s="1"/>
      <c r="B36" s="29"/>
      <c r="C36" s="29"/>
      <c r="D36" s="34"/>
      <c r="E36" s="154"/>
      <c r="F36" s="154"/>
      <c r="G36" s="154"/>
      <c r="H36" s="1"/>
      <c r="I36" s="1"/>
      <c r="J36" s="1"/>
      <c r="K36" s="35"/>
      <c r="L36" s="1"/>
      <c r="M36" s="36"/>
      <c r="N36" s="36"/>
      <c r="O36" s="36"/>
      <c r="P36" s="36"/>
      <c r="Q36" s="154"/>
      <c r="R36" s="154"/>
      <c r="S36" s="1"/>
      <c r="T36" s="34"/>
      <c r="U36" s="62"/>
      <c r="V36" s="62"/>
      <c r="W36" s="62"/>
      <c r="X36" s="62"/>
      <c r="Y36" s="1"/>
    </row>
    <row r="37" spans="1:25" s="11" customFormat="1">
      <c r="B37" s="1"/>
      <c r="C37" s="1" t="s">
        <v>280</v>
      </c>
      <c r="D37" s="34"/>
      <c r="E37" s="62"/>
      <c r="F37" s="1"/>
      <c r="G37" s="1"/>
      <c r="H37" s="1"/>
      <c r="I37" s="1"/>
      <c r="J37" s="1"/>
      <c r="K37" s="1"/>
      <c r="L37" s="1"/>
      <c r="M37" s="1"/>
      <c r="N37" s="937" t="s">
        <v>274</v>
      </c>
      <c r="O37" s="937"/>
      <c r="P37" s="943">
        <v>187000</v>
      </c>
      <c r="Q37" s="943"/>
      <c r="R37" s="943"/>
      <c r="S37" s="1" t="s">
        <v>267</v>
      </c>
      <c r="T37" s="43" t="s">
        <v>263</v>
      </c>
      <c r="U37" s="939">
        <f>IF(D38="○",P37,0)</f>
        <v>0</v>
      </c>
      <c r="V37" s="939"/>
      <c r="W37" s="939"/>
      <c r="X37" s="939"/>
      <c r="Y37" s="11" t="s">
        <v>264</v>
      </c>
    </row>
    <row r="38" spans="1:25" s="11" customFormat="1" ht="19.5" customHeight="1">
      <c r="C38" s="30"/>
      <c r="D38" s="257"/>
      <c r="E38" s="940"/>
      <c r="F38" s="941"/>
      <c r="G38" s="941"/>
      <c r="H38" s="941"/>
      <c r="I38" s="941"/>
      <c r="J38" s="941"/>
      <c r="K38" s="941"/>
      <c r="L38" s="941"/>
      <c r="M38" s="941"/>
      <c r="N38" s="941"/>
      <c r="O38" s="941"/>
      <c r="P38" s="941"/>
      <c r="Q38" s="941"/>
      <c r="R38" s="941"/>
      <c r="S38" s="941"/>
      <c r="T38" s="43"/>
      <c r="U38" s="256"/>
      <c r="V38" s="256"/>
      <c r="W38" s="256"/>
      <c r="X38" s="256"/>
    </row>
    <row r="39" spans="1:25" s="11" customFormat="1" ht="40.5" customHeight="1">
      <c r="C39" s="30"/>
      <c r="D39" s="942" t="s">
        <v>281</v>
      </c>
      <c r="E39" s="942"/>
      <c r="F39" s="942"/>
      <c r="G39" s="942"/>
      <c r="H39" s="942"/>
      <c r="I39" s="942"/>
      <c r="J39" s="942"/>
      <c r="K39" s="942"/>
      <c r="L39" s="942"/>
      <c r="M39" s="942"/>
      <c r="N39" s="942"/>
      <c r="O39" s="942"/>
      <c r="P39" s="942"/>
      <c r="Q39" s="942"/>
      <c r="R39" s="942"/>
      <c r="S39" s="942"/>
      <c r="T39" s="43"/>
      <c r="U39" s="256"/>
      <c r="V39" s="256"/>
      <c r="W39" s="256"/>
      <c r="X39" s="256"/>
    </row>
    <row r="40" spans="1:25">
      <c r="A40" s="11"/>
      <c r="C40" s="1" t="s">
        <v>282</v>
      </c>
      <c r="D40" s="34"/>
      <c r="E40" s="62"/>
      <c r="N40" s="937" t="s">
        <v>283</v>
      </c>
      <c r="O40" s="937"/>
      <c r="P40" s="937"/>
      <c r="Q40" s="938">
        <v>11800</v>
      </c>
      <c r="R40" s="938"/>
      <c r="S40" s="1" t="s">
        <v>267</v>
      </c>
      <c r="T40" s="43" t="s">
        <v>263</v>
      </c>
      <c r="U40" s="939">
        <f>IF(D41="○",Q40*H41,0)</f>
        <v>0</v>
      </c>
      <c r="V40" s="939"/>
      <c r="W40" s="939"/>
      <c r="X40" s="939"/>
      <c r="Y40" s="11" t="s">
        <v>264</v>
      </c>
    </row>
    <row r="41" spans="1:25" ht="19.5" customHeight="1">
      <c r="A41" s="11"/>
      <c r="B41" s="11"/>
      <c r="C41" s="30"/>
      <c r="D41" s="257"/>
      <c r="E41" s="957" t="s">
        <v>284</v>
      </c>
      <c r="F41" s="958"/>
      <c r="G41" s="958"/>
      <c r="H41" s="959"/>
      <c r="I41" s="959"/>
      <c r="J41" s="29" t="s">
        <v>285</v>
      </c>
      <c r="K41" s="258"/>
      <c r="L41" s="258"/>
      <c r="M41" s="258"/>
      <c r="N41" s="258"/>
      <c r="O41" s="258"/>
      <c r="P41" s="258"/>
      <c r="Q41" s="258"/>
      <c r="R41" s="258"/>
      <c r="S41" s="258"/>
      <c r="T41" s="43"/>
      <c r="U41" s="256"/>
      <c r="V41" s="256"/>
      <c r="W41" s="256"/>
      <c r="X41" s="256"/>
      <c r="Y41" s="11"/>
    </row>
    <row r="42" spans="1:25" ht="9" customHeight="1">
      <c r="A42" s="11"/>
      <c r="B42" s="11"/>
      <c r="C42" s="30"/>
      <c r="D42" s="942" t="s">
        <v>286</v>
      </c>
      <c r="E42" s="942"/>
      <c r="F42" s="942"/>
      <c r="G42" s="942"/>
      <c r="H42" s="942"/>
      <c r="I42" s="942"/>
      <c r="J42" s="942"/>
      <c r="K42" s="942"/>
      <c r="L42" s="942"/>
      <c r="M42" s="942"/>
      <c r="N42" s="942"/>
      <c r="O42" s="942"/>
      <c r="P42" s="942"/>
      <c r="Q42" s="942"/>
      <c r="R42" s="942"/>
      <c r="S42" s="942"/>
      <c r="T42" s="43"/>
      <c r="U42" s="256"/>
      <c r="V42" s="256"/>
      <c r="W42" s="256"/>
      <c r="X42" s="256"/>
      <c r="Y42" s="11"/>
    </row>
    <row r="43" spans="1:25" ht="15.75" customHeight="1">
      <c r="B43" s="195"/>
      <c r="C43" s="195"/>
      <c r="D43" s="34"/>
      <c r="E43" s="154"/>
      <c r="F43" s="154"/>
      <c r="G43" s="154"/>
      <c r="K43" s="35"/>
      <c r="Q43" s="154"/>
      <c r="R43" s="154"/>
      <c r="T43" s="34"/>
      <c r="U43" s="62"/>
      <c r="V43" s="62"/>
      <c r="W43" s="62"/>
      <c r="X43" s="62"/>
    </row>
    <row r="44" spans="1:25">
      <c r="B44" s="37"/>
      <c r="C44" s="37"/>
      <c r="D44" s="37"/>
      <c r="E44" s="37"/>
      <c r="F44" s="37"/>
      <c r="G44" s="37"/>
      <c r="H44" s="37"/>
      <c r="I44" s="37"/>
      <c r="J44" s="37"/>
      <c r="K44" s="37"/>
      <c r="L44" s="37"/>
      <c r="M44" s="37"/>
      <c r="N44" s="37"/>
      <c r="O44" s="37"/>
      <c r="P44" s="960" t="s">
        <v>287</v>
      </c>
      <c r="Q44" s="960"/>
      <c r="R44" s="960"/>
      <c r="S44" s="960"/>
      <c r="T44" s="43" t="s">
        <v>263</v>
      </c>
      <c r="U44" s="961">
        <f>SUM(U11,U25,U29,U33,U37,U40)</f>
        <v>0</v>
      </c>
      <c r="V44" s="962"/>
      <c r="W44" s="962"/>
      <c r="X44" s="962"/>
      <c r="Y44" s="11" t="s">
        <v>264</v>
      </c>
    </row>
    <row r="45" spans="1:25" ht="11.25" customHeight="1">
      <c r="B45" s="29"/>
      <c r="C45" s="29"/>
      <c r="D45" s="34"/>
      <c r="E45" s="154"/>
      <c r="F45" s="154"/>
      <c r="G45" s="154"/>
      <c r="K45" s="35"/>
      <c r="M45" s="36"/>
      <c r="N45" s="36"/>
      <c r="O45" s="36"/>
      <c r="P45" s="36"/>
      <c r="Q45" s="154"/>
      <c r="R45" s="154"/>
      <c r="T45" s="34"/>
      <c r="U45" s="62"/>
      <c r="V45" s="62"/>
      <c r="W45" s="62"/>
      <c r="X45" s="62"/>
    </row>
    <row r="46" spans="1:25">
      <c r="B46" s="213" t="s">
        <v>288</v>
      </c>
      <c r="C46" s="214"/>
      <c r="D46" s="214"/>
      <c r="E46" s="214"/>
      <c r="F46" s="214"/>
      <c r="G46" s="214"/>
      <c r="H46" s="214"/>
      <c r="I46" s="214"/>
      <c r="J46" s="214"/>
      <c r="K46" s="214"/>
      <c r="L46" s="214"/>
      <c r="M46" s="214"/>
      <c r="N46" s="214"/>
      <c r="O46" s="214"/>
      <c r="P46" s="214"/>
      <c r="Q46" s="214"/>
      <c r="R46" s="214"/>
      <c r="S46" s="214"/>
      <c r="T46" s="214"/>
      <c r="U46" s="214"/>
      <c r="V46" s="214"/>
      <c r="W46" s="214"/>
      <c r="X46" s="214"/>
      <c r="Y46" s="214"/>
    </row>
    <row r="47" spans="1:2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row>
    <row r="48" spans="1:2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row>
  </sheetData>
  <dataConsolidate/>
  <mergeCells count="54">
    <mergeCell ref="E41:G41"/>
    <mergeCell ref="H41:I41"/>
    <mergeCell ref="D42:S42"/>
    <mergeCell ref="P44:S44"/>
    <mergeCell ref="U44:X44"/>
    <mergeCell ref="U25:X25"/>
    <mergeCell ref="L22:O22"/>
    <mergeCell ref="E26:S26"/>
    <mergeCell ref="D27:S27"/>
    <mergeCell ref="N29:O29"/>
    <mergeCell ref="P29:R29"/>
    <mergeCell ref="U29:X29"/>
    <mergeCell ref="C9:X9"/>
    <mergeCell ref="U11:X11"/>
    <mergeCell ref="D12:Y13"/>
    <mergeCell ref="D21:T21"/>
    <mergeCell ref="A3:Y3"/>
    <mergeCell ref="N6:Y6"/>
    <mergeCell ref="L8:M8"/>
    <mergeCell ref="C8:J8"/>
    <mergeCell ref="N8:O8"/>
    <mergeCell ref="D15:T15"/>
    <mergeCell ref="B16:C16"/>
    <mergeCell ref="E16:G16"/>
    <mergeCell ref="L16:O16"/>
    <mergeCell ref="P16:Q16"/>
    <mergeCell ref="R16:S16"/>
    <mergeCell ref="D18:T18"/>
    <mergeCell ref="B19:C19"/>
    <mergeCell ref="E19:G19"/>
    <mergeCell ref="L19:O19"/>
    <mergeCell ref="P19:Q19"/>
    <mergeCell ref="R19:S19"/>
    <mergeCell ref="B22:C22"/>
    <mergeCell ref="E22:G22"/>
    <mergeCell ref="E30:S30"/>
    <mergeCell ref="D31:S31"/>
    <mergeCell ref="N33:O33"/>
    <mergeCell ref="P33:R33"/>
    <mergeCell ref="P22:Q22"/>
    <mergeCell ref="R22:S22"/>
    <mergeCell ref="L25:O25"/>
    <mergeCell ref="P25:R25"/>
    <mergeCell ref="N40:P40"/>
    <mergeCell ref="Q40:R40"/>
    <mergeCell ref="U40:X40"/>
    <mergeCell ref="U33:X33"/>
    <mergeCell ref="E34:S34"/>
    <mergeCell ref="D35:S35"/>
    <mergeCell ref="D39:S39"/>
    <mergeCell ref="N37:O37"/>
    <mergeCell ref="P37:R37"/>
    <mergeCell ref="E38:S38"/>
    <mergeCell ref="U37:X37"/>
  </mergeCells>
  <phoneticPr fontId="4"/>
  <conditionalFormatting sqref="P16:Q16">
    <cfRule type="expression" dxfId="133" priority="3" stopIfTrue="1">
      <formula>AND($L$8&gt;=1,$L$8&lt;8)</formula>
    </cfRule>
  </conditionalFormatting>
  <conditionalFormatting sqref="P19:Q19">
    <cfRule type="expression" dxfId="132" priority="2" stopIfTrue="1">
      <formula>AND($L$8&gt;=8,$L$8&lt;15)</formula>
    </cfRule>
  </conditionalFormatting>
  <conditionalFormatting sqref="P22:Q22">
    <cfRule type="expression" dxfId="131" priority="1" stopIfTrue="1">
      <formula>AND($L$8&gt;=15,$L$8&lt;22)</formula>
    </cfRule>
  </conditionalFormatting>
  <dataValidations count="1">
    <dataValidation type="list" allowBlank="1" showInputMessage="1" showErrorMessage="1" sqref="WVL98307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WVL38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3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SV3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ACR38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AMN38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AWJ38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BGF3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BQB3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BZX38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CJT38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CTP38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DL3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NH3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XD38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GZ38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QV38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FAR38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KN38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UJ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GEF38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GOB38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GXX38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HHT38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HRP3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IBL38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ILH38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IVD38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JEZ38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JOV3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JYR38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KIN38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KSJ38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LCF38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LMB3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LVX38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MFT3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MPP3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MZL38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NJH3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NTD38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OCZ3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OMV3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OWR38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PGN3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PQJ38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QAF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QKB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TX3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RDT38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RNP38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RXL38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SHH38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SRD3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TAZ38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TKV38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TUR38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UEN38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UOJ3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UYF38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VIB38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VRX38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WBT38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WLP3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D26 D65565 D131101 D196637 D262173 D327709 D393245 D458781 D524317 D589853 D655389 D720925 D786461 D851997 D917533 D983069 D30 D65569 D131105 D196641 D262177 D327713 D393249 D458785 D524321 D589857 D655393 D720929 D786465 D852001 D917537 D983073 D34 D65573 D131109 D196645 D262181 D327717 D393253 D458789 D524325 D589861 D655397 D720933 D786469 D852005 D917541 D983077 D38 D65577 D131113 D196649 D262185 D327721 D393257 D458793 D524329 D589865 D655401 D720937 D786473 D852009 D917545 D983081 D41" xr:uid="{00000000-0002-0000-0700-000000000000}">
      <formula1>$AA$1:$AA$2</formula1>
    </dataValidation>
  </dataValidations>
  <printOptions horizontalCentered="1"/>
  <pageMargins left="0.39370078740157483" right="0.31496062992125984" top="0.39370078740157483" bottom="0.19685039370078741" header="0.31496062992125984" footer="0.31496062992125984"/>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5A31D-3163-4230-830D-200C27E0A58A}"/>
</file>

<file path=customXml/itemProps2.xml><?xml version="1.0" encoding="utf-8"?>
<ds:datastoreItem xmlns:ds="http://schemas.openxmlformats.org/officeDocument/2006/customXml" ds:itemID="{F4CA2435-8A26-40CC-B1FC-09F2EBFB99A3}"/>
</file>

<file path=customXml/itemProps3.xml><?xml version="1.0" encoding="utf-8"?>
<ds:datastoreItem xmlns:ds="http://schemas.openxmlformats.org/officeDocument/2006/customXml" ds:itemID="{777E6B12-E4A4-4B90-A198-C99D06982E0D}"/>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