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3E2B2A2D-5121-4CC9-B616-D6729BAB7B08}" xr6:coauthVersionLast="47" xr6:coauthVersionMax="47" xr10:uidLastSave="{00000000-0000-0000-0000-000000000000}"/>
  <bookViews>
    <workbookView xWindow="2868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基本情報入力シート!$A$1:$AB$72</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E101" i="70" l="1"/>
  <c r="AF102" i="70" s="1"/>
  <c r="S101" i="70"/>
  <c r="T102" i="70" s="1"/>
  <c r="Y101" i="70"/>
  <c r="Z102" i="70" s="1"/>
  <c r="AJ53" i="70"/>
  <c r="AJ224" i="70" s="1"/>
  <c r="AD38" i="70" l="1"/>
  <c r="P33" i="70" s="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AJ194" i="70" a="1"/>
  <c r="AJ194" i="70" s="1"/>
  <c r="AJ248" i="70" s="1"/>
  <c r="AK14" i="72"/>
  <c r="AJ14" i="72"/>
  <c r="AJ12" i="72"/>
  <c r="AK12" i="72"/>
  <c r="O5" i="72"/>
  <c r="W37" i="70" s="1"/>
  <c r="AC36" i="70" s="1"/>
  <c r="AJ219" i="70" s="1"/>
  <c r="O5" i="9"/>
  <c r="P37" i="70" s="1"/>
  <c r="AJ13" i="72"/>
  <c r="AK13" i="72"/>
  <c r="Q209" i="70"/>
  <c r="V36" i="70" l="1"/>
  <c r="AJ218"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<sst xmlns="http://schemas.openxmlformats.org/spreadsheetml/2006/main" count="2909" uniqueCount="495">
  <si>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</si>
  <si>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</si>
  <si>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</si>
  <si>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</si>
  <si>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</si>
  <si>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</si>
  <si>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</si>
  <si>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</si>
  <si>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</si>
  <si>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</si>
  <si>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</si>
  <si>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</si>
  <si>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</si>
  <si>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</si>
  <si>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</si>
  <si>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</si>
  <si>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</si>
  <si>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</si>
  <si>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</si>
  <si>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</si>
  <si>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</si>
  <si>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</si>
  <si>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</si>
  <si>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</si>
  <si>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</si>
  <si>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</si>
  <si>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</si>
  <si>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</si>
  <si>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</si>
  <si>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</si>
  <si>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</si>
  <si>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</si>
  <si>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</si>
  <si>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</si>
  <si>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</si>
  <si>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</si>
  <si>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</si>
  <si>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</si>
  <si>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</si>
  <si>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</si>
  <si>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</si>
  <si>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</si>
  <si>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</si>
  <si>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</si>
  <si>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</si>
  <si>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</si>
  <si>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</si>
  <si>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</si>
  <si>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</si>
  <si>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</si>
  <si>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</si>
  <si>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</si>
  <si>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</si>
  <si>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</si>
  <si>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</si>
  <si>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</si>
  <si>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</si>
  <si>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</si>
  <si>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</si>
  <si>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</si>
  <si>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</si>
  <si>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</si>
  <si>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</si>
  <si>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</si>
  <si>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</si>
  <si>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</si>
  <si>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</si>
  <si>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</si>
  <si>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</si>
  <si>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</si>
  <si>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</si>
  <si>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</si>
  <si>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</si>
  <si>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</si>
  <si>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</si>
  <si>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</si>
  <si>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</si>
  <si>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</si>
  <si>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</si>
  <si>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</si>
  <si>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</si>
  <si>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</si>
  <si>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</si>
  <si>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</si>
  <si>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</si>
  <si>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</si>
  <si>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</si>
  <si>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</si>
  <si>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</si>
  <si>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</si>
  <si>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</si>
  <si>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</si>
  <si>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</si>
  <si>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</si>
  <si>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</si>
  <si>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</si>
  <si>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</si>
  <si>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</si>
  <si>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</si>
  <si>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</si>
  <si>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</si>
  <si>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</si>
  <si>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</si>
  <si>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</si>
  <si>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</si>
  <si>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</si>
  <si>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</si>
  <si>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</si>
  <si>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</si>
  <si>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</si>
  <si>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</si>
  <si>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</si>
  <si>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</si>
  <si>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</si>
  <si>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</si>
  <si>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</si>
  <si>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</si>
  <si>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</si>
  <si>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</si>
  <si>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</si>
  <si>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</si>
  <si>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</si>
  <si>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</si>
  <si>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</si>
  <si>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</si>
  <si>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</si>
  <si>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</si>
  <si>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</si>
  <si>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</si>
  <si>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</si>
  <si>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</si>
  <si>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</si>
  <si>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</si>
  <si>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</si>
  <si>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</si>
  <si>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</si>
  <si>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</si>
  <si>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</si>
  <si>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</si>
  <si>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</si>
  <si>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</si>
  <si>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</si>
  <si>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</si>
  <si>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</si>
  <si>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</si>
  <si>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</si>
  <si>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</si>
  <si>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</si>
  <si>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</si>
  <si>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</si>
  <si>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</si>
  <si>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</si>
  <si>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</si>
  <si>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</si>
  <si>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</si>
  <si>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</si>
  <si>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</si>
  <si>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</si>
  <si>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</si>
  <si>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</si>
  <si>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</si>
  <si>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</si>
  <si>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</si>
  <si>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</si>
  <si>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</si>
  <si>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</si>
  <si>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</si>
  <si>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</si>
  <si>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</si>
  <si>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</si>
  <si>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</si>
  <si>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</si>
  <si>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</si>
  <si>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</si>
  <si>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</si>
  <si>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</si>
  <si>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</si>
  <si>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</si>
  <si>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</si>
  <si>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</si>
  <si>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</si>
  <si>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</si>
  <si>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</si>
  <si>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</si>
  <si>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</si>
  <si>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</si>
  <si>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</si>
  <si>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</si>
  <si>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</si>
  <si>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</si>
  <si>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</si>
  <si>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</si>
  <si>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</si>
  <si>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</si>
  <si>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</si>
  <si>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</si>
  <si>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</si>
  <si>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</si>
  <si>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</si>
  <si>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</si>
  <si>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</si>
  <si>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</si>
  <si>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</si>
  <si>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</si>
  <si>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</si>
  <si>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</si>
  <si>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</si>
  <si>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</si>
  <si>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</si>
  <si>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</si>
  <si>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</si>
  <si>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</si>
  <si>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</si>
  <si>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</si>
  <si>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</si>
  <si>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</si>
  <si>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</si>
  <si>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</si>
  <si>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</si>
  <si>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</si>
  <si>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</si>
  <si>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</si>
  <si>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</si>
  <si>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</si>
  <si>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</si>
  <si>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</si>
  <si>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</si>
  <si>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</si>
  <si>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</si>
  <si>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</si>
  <si>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</si>
  <si>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</si>
  <si>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</si>
  <si>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</si>
  <si>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</si>
  <si>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</si>
  <si>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</si>
  <si>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</si>
  <si>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</si>
  <si>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</si>
  <si>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</si>
  <si>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</si>
  <si>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</si>
  <si>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</si>
  <si>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</si>
  <si>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</si>
  <si>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</si>
  <si>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</si>
  <si>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</si>
  <si>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</si>
  <si>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</si>
  <si>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</si>
  <si>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</si>
  <si>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</si>
  <si>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</si>
  <si>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</si>
  <si>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</si>
  <si>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</si>
  <si>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</si>
  <si>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</si>
  <si>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</si>
  <si>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</si>
  <si>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</si>
  <si>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</si>
  <si>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</si>
  <si>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</si>
  <si>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</si>
  <si>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</si>
  <si>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</si>
  <si>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</si>
  <si>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</si>
  <si>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</si>
  <si>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</si>
  <si>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</si>
  <si>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</si>
  <si>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</si>
  <si>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</si>
  <si>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</si>
  <si>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</si>
  <si>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</si>
  <si>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</si>
  <si>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</si>
  <si>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</si>
  <si>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</si>
  <si>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</si>
  <si>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</si>
  <si>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</si>
  <si>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</si>
  <si>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</si>
  <si>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</si>
  <si>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</si>
  <si>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</si>
  <si>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</si>
  <si>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</si>
  <si>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</si>
  <si>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</si>
  <si>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</si>
  <si>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</si>
  <si>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</si>
  <si>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</si>
  <si>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</si>
  <si>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</si>
  <si>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</si>
  <si>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</si>
  <si>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</si>
  <si>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</si>
  <si>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</si>
  <si>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</si>
  <si>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</si>
  <si>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</si>
  <si>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</si>
  <si>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</si>
  <si>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</si>
  <si>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</si>
  <si>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</si>
  <si>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</si>
  <si>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</si>
  <si>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</si>
  <si>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</si>
  <si>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</si>
  <si>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</si>
  <si>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</si>
  <si>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</si>
  <si>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</si>
  <si>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</si>
  <si>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</si>
  <si>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</si>
  <si>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</si>
  <si>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</si>
  <si>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</si>
  <si>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</si>
  <si>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</si>
  <si>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</si>
  <si>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</si>
  <si>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</si>
  <si>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</si>
  <si>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</si>
  <si>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</si>
  <si>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</si>
  <si>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</si>
  <si>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</si>
  <si>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</si>
  <si>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</si>
  <si>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</si>
  <si>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</si>
  <si>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</si>
  <si>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</si>
  <si>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</si>
  <si>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</si>
  <si>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</si>
  <si>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</si>
  <si>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</si>
  <si>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</si>
  <si>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</si>
  <si>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</si>
  <si>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</si>
  <si>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</si>
  <si>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</si>
  <si>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</si>
  <si>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</si>
  <si>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</si>
  <si>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</si>
  <si>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</si>
  <si>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</si>
  <si>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</si>
  <si>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</si>
  <si>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</si>
  <si>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</si>
  <si>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</si>
  <si>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</si>
  <si>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</si>
  <si>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</si>
  <si>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</si>
  <si>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</si>
  <si>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</si>
  <si>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</si>
  <si>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</si>
  <si>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</si>
  <si>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</si>
  <si>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</si>
  <si>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</si>
  <si>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</si>
  <si>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</si>
  <si>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</si>
  <si>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</si>
  <si>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</si>
  <si>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</si>
  <si>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</si>
  <si>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</si>
  <si>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</si>
  <si>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</si>
  <si>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</si>
  <si>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</si>
  <si>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</si>
  <si>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</si>
  <si>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</si>
  <si>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</si>
  <si>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</si>
  <si>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</si>
  <si>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</si>
  <si>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</si>
  <si>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</si>
  <si>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</si>
  <si>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</si>
  <si>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</si>
  <si>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</si>
  <si>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</si>
  <si>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</si>
  <si>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</si>
  <si>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</si>
  <si>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</si>
  <si>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</si>
  <si>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</si>
  <si>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</si>
  <si>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</si>
  <si>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</si>
  <si>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</si>
  <si>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</si>
  <si>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</si>
  <si>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</si>
  <si>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</si>
  <si>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</si>
  <si>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</si>
  <si>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</si>
  <si>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</si>
  <si>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</si>
  <si>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</si>
  <si>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</si>
  <si>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</si>
  <si>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</si>
  <si>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</si>
  <si>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</si>
  <si>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</si>
  <si>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</si>
  <si>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</si>
  <si>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</si>
  <si>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</si>
  <si>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</si>
  <si>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</si>
  <si>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</si>
  <si>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</si>
  <si>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</si>
  <si>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</si>
  <si>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</si>
  <si>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</si>
  <si>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</si>
  <si>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</si>
  <si>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</si>
  <si>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</si>
  <si>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</si>
  <si>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</si>
  <si>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</si>
  <si>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</si>
  <si>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</si>
  <si>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</si>
  <si>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t>○○○</t>
    <phoneticPr fontId="7"/>
  </si>
  <si>
    <t>○○ケアサービス</t>
    <phoneticPr fontId="7"/>
  </si>
  <si>
    <t>千代田区霞が関１－２－２</t>
    <phoneticPr fontId="7"/>
  </si>
  <si>
    <t>○○ビル18Ｆ</t>
    <phoneticPr fontId="7"/>
  </si>
  <si>
    <t>代表取締役</t>
    <phoneticPr fontId="7"/>
  </si>
  <si>
    <t>厚労　花子</t>
    <phoneticPr fontId="7"/>
  </si>
  <si>
    <t>コウロウ　タロウ</t>
    <phoneticPr fontId="7"/>
  </si>
  <si>
    <t>厚労　太郎</t>
    <phoneticPr fontId="7"/>
  </si>
  <si>
    <t>03-3571-0000</t>
    <phoneticPr fontId="7"/>
  </si>
  <si>
    <t>aaa@aaa.aa.jp</t>
    <phoneticPr fontId="7"/>
  </si>
  <si>
    <t>1314567891</t>
    <phoneticPr fontId="7"/>
  </si>
  <si>
    <t>1314567892</t>
    <phoneticPr fontId="7"/>
  </si>
  <si>
    <t>1314567893</t>
    <phoneticPr fontId="7"/>
  </si>
  <si>
    <t>1314567894</t>
    <phoneticPr fontId="7"/>
  </si>
  <si>
    <t>1314567895</t>
    <phoneticPr fontId="7"/>
  </si>
  <si>
    <t>東京都</t>
    <rPh sb="0" eb="3">
      <t>トウキョウト</t>
    </rPh>
    <phoneticPr fontId="8"/>
  </si>
  <si>
    <t>さいたま市</t>
    <rPh sb="4" eb="5">
      <t>シ</t>
    </rPh>
    <phoneticPr fontId="8"/>
  </si>
  <si>
    <t>千葉市</t>
    <rPh sb="0" eb="3">
      <t>チバシ</t>
    </rPh>
    <phoneticPr fontId="8"/>
  </si>
  <si>
    <t>埼玉県</t>
    <rPh sb="0" eb="3">
      <t>サイタマケン</t>
    </rPh>
    <phoneticPr fontId="8"/>
  </si>
  <si>
    <t>千葉県</t>
    <rPh sb="0" eb="3">
      <t>チバケン</t>
    </rPh>
    <phoneticPr fontId="8"/>
  </si>
  <si>
    <t>千代田区</t>
    <rPh sb="0" eb="4">
      <t>チヨダク</t>
    </rPh>
    <phoneticPr fontId="8"/>
  </si>
  <si>
    <t>豊島区</t>
    <rPh sb="0" eb="3">
      <t>トシマク</t>
    </rPh>
    <phoneticPr fontId="8"/>
  </si>
  <si>
    <t>世田谷区</t>
    <rPh sb="0" eb="4">
      <t>セタガヤク</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</si>
  <si>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</si>
  <si>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</si>
  <si>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</si>
  <si>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</si>
  <si>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</si>
  <si>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t>
  </si>
  <si>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</si>
  <si>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</si>
  <si>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</si>
  <si>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</si>
  <si>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</si>
  <si>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○実務経験が３年以上の福祉・介護職員に対し、実務者研修の受講費用として、○○万円を支給
○介護福祉士国家試験対策として、法人内で資格取得のための研修会を実施</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</si>
  <si>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</si>
  <si>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phoneticPr fontId="7"/>
  </si>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</sst>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checked="Checked"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AG$65" lockText="1" noThreeD="1"/>
</file>

<file path=xl/ctrlProps/ctrlProp17.xml><?xml version="1.0" encoding="utf-8"?>
<formControlPr xmlns="http://schemas.microsoft.com/office/spreadsheetml/2009/9/main" objectType="CheckBox" checked="Checked" fmlaLink="$AG$65" lockText="1" noThreeD="1"/>
</file>

<file path=xl/ctrlProps/ctrlProp18.xml><?xml version="1.0" encoding="utf-8"?>
<formControlPr xmlns="http://schemas.microsoft.com/office/spreadsheetml/2009/9/main" objectType="CheckBox" checked="Checked" fmlaLink="$AG$65" lockText="1" noThreeD="1"/>
</file>

<file path=xl/ctrlProps/ctrlProp19.xml><?xml version="1.0" encoding="utf-8"?>
<formControlPr xmlns="http://schemas.microsoft.com/office/spreadsheetml/2009/9/main" objectType="CheckBox" checked="Checked"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checked="Checked" fmlaLink="$K$75" lockText="1" noThreeD="1"/>
</file>

<file path=xl/ctrlProps/ctrlProp23.xml><?xml version="1.0" encoding="utf-8"?>
<formControlPr xmlns="http://schemas.microsoft.com/office/spreadsheetml/2009/9/main" objectType="CheckBox" checked="Checked" fmlaLink="$AG$79" lockText="1" noThreeD="1"/>
</file>

<file path=xl/ctrlProps/ctrlProp24.xml><?xml version="1.0" encoding="utf-8"?>
<formControlPr xmlns="http://schemas.microsoft.com/office/spreadsheetml/2009/9/main" objectType="CheckBox" checked="Checked" fmlaLink="$K$81" lockText="1" noThreeD="1"/>
</file>

<file path=xl/ctrlProps/ctrlProp25.xml><?xml version="1.0" encoding="utf-8"?>
<formControlPr xmlns="http://schemas.microsoft.com/office/spreadsheetml/2009/9/main" objectType="CheckBox" checked="Checked"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checked="Checked"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checked="Checked" fmlaLink="$A$48" lockText="1" noThreeD="1"/>
</file>

<file path=xl/ctrlProps/ctrlProp30.xml><?xml version="1.0" encoding="utf-8"?>
<formControlPr xmlns="http://schemas.microsoft.com/office/spreadsheetml/2009/9/main" objectType="CheckBox" checked="Checked" fmlaLink="$S$97" lockText="1" noThreeD="1"/>
</file>

<file path=xl/ctrlProps/ctrlProp31.xml><?xml version="1.0" encoding="utf-8"?>
<formControlPr xmlns="http://schemas.microsoft.com/office/spreadsheetml/2009/9/main" objectType="CheckBox" checked="Checked" fmlaLink="$Y$97" lockText="1" noThreeD="1"/>
</file>

<file path=xl/ctrlProps/ctrlProp32.xml><?xml version="1.0" encoding="utf-8"?>
<formControlPr xmlns="http://schemas.microsoft.com/office/spreadsheetml/2009/9/main" objectType="CheckBox" checked="Checked"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checked="Checked"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checked="Checked"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checked="Checked"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checked="Checked"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checked="Checked"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checked="Checked"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checked="Checked"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checked="Checked" fmlaLink="$I$55" lockText="1" noThreeD="1"/>
</file>

<file path=xl/ctrlProps/ctrlProp60.xml><?xml version="1.0" encoding="utf-8"?>
<formControlPr xmlns="http://schemas.microsoft.com/office/spreadsheetml/2009/9/main" objectType="CheckBox" checked="Checked" fmlaLink="$L$152" lockText="1" noThreeD="1"/>
</file>

<file path=xl/ctrlProps/ctrlProp61.xml><?xml version="1.0" encoding="utf-8"?>
<formControlPr xmlns="http://schemas.microsoft.com/office/spreadsheetml/2009/9/main" objectType="CheckBox" checked="Checked"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checked="Checked"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checked="Checked" fmlaLink="$E$172" lockText="1" noThreeD="1"/>
</file>

<file path=xl/ctrlProps/ctrlProp72.xml><?xml version="1.0" encoding="utf-8"?>
<formControlPr xmlns="http://schemas.microsoft.com/office/spreadsheetml/2009/9/main" objectType="CheckBox" checked="Checked"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checked="Checked"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checked="Checked" fmlaLink="$A$195" lockText="1" noThreeD="1"/>
</file>

<file path=xl/ctrlProps/ctrlProp92.xml><?xml version="1.0" encoding="utf-8"?>
<formControlPr xmlns="http://schemas.microsoft.com/office/spreadsheetml/2009/9/main" objectType="CheckBox" checked="Checked" fmlaLink="$A$196" lockText="1" noThreeD="1"/>
</file>

<file path=xl/ctrlProps/ctrlProp93.xml><?xml version="1.0" encoding="utf-8"?>
<formControlPr xmlns="http://schemas.microsoft.com/office/spreadsheetml/2009/9/main" objectType="CheckBox" checked="Checked" fmlaLink="$A$197" lockText="1" noThreeD="1"/>
</file>

<file path=xl/ctrlProps/ctrlProp94.xml><?xml version="1.0" encoding="utf-8"?>
<formControlPr xmlns="http://schemas.microsoft.com/office/spreadsheetml/2009/9/main" objectType="CheckBox" checked="Checked" fmlaLink="$A$201" lockText="1" noThreeD="1"/>
</file>

<file path=xl/ctrlProps/ctrlProp95.xml><?xml version="1.0" encoding="utf-8"?>
<formControlPr xmlns="http://schemas.microsoft.com/office/spreadsheetml/2009/9/main" objectType="CheckBox" checked="Checked" fmlaLink="$A$199" lockText="1" noThreeD="1"/>
</file>

<file path=xl/ctrlProps/ctrlProp96.xml><?xml version="1.0" encoding="utf-8"?>
<formControlPr xmlns="http://schemas.microsoft.com/office/spreadsheetml/2009/9/main" objectType="CheckBox" checked="Checked" fmlaLink="$A$198" lockText="1" noThreeD="1"/>
</file>

<file path=xl/ctrlProps/ctrlProp97.xml><?xml version="1.0" encoding="utf-8"?>
<formControlPr xmlns="http://schemas.microsoft.com/office/spreadsheetml/2009/9/main" objectType="CheckBox" checked="Checked"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579571"/>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688065"/>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912196"/>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923370"/>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128543"/>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187217"/>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246196"/>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tabSelected="1" view="pageBreakPreview" zoomScale="85" zoomScaleNormal="100" zoomScaleSheetLayoutView="85"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324</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326</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t="s">
        <v>455</v>
      </c>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t="s">
        <v>456</v>
      </c>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t="s">
        <v>456</v>
      </c>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v>1</v>
      </c>
      <c r="N39" s="256">
        <v>0</v>
      </c>
      <c r="O39" s="256">
        <v>0</v>
      </c>
      <c r="P39" s="389" t="s">
        <v>274</v>
      </c>
      <c r="Q39" s="256">
        <v>1</v>
      </c>
      <c r="R39" s="256">
        <v>2</v>
      </c>
      <c r="S39" s="256">
        <v>3</v>
      </c>
      <c r="T39" s="257">
        <v>4</v>
      </c>
      <c r="U39" s="12"/>
      <c r="V39" s="13"/>
      <c r="W39" s="13"/>
      <c r="X39" s="13"/>
      <c r="AD39" t="str">
        <f>CONCATENATE(M39,N39,O39,P39,Q39,R39,S39,T39)</f>
        <v>100－1234</v>
      </c>
    </row>
    <row r="40" spans="1:30" ht="20.100000000000001" customHeight="1">
      <c r="B40" s="7"/>
      <c r="C40" s="697" t="s">
        <v>72</v>
      </c>
      <c r="D40" s="697"/>
      <c r="E40" s="697"/>
      <c r="F40" s="697"/>
      <c r="G40" s="697"/>
      <c r="H40" s="697"/>
      <c r="I40" s="697"/>
      <c r="J40" s="697"/>
      <c r="K40" s="697"/>
      <c r="L40" s="698"/>
      <c r="M40" s="686" t="s">
        <v>457</v>
      </c>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t="s">
        <v>458</v>
      </c>
      <c r="N41" s="687"/>
      <c r="O41" s="687"/>
      <c r="P41" s="687"/>
      <c r="Q41" s="687"/>
      <c r="R41" s="687"/>
      <c r="S41" s="687"/>
      <c r="T41" s="687"/>
      <c r="U41" s="687"/>
      <c r="V41" s="687"/>
      <c r="W41" s="694"/>
      <c r="X41" s="695"/>
    </row>
    <row r="42" spans="1:30" ht="20.100000000000001" customHeight="1">
      <c r="A42" s="457"/>
      <c r="B42" s="460" t="s">
        <v>327</v>
      </c>
      <c r="C42" s="716" t="s">
        <v>64</v>
      </c>
      <c r="D42" s="716"/>
      <c r="E42" s="716"/>
      <c r="F42" s="716"/>
      <c r="G42" s="716"/>
      <c r="H42" s="716"/>
      <c r="I42" s="716"/>
      <c r="J42" s="716"/>
      <c r="K42" s="716"/>
      <c r="L42" s="717"/>
      <c r="M42" s="700" t="s">
        <v>459</v>
      </c>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t="s">
        <v>460</v>
      </c>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t="s">
        <v>461</v>
      </c>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t="s">
        <v>462</v>
      </c>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t="s">
        <v>463</v>
      </c>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t="s">
        <v>464</v>
      </c>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328</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450</v>
      </c>
      <c r="AA52" s="678" t="s">
        <v>451</v>
      </c>
      <c r="AB52" s="678" t="s">
        <v>276</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t="s">
        <v>465</v>
      </c>
      <c r="D54" s="723"/>
      <c r="E54" s="723"/>
      <c r="F54" s="723"/>
      <c r="G54" s="723"/>
      <c r="H54" s="723"/>
      <c r="I54" s="723"/>
      <c r="J54" s="723"/>
      <c r="K54" s="723"/>
      <c r="L54" s="724"/>
      <c r="M54" s="708" t="s">
        <v>470</v>
      </c>
      <c r="N54" s="708"/>
      <c r="O54" s="708"/>
      <c r="P54" s="708"/>
      <c r="Q54" s="708"/>
      <c r="R54" s="708" t="s">
        <v>470</v>
      </c>
      <c r="S54" s="708"/>
      <c r="T54" s="708"/>
      <c r="U54" s="708"/>
      <c r="V54" s="708"/>
      <c r="W54" s="394" t="s">
        <v>475</v>
      </c>
      <c r="X54" s="258" t="s">
        <v>478</v>
      </c>
      <c r="Y54" s="285" t="s">
        <v>148</v>
      </c>
      <c r="Z54" s="259">
        <v>800000</v>
      </c>
      <c r="AA54" s="260">
        <v>180000</v>
      </c>
      <c r="AB54" s="251">
        <f>IF(Z54="","",Z54-AA54)</f>
        <v>620000</v>
      </c>
    </row>
    <row r="55" spans="1:28" ht="37.5" customHeight="1">
      <c r="B55" s="11">
        <f>B54+1</f>
        <v>2</v>
      </c>
      <c r="C55" s="725" t="s">
        <v>466</v>
      </c>
      <c r="D55" s="726"/>
      <c r="E55" s="726"/>
      <c r="F55" s="726"/>
      <c r="G55" s="726"/>
      <c r="H55" s="726"/>
      <c r="I55" s="726"/>
      <c r="J55" s="726"/>
      <c r="K55" s="726"/>
      <c r="L55" s="727"/>
      <c r="M55" s="707" t="s">
        <v>470</v>
      </c>
      <c r="N55" s="707"/>
      <c r="O55" s="707"/>
      <c r="P55" s="707"/>
      <c r="Q55" s="707"/>
      <c r="R55" s="707" t="s">
        <v>470</v>
      </c>
      <c r="S55" s="707"/>
      <c r="T55" s="707"/>
      <c r="U55" s="707"/>
      <c r="V55" s="707"/>
      <c r="W55" s="393" t="s">
        <v>476</v>
      </c>
      <c r="X55" s="262" t="s">
        <v>479</v>
      </c>
      <c r="Y55" s="262" t="s">
        <v>148</v>
      </c>
      <c r="Z55" s="263">
        <v>1000000</v>
      </c>
      <c r="AA55" s="264">
        <v>230000</v>
      </c>
      <c r="AB55" s="252">
        <f t="shared" ref="AB55:AB59" si="0">IF(Z55="","",Z55-AA55)</f>
        <v>770000</v>
      </c>
    </row>
    <row r="56" spans="1:28" ht="37.5" customHeight="1">
      <c r="B56" s="11">
        <f t="shared" ref="B56:B92" si="1">B55+1</f>
        <v>3</v>
      </c>
      <c r="C56" s="725" t="s">
        <v>467</v>
      </c>
      <c r="D56" s="726"/>
      <c r="E56" s="726"/>
      <c r="F56" s="726"/>
      <c r="G56" s="726"/>
      <c r="H56" s="726"/>
      <c r="I56" s="726"/>
      <c r="J56" s="726"/>
      <c r="K56" s="726"/>
      <c r="L56" s="727"/>
      <c r="M56" s="707" t="s">
        <v>470</v>
      </c>
      <c r="N56" s="707"/>
      <c r="O56" s="707"/>
      <c r="P56" s="707"/>
      <c r="Q56" s="707"/>
      <c r="R56" s="707" t="s">
        <v>470</v>
      </c>
      <c r="S56" s="707"/>
      <c r="T56" s="707"/>
      <c r="U56" s="707"/>
      <c r="V56" s="707"/>
      <c r="W56" s="393" t="s">
        <v>477</v>
      </c>
      <c r="X56" s="262" t="s">
        <v>480</v>
      </c>
      <c r="Y56" s="262" t="s">
        <v>154</v>
      </c>
      <c r="Z56" s="263">
        <v>5000000</v>
      </c>
      <c r="AA56" s="264">
        <v>260000</v>
      </c>
      <c r="AB56" s="252">
        <f t="shared" si="0"/>
        <v>4740000</v>
      </c>
    </row>
    <row r="57" spans="1:28" ht="37.5" customHeight="1">
      <c r="B57" s="11">
        <f t="shared" si="1"/>
        <v>4</v>
      </c>
      <c r="C57" s="725" t="s">
        <v>468</v>
      </c>
      <c r="D57" s="726"/>
      <c r="E57" s="726"/>
      <c r="F57" s="726"/>
      <c r="G57" s="726"/>
      <c r="H57" s="726"/>
      <c r="I57" s="726"/>
      <c r="J57" s="726"/>
      <c r="K57" s="726"/>
      <c r="L57" s="727"/>
      <c r="M57" s="707" t="s">
        <v>471</v>
      </c>
      <c r="N57" s="707"/>
      <c r="O57" s="707"/>
      <c r="P57" s="707"/>
      <c r="Q57" s="707"/>
      <c r="R57" s="707" t="s">
        <v>473</v>
      </c>
      <c r="S57" s="707"/>
      <c r="T57" s="707"/>
      <c r="U57" s="707"/>
      <c r="V57" s="707"/>
      <c r="W57" s="393" t="s">
        <v>471</v>
      </c>
      <c r="X57" s="262" t="s">
        <v>481</v>
      </c>
      <c r="Y57" s="262" t="s">
        <v>160</v>
      </c>
      <c r="Z57" s="263">
        <v>2500000</v>
      </c>
      <c r="AA57" s="264">
        <v>130000</v>
      </c>
      <c r="AB57" s="252">
        <f t="shared" si="0"/>
        <v>2370000</v>
      </c>
    </row>
    <row r="58" spans="1:28" ht="37.5" customHeight="1">
      <c r="B58" s="11">
        <f t="shared" si="1"/>
        <v>5</v>
      </c>
      <c r="C58" s="725" t="s">
        <v>469</v>
      </c>
      <c r="D58" s="726"/>
      <c r="E58" s="726"/>
      <c r="F58" s="726"/>
      <c r="G58" s="726"/>
      <c r="H58" s="726"/>
      <c r="I58" s="726"/>
      <c r="J58" s="726"/>
      <c r="K58" s="726"/>
      <c r="L58" s="727"/>
      <c r="M58" s="707" t="s">
        <v>472</v>
      </c>
      <c r="N58" s="707"/>
      <c r="O58" s="707"/>
      <c r="P58" s="707"/>
      <c r="Q58" s="707"/>
      <c r="R58" s="707" t="s">
        <v>474</v>
      </c>
      <c r="S58" s="707"/>
      <c r="T58" s="707"/>
      <c r="U58" s="707"/>
      <c r="V58" s="707"/>
      <c r="W58" s="393" t="s">
        <v>472</v>
      </c>
      <c r="X58" s="262" t="s">
        <v>482</v>
      </c>
      <c r="Y58" s="262" t="s">
        <v>156</v>
      </c>
      <c r="Z58" s="263">
        <v>7700000</v>
      </c>
      <c r="AA58" s="264">
        <v>600000</v>
      </c>
      <c r="AB58" s="252">
        <f t="shared" si="0"/>
        <v>7100000</v>
      </c>
    </row>
    <row r="59" spans="1:28" ht="37.5" customHeight="1">
      <c r="B59" s="11">
        <f t="shared" si="1"/>
        <v>6</v>
      </c>
      <c r="C59" s="725" t="s">
        <v>469</v>
      </c>
      <c r="D59" s="726"/>
      <c r="E59" s="726"/>
      <c r="F59" s="726"/>
      <c r="G59" s="726"/>
      <c r="H59" s="726"/>
      <c r="I59" s="726"/>
      <c r="J59" s="726"/>
      <c r="K59" s="726"/>
      <c r="L59" s="727"/>
      <c r="M59" s="707" t="s">
        <v>472</v>
      </c>
      <c r="N59" s="707"/>
      <c r="O59" s="707"/>
      <c r="P59" s="707"/>
      <c r="Q59" s="707"/>
      <c r="R59" s="675" t="s">
        <v>474</v>
      </c>
      <c r="S59" s="676"/>
      <c r="T59" s="676"/>
      <c r="U59" s="676"/>
      <c r="V59" s="677"/>
      <c r="W59" s="393" t="s">
        <v>472</v>
      </c>
      <c r="X59" s="262" t="s">
        <v>482</v>
      </c>
      <c r="Y59" s="262" t="s">
        <v>200</v>
      </c>
      <c r="Z59" s="263">
        <v>13700000</v>
      </c>
      <c r="AA59" s="264">
        <v>1000000</v>
      </c>
      <c r="AB59" s="252">
        <f t="shared" si="0"/>
        <v>12700000</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hyperlinks>
    <hyperlink ref="M47" r:id="rId1" xr:uid="{F2DD9B52-1ED7-4D06-8401-8BE2DED0A268}"/>
  </hyperlinks>
  <pageMargins left="0.70866141732283472" right="0.70866141732283472" top="0.74803149606299213" bottom="0.74803149606299213" header="0.31496062992125984" footer="0.31496062992125984"/>
  <pageSetup paperSize="9" scale="46"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276"/>
  <sheetViews>
    <sheetView view="pageBreakPreview" topLeftCell="A187" zoomScale="115" zoomScaleNormal="120" zoomScaleSheetLayoutView="115" workbookViewId="0">
      <selection activeCell="G13" sqref="G13:AJ13"/>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v>5</v>
      </c>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○○ケアサービス</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○○ケアサービス</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100－1234</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千代田区霞が関１－２－２</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○○ビル18Ｆ</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コウロウ　タロウ</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厚労　太郎</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03-3571-0000</v>
      </c>
      <c r="L15" s="965"/>
      <c r="M15" s="965"/>
      <c r="N15" s="965"/>
      <c r="O15" s="965"/>
      <c r="P15" s="965"/>
      <c r="Q15" s="965"/>
      <c r="R15" s="965"/>
      <c r="S15" s="965"/>
      <c r="T15" s="965"/>
      <c r="U15" s="966" t="s">
        <v>86</v>
      </c>
      <c r="V15" s="967"/>
      <c r="W15" s="967"/>
      <c r="X15" s="960"/>
      <c r="Y15" s="964" t="str">
        <f>IF(基本情報入力シート!M47="","",基本情報入力シート!M47)</f>
        <v>aaa@aaa.aa.jp</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t="s">
        <v>483</v>
      </c>
      <c r="C19" s="1076" t="s">
        <v>264</v>
      </c>
      <c r="D19" s="1077"/>
      <c r="E19" s="1077"/>
      <c r="F19" s="1077"/>
      <c r="G19" s="1077"/>
      <c r="H19" s="1077"/>
      <c r="I19" s="1077"/>
      <c r="J19" s="1077"/>
      <c r="K19" s="1077"/>
      <c r="L19" s="1078"/>
      <c r="M19" s="354" t="s">
        <v>483</v>
      </c>
      <c r="N19" s="1079" t="s">
        <v>265</v>
      </c>
      <c r="O19" s="1080"/>
      <c r="P19" s="1080"/>
      <c r="Q19" s="1080"/>
      <c r="R19" s="1080"/>
      <c r="S19" s="1080"/>
      <c r="T19" s="1080"/>
      <c r="U19" s="1080"/>
      <c r="V19" s="1080"/>
      <c r="W19" s="1081"/>
      <c r="X19" s="377" t="s">
        <v>483</v>
      </c>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1075" t="s">
        <v>338</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288</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f>IF(Y3=0,"",Y3)</f>
        <v>5</v>
      </c>
      <c r="E32" s="1090"/>
      <c r="F32" s="400" t="s">
        <v>271</v>
      </c>
      <c r="G32" s="401"/>
      <c r="H32" s="401"/>
      <c r="I32" s="401"/>
      <c r="J32" s="401"/>
      <c r="K32" s="401"/>
      <c r="L32" s="401"/>
      <c r="M32" s="401"/>
      <c r="N32" s="401"/>
      <c r="O32" s="369"/>
      <c r="P32" s="1091">
        <f>SUM(P37,W37,AD37)</f>
        <v>37072440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289</v>
      </c>
      <c r="C33" s="1095"/>
      <c r="D33" s="1095"/>
      <c r="E33" s="1095"/>
      <c r="F33" s="1095"/>
      <c r="G33" s="1095"/>
      <c r="H33" s="1095"/>
      <c r="I33" s="1095"/>
      <c r="J33" s="1095"/>
      <c r="K33" s="1095"/>
      <c r="L33" s="1095"/>
      <c r="M33" s="1095"/>
      <c r="N33" s="1095"/>
      <c r="O33" s="1096"/>
      <c r="P33" s="1091">
        <f>SUM(P38,W38,AD38)</f>
        <v>37233000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v>
      </c>
      <c r="W36" s="934" t="s">
        <v>268</v>
      </c>
      <c r="X36" s="922"/>
      <c r="Y36" s="922"/>
      <c r="Z36" s="922"/>
      <c r="AA36" s="922"/>
      <c r="AB36" s="923"/>
      <c r="AC36" s="469" t="str">
        <f>IF(M19="○", IF(W37="","",IF(W38="","",IF(W38&gt;W37,"○","☓"))),"")</f>
        <v>○</v>
      </c>
      <c r="AD36" s="934" t="s">
        <v>269</v>
      </c>
      <c r="AE36" s="922"/>
      <c r="AF36" s="922"/>
      <c r="AG36" s="922"/>
      <c r="AH36" s="922"/>
      <c r="AI36" s="923"/>
      <c r="AJ36" s="469" t="str">
        <f>IF(X19="○", IF(AD37="","",IF(AD38="","",IF(AD38&gt;AD37,"○","☓"))),"")</f>
        <v>○</v>
      </c>
      <c r="AK36" s="361"/>
      <c r="AL36" s="884" t="s">
        <v>339</v>
      </c>
      <c r="AM36" s="884"/>
      <c r="AN36" s="884"/>
      <c r="AO36" s="884"/>
      <c r="AP36" s="884"/>
      <c r="AQ36" s="884"/>
      <c r="AR36" s="884"/>
      <c r="AS36" s="884"/>
      <c r="AT36" s="884"/>
      <c r="AU36" s="884"/>
      <c r="AV36" s="885"/>
    </row>
    <row r="37" spans="1:49" ht="21" customHeight="1" thickBot="1">
      <c r="A37" s="362" t="s">
        <v>8</v>
      </c>
      <c r="B37" s="1097" t="s">
        <v>270</v>
      </c>
      <c r="C37" s="1097"/>
      <c r="D37" s="1098">
        <f>IF(Y3=0,"",Y3)</f>
        <v>5</v>
      </c>
      <c r="E37" s="1098"/>
      <c r="F37" s="363" t="s">
        <v>271</v>
      </c>
      <c r="G37" s="364"/>
      <c r="H37" s="364"/>
      <c r="I37" s="364"/>
      <c r="J37" s="364"/>
      <c r="K37" s="364"/>
      <c r="L37" s="364"/>
      <c r="M37" s="364"/>
      <c r="N37" s="364"/>
      <c r="O37" s="365"/>
      <c r="P37" s="914">
        <f>IF('別紙様式2-2 個表_処遇'!O5="","",'別紙様式2-2 個表_処遇'!O5)</f>
        <v>24548640</v>
      </c>
      <c r="Q37" s="915"/>
      <c r="R37" s="915"/>
      <c r="S37" s="915"/>
      <c r="T37" s="915"/>
      <c r="U37" s="915"/>
      <c r="V37" s="366" t="s">
        <v>1</v>
      </c>
      <c r="W37" s="914">
        <f>IF('別紙様式2-3 個表_特定'!O5="","",'別紙様式2-3 個表_特定'!O5)</f>
        <v>6715800</v>
      </c>
      <c r="X37" s="915"/>
      <c r="Y37" s="915"/>
      <c r="Z37" s="915"/>
      <c r="AA37" s="915"/>
      <c r="AB37" s="915"/>
      <c r="AC37" s="366" t="s">
        <v>1</v>
      </c>
      <c r="AD37" s="914">
        <f>IF('別紙様式2-4 個表_ベースアップ'!O5="","",'別紙様式2-4 個表_ベースアップ'!O5)</f>
        <v>5808000</v>
      </c>
      <c r="AE37" s="915"/>
      <c r="AF37" s="915"/>
      <c r="AG37" s="915"/>
      <c r="AH37" s="915"/>
      <c r="AI37" s="915"/>
      <c r="AJ37" s="470" t="s">
        <v>1</v>
      </c>
      <c r="AK37" s="361"/>
      <c r="AL37" s="367"/>
      <c r="AT37" s="52"/>
    </row>
    <row r="38" spans="1:49" ht="21" customHeight="1" thickBot="1">
      <c r="A38" s="362" t="s">
        <v>9</v>
      </c>
      <c r="B38" s="916" t="s">
        <v>289</v>
      </c>
      <c r="C38" s="917"/>
      <c r="D38" s="917"/>
      <c r="E38" s="917"/>
      <c r="F38" s="917"/>
      <c r="G38" s="917"/>
      <c r="H38" s="917"/>
      <c r="I38" s="917"/>
      <c r="J38" s="917"/>
      <c r="K38" s="917"/>
      <c r="L38" s="917"/>
      <c r="M38" s="917"/>
      <c r="N38" s="917"/>
      <c r="O38" s="917"/>
      <c r="P38" s="890">
        <v>24674000</v>
      </c>
      <c r="Q38" s="891"/>
      <c r="R38" s="891"/>
      <c r="S38" s="891"/>
      <c r="T38" s="891"/>
      <c r="U38" s="892"/>
      <c r="V38" s="408" t="s">
        <v>1</v>
      </c>
      <c r="W38" s="893">
        <v>6750000</v>
      </c>
      <c r="X38" s="894"/>
      <c r="Y38" s="894"/>
      <c r="Z38" s="894"/>
      <c r="AA38" s="894"/>
      <c r="AB38" s="895"/>
      <c r="AC38" s="368" t="s">
        <v>1</v>
      </c>
      <c r="AD38" s="886">
        <f>S139+S142</f>
        <v>5809000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452</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294</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1</v>
      </c>
      <c r="B48" s="1036"/>
      <c r="C48" s="1037" t="s">
        <v>295</v>
      </c>
      <c r="D48" s="1037"/>
      <c r="E48" s="1037"/>
      <c r="F48" s="1037"/>
      <c r="G48" s="1037"/>
      <c r="H48" s="1037"/>
      <c r="I48" s="1037"/>
      <c r="J48" s="1037"/>
      <c r="K48" s="1037"/>
      <c r="L48" s="1037"/>
      <c r="M48" s="1037"/>
      <c r="N48" s="1037"/>
      <c r="O48" s="1037"/>
      <c r="P48" s="1037"/>
      <c r="Q48" s="1037"/>
      <c r="R48" s="1037"/>
      <c r="S48" s="1037"/>
      <c r="T48" s="1037"/>
      <c r="U48" s="1037"/>
      <c r="V48" s="1038"/>
      <c r="W48" s="397" t="s">
        <v>296</v>
      </c>
      <c r="X48" s="360" t="str">
        <f>IF(A48="","",IF(A48=TRUE,"○","×"))</f>
        <v>○</v>
      </c>
      <c r="Y48" s="411" t="s">
        <v>297</v>
      </c>
      <c r="Z48" s="397"/>
      <c r="AA48" s="397"/>
      <c r="AB48" s="397"/>
      <c r="AC48" s="397"/>
      <c r="AD48" s="397"/>
      <c r="AE48" s="397"/>
      <c r="AF48" s="397"/>
      <c r="AG48" s="397"/>
      <c r="AH48" s="397"/>
      <c r="AI48" s="397"/>
      <c r="AJ48" s="397"/>
      <c r="AL48" s="884" t="s">
        <v>343</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344</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298</v>
      </c>
      <c r="B53" s="882"/>
      <c r="C53" s="882"/>
      <c r="D53" s="882"/>
      <c r="E53" s="882"/>
      <c r="F53" s="882"/>
      <c r="G53" s="882"/>
      <c r="H53" s="882"/>
      <c r="I53" s="882"/>
      <c r="J53" s="882"/>
      <c r="K53" s="882"/>
      <c r="L53" s="882"/>
      <c r="M53" s="882"/>
      <c r="N53" s="882"/>
      <c r="O53" s="882"/>
      <c r="P53" s="882"/>
      <c r="Q53" s="882"/>
      <c r="R53" s="883"/>
      <c r="S53" s="930">
        <f>P38</f>
        <v>24674000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v>
      </c>
      <c r="AK53"/>
      <c r="AL53" s="896" t="s">
        <v>349</v>
      </c>
      <c r="AM53" s="884"/>
      <c r="AN53" s="884"/>
      <c r="AO53" s="884"/>
      <c r="AP53" s="884"/>
      <c r="AQ53" s="884"/>
      <c r="AR53" s="884"/>
      <c r="AS53" s="884"/>
      <c r="AT53" s="884"/>
      <c r="AU53" s="884"/>
      <c r="AV53" s="885"/>
    </row>
    <row r="54" spans="1:52" ht="33" customHeight="1" thickBot="1">
      <c r="A54" s="381" t="s">
        <v>299</v>
      </c>
      <c r="B54" s="382"/>
      <c r="C54" s="382"/>
      <c r="D54" s="382"/>
      <c r="E54" s="382"/>
      <c r="F54" s="382"/>
      <c r="G54" s="382"/>
      <c r="H54" s="382"/>
      <c r="I54" s="382"/>
      <c r="J54" s="382"/>
      <c r="K54" s="382"/>
      <c r="L54" s="383"/>
      <c r="M54" s="384"/>
      <c r="N54" s="385" t="s">
        <v>15</v>
      </c>
      <c r="O54" s="385"/>
      <c r="P54" s="888">
        <v>5</v>
      </c>
      <c r="Q54" s="888"/>
      <c r="R54" s="385" t="s">
        <v>10</v>
      </c>
      <c r="S54" s="888">
        <v>4</v>
      </c>
      <c r="T54" s="888"/>
      <c r="U54" s="385" t="s">
        <v>11</v>
      </c>
      <c r="V54" s="889" t="s">
        <v>12</v>
      </c>
      <c r="W54" s="889"/>
      <c r="X54" s="385" t="s">
        <v>15</v>
      </c>
      <c r="Y54" s="385"/>
      <c r="Z54" s="888">
        <v>6</v>
      </c>
      <c r="AA54" s="888"/>
      <c r="AB54" s="385" t="s">
        <v>10</v>
      </c>
      <c r="AC54" s="888">
        <v>3</v>
      </c>
      <c r="AD54" s="888"/>
      <c r="AE54" s="385" t="s">
        <v>11</v>
      </c>
      <c r="AF54" s="385" t="s">
        <v>103</v>
      </c>
      <c r="AG54" s="385">
        <f>IF(P54&gt;=1,(Z54*12+AC54)-(P54*12+S54)+1,"")</f>
        <v>12</v>
      </c>
      <c r="AH54" s="889" t="s">
        <v>104</v>
      </c>
      <c r="AI54" s="889"/>
      <c r="AJ54" s="507" t="s">
        <v>42</v>
      </c>
      <c r="AK54" s="367"/>
      <c r="AS54" s="52"/>
    </row>
    <row r="55" spans="1:52" s="1" customFormat="1" ht="26.25" customHeight="1">
      <c r="A55" s="924" t="s">
        <v>28</v>
      </c>
      <c r="B55" s="925"/>
      <c r="C55" s="925"/>
      <c r="D55" s="925"/>
      <c r="E55" s="477" t="b">
        <v>1</v>
      </c>
      <c r="F55" s="478" t="s">
        <v>26</v>
      </c>
      <c r="G55" s="479"/>
      <c r="H55" s="479"/>
      <c r="I55" s="480" t="b">
        <v>1</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t="s">
        <v>487</v>
      </c>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488</v>
      </c>
      <c r="M61" s="907"/>
      <c r="N61" s="907"/>
      <c r="O61" s="905">
        <v>29</v>
      </c>
      <c r="P61" s="905"/>
      <c r="Q61" s="502" t="s">
        <v>4</v>
      </c>
      <c r="R61" s="905">
        <v>4</v>
      </c>
      <c r="S61" s="905"/>
      <c r="T61" s="502" t="s">
        <v>30</v>
      </c>
      <c r="U61" s="502" t="s">
        <v>23</v>
      </c>
      <c r="V61" s="503" t="b">
        <v>1</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97" t="s">
        <v>352</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353</v>
      </c>
      <c r="V65" s="1115"/>
      <c r="W65" s="1115"/>
      <c r="X65" s="1115"/>
      <c r="Y65" s="1115"/>
      <c r="Z65" s="1115"/>
      <c r="AA65" s="1115"/>
      <c r="AB65" s="1115"/>
      <c r="AC65" s="1115"/>
      <c r="AD65" s="1115"/>
      <c r="AE65" s="1115"/>
      <c r="AF65" s="1115"/>
      <c r="AG65" s="515" t="b">
        <v>1</v>
      </c>
      <c r="AH65" s="516" t="s">
        <v>43</v>
      </c>
      <c r="AI65" s="517"/>
      <c r="AJ65" s="61" t="str">
        <f>IF(B19="○", IF(COUNTIF('別紙様式2-2 個表_処遇'!S11:S110,"*加算Ⅰ*")+COUNTIF('別紙様式2-2 個表_処遇'!S11:S110,"*加算Ⅱ*"),IF(AG65=TRUE,"○","×"),""),"")</f>
        <v>○</v>
      </c>
      <c r="AL65" s="896" t="s">
        <v>354</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353</v>
      </c>
      <c r="V70" s="1117"/>
      <c r="W70" s="1117"/>
      <c r="X70" s="1117"/>
      <c r="Y70" s="1117"/>
      <c r="Z70" s="1117"/>
      <c r="AA70" s="1117"/>
      <c r="AB70" s="1117"/>
      <c r="AC70" s="1117"/>
      <c r="AD70" s="1117"/>
      <c r="AE70" s="1117"/>
      <c r="AF70" s="1117"/>
      <c r="AG70" s="515" t="b">
        <v>1</v>
      </c>
      <c r="AH70" s="516" t="s">
        <v>43</v>
      </c>
      <c r="AI70" s="517"/>
      <c r="AJ70" s="61" t="str">
        <f>IF(B19="○", IF(COUNTIF('別紙様式2-2 個表_処遇'!S11:S110,"*加算Ⅰ*")+COUNTIF('別紙様式2-2 個表_処遇'!S11:S110,"*加算Ⅱ*"),IF(AND(AG70=TRUE, OR(AND(K72=TRUE,M74&lt;&gt;""), AND(K75=TRUE,M76&lt;&gt;""))),"○","×"),""),"")</f>
        <v>○</v>
      </c>
      <c r="AK70" s="117"/>
      <c r="AL70" s="896" t="s">
        <v>355</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1</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t="s">
        <v>489</v>
      </c>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1</v>
      </c>
      <c r="AH79" s="516" t="s">
        <v>43</v>
      </c>
      <c r="AI79" s="517"/>
      <c r="AJ79" s="61" t="str">
        <f>IF(B19="○",IF(COUNTIF('別紙様式2-2 個表_処遇'!S11:S110,"*加算Ⅰ*"),IF(AND(AG79=TRUE,OR(K81=TRUE,K82=TRUE,K83=TRUE)),"○","×"),""),"")</f>
        <v>○</v>
      </c>
      <c r="AK79"/>
      <c r="AL79" s="896" t="s">
        <v>356</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1</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1</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357</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1016" t="s">
        <v>366</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362</v>
      </c>
      <c r="B91" s="1016" t="s">
        <v>367</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1105" t="s">
        <v>365</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932">
        <f>W38</f>
        <v>6750000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1029" t="s">
        <v>311</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370</v>
      </c>
      <c r="C97" s="1049"/>
      <c r="D97" s="1049"/>
      <c r="E97" s="1049"/>
      <c r="F97" s="1049"/>
      <c r="G97" s="1049"/>
      <c r="H97" s="1049"/>
      <c r="I97" s="1049"/>
      <c r="J97" s="1049"/>
      <c r="K97" s="1049"/>
      <c r="L97" s="1049"/>
      <c r="M97" s="1049"/>
      <c r="N97" s="1049"/>
      <c r="O97" s="1049"/>
      <c r="P97" s="1049"/>
      <c r="Q97" s="1049"/>
      <c r="R97" s="1050"/>
      <c r="S97" s="1058" t="b">
        <v>1</v>
      </c>
      <c r="T97" s="1059"/>
      <c r="U97" s="1059"/>
      <c r="V97" s="1059"/>
      <c r="W97" s="1060"/>
      <c r="X97" s="533"/>
      <c r="Y97" s="1054" t="b">
        <v>1</v>
      </c>
      <c r="Z97" s="1055"/>
      <c r="AA97" s="1055"/>
      <c r="AB97" s="1055"/>
      <c r="AC97" s="1056"/>
      <c r="AD97" s="552"/>
      <c r="AE97" s="1054" t="b">
        <v>1</v>
      </c>
      <c r="AF97" s="1055"/>
      <c r="AG97" s="1055"/>
      <c r="AH97" s="1055"/>
      <c r="AI97" s="1057"/>
      <c r="AJ97" s="553" t="str">
        <f>IF(M19="○", IF(OR(AND(NOT(S97),NOT(Y97),AE97),AND(NOT(S97),NOT(Y97),NOT(AE97))),"×","○"),"")</f>
        <v>○</v>
      </c>
      <c r="AK97" s="534"/>
      <c r="AL97" s="896" t="s">
        <v>371</v>
      </c>
      <c r="AM97" s="1039"/>
      <c r="AN97" s="1039"/>
      <c r="AO97" s="1039"/>
      <c r="AP97" s="1039"/>
      <c r="AQ97" s="1039"/>
      <c r="AR97" s="1039"/>
      <c r="AS97" s="1039"/>
      <c r="AT97" s="1039"/>
      <c r="AU97" s="1039"/>
      <c r="AV97" s="1040"/>
      <c r="AW97" s="465"/>
    </row>
    <row r="98" spans="1:54" customFormat="1" ht="18.75" customHeight="1" thickBot="1">
      <c r="A98" s="535"/>
      <c r="B98" s="1051" t="s">
        <v>372</v>
      </c>
      <c r="C98" s="1052"/>
      <c r="D98" s="1052"/>
      <c r="E98" s="1052"/>
      <c r="F98" s="1052"/>
      <c r="G98" s="1052"/>
      <c r="H98" s="1052"/>
      <c r="I98" s="1052"/>
      <c r="J98" s="1052"/>
      <c r="K98" s="1052"/>
      <c r="L98" s="1052"/>
      <c r="M98" s="1052"/>
      <c r="N98" s="1052"/>
      <c r="O98" s="1052"/>
      <c r="P98" s="1052"/>
      <c r="Q98" s="1052"/>
      <c r="R98" s="1053"/>
      <c r="S98" s="902">
        <v>14.3</v>
      </c>
      <c r="T98" s="903"/>
      <c r="U98" s="903"/>
      <c r="V98" s="903"/>
      <c r="W98" s="904"/>
      <c r="X98" s="536" t="s">
        <v>301</v>
      </c>
      <c r="Y98" s="928">
        <v>42.5</v>
      </c>
      <c r="Z98" s="903"/>
      <c r="AA98" s="903"/>
      <c r="AB98" s="903"/>
      <c r="AC98" s="904"/>
      <c r="AD98" s="537" t="s">
        <v>301</v>
      </c>
      <c r="AE98" s="928">
        <v>144</v>
      </c>
      <c r="AF98" s="903"/>
      <c r="AG98" s="903"/>
      <c r="AH98" s="903"/>
      <c r="AI98" s="904"/>
      <c r="AJ98" s="538" t="s">
        <v>18</v>
      </c>
      <c r="AK98" s="1126" t="s">
        <v>373</v>
      </c>
      <c r="AL98" s="465"/>
      <c r="AM98" s="465"/>
      <c r="AN98" s="465"/>
      <c r="AO98" s="465"/>
      <c r="AP98" s="465"/>
      <c r="AQ98" s="465"/>
      <c r="AR98" s="465"/>
      <c r="AS98" s="465"/>
      <c r="AT98" s="465"/>
      <c r="AU98" s="465"/>
      <c r="AV98" s="465"/>
      <c r="AW98" s="465"/>
    </row>
    <row r="99" spans="1:54" customFormat="1" ht="17.25" customHeight="1" thickBot="1">
      <c r="A99" s="535"/>
      <c r="B99" s="1127" t="s">
        <v>374</v>
      </c>
      <c r="C99" s="1128"/>
      <c r="D99" s="1128"/>
      <c r="E99" s="1128"/>
      <c r="F99" s="1128"/>
      <c r="G99" s="1128"/>
      <c r="H99" s="1128"/>
      <c r="I99" s="1128"/>
      <c r="J99" s="1128"/>
      <c r="K99" s="1128"/>
      <c r="L99" s="1128"/>
      <c r="M99" s="1128"/>
      <c r="N99" s="1128"/>
      <c r="O99" s="1128"/>
      <c r="P99" s="1128"/>
      <c r="Q99" s="1128"/>
      <c r="R99" s="1129"/>
      <c r="S99" s="1133">
        <v>1.1000000000000001</v>
      </c>
      <c r="T99" s="1134"/>
      <c r="U99" s="1134"/>
      <c r="V99" s="1134"/>
      <c r="W99" s="1135"/>
      <c r="X99" s="1139" t="s">
        <v>302</v>
      </c>
      <c r="Y99" s="1141">
        <v>1</v>
      </c>
      <c r="Z99" s="1134"/>
      <c r="AA99" s="1134"/>
      <c r="AB99" s="1134"/>
      <c r="AC99" s="1135"/>
      <c r="AD99" s="1143" t="s">
        <v>302</v>
      </c>
      <c r="AE99" s="1141">
        <v>0.5</v>
      </c>
      <c r="AF99" s="1134"/>
      <c r="AG99" s="1134"/>
      <c r="AH99" s="1134"/>
      <c r="AI99" s="1145"/>
      <c r="AJ99" s="539" t="str">
        <f>IF(M19="○", IF(AND(S97=TRUE,Y97=TRUE), IF(AND(S99&gt;Y99, Y99&gt;0),"○","×"),""),"")</f>
        <v>○</v>
      </c>
      <c r="AK99" s="1126"/>
      <c r="AL99" s="896" t="s">
        <v>377</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v>
      </c>
      <c r="AK100" s="1147" t="s">
        <v>309</v>
      </c>
      <c r="AL100" s="896" t="s">
        <v>378</v>
      </c>
      <c r="AM100" s="1039"/>
      <c r="AN100" s="1039"/>
      <c r="AO100" s="1039"/>
      <c r="AP100" s="1039"/>
      <c r="AQ100" s="1039"/>
      <c r="AR100" s="1039"/>
      <c r="AS100" s="1039"/>
      <c r="AT100" s="1039"/>
      <c r="AU100" s="1039"/>
      <c r="AV100" s="1040"/>
      <c r="AW100" s="465"/>
    </row>
    <row r="101" spans="1:54" customFormat="1" ht="18.75" customHeight="1">
      <c r="A101" s="535"/>
      <c r="B101" s="1064" t="s">
        <v>303</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4751.2093987560465</v>
      </c>
      <c r="T101" s="1067"/>
      <c r="U101" s="1067"/>
      <c r="V101" s="1067"/>
      <c r="W101" s="1067"/>
      <c r="X101" s="540" t="s">
        <v>122</v>
      </c>
      <c r="Y101" s="1066">
        <f>IFERROR(S95/((IFERROR(S98/(Y99/S99), 0))+IFERROR(Y98/(Y99/Y99),0)+IFERROR(AE98/(Y99/AE99),0))/Y115,0)</f>
        <v>4319.2812715964055</v>
      </c>
      <c r="Z101" s="1067"/>
      <c r="AA101" s="1067"/>
      <c r="AB101" s="1067"/>
      <c r="AC101" s="1067"/>
      <c r="AD101" s="540" t="s">
        <v>122</v>
      </c>
      <c r="AE101" s="1066">
        <f>IFERROR(S95/((IFERROR(S98/(AE99/S99), 0))+IFERROR(Y98/(AE99/Y99),0)+IFERROR(AE98/(AE99/AE99),0))/Y115,0)</f>
        <v>2159.6406357982028</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308</v>
      </c>
      <c r="C102" s="809"/>
      <c r="D102" s="809"/>
      <c r="E102" s="809"/>
      <c r="F102" s="809"/>
      <c r="G102" s="809"/>
      <c r="H102" s="809"/>
      <c r="I102" s="809"/>
      <c r="J102" s="809"/>
      <c r="K102" s="809"/>
      <c r="L102" s="809"/>
      <c r="M102" s="809"/>
      <c r="N102" s="809"/>
      <c r="O102" s="809"/>
      <c r="P102" s="809"/>
      <c r="Q102" s="809"/>
      <c r="R102" s="1065"/>
      <c r="S102" s="542" t="s">
        <v>112</v>
      </c>
      <c r="T102" s="1151">
        <f>S98*S101*Y115</f>
        <v>815307.53282653762</v>
      </c>
      <c r="U102" s="1151"/>
      <c r="V102" s="1151"/>
      <c r="W102" s="543" t="s">
        <v>122</v>
      </c>
      <c r="X102" s="544" t="s">
        <v>123</v>
      </c>
      <c r="Y102" s="545" t="s">
        <v>112</v>
      </c>
      <c r="Z102" s="1068">
        <f>Y98*Y101*Y115</f>
        <v>2202833.4485141668</v>
      </c>
      <c r="AA102" s="1068"/>
      <c r="AB102" s="1068"/>
      <c r="AC102" s="546" t="s">
        <v>122</v>
      </c>
      <c r="AD102" s="544" t="s">
        <v>123</v>
      </c>
      <c r="AE102" s="545" t="s">
        <v>112</v>
      </c>
      <c r="AF102" s="1068">
        <f>AE98*AE101*Y115</f>
        <v>3731859.0186592941</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375</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376</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v>4200000</v>
      </c>
      <c r="Z104" s="900"/>
      <c r="AA104" s="900"/>
      <c r="AB104" s="900"/>
      <c r="AC104" s="900"/>
      <c r="AD104" s="550" t="s">
        <v>1</v>
      </c>
      <c r="AE104" s="551" t="s">
        <v>296</v>
      </c>
      <c r="AF104" s="554" t="str">
        <f>IF(M19="○", IF(Y104,IF(Y104&lt;=4400000,"○","☓"),""),"")</f>
        <v>○</v>
      </c>
      <c r="AG104" s="555" t="s">
        <v>300</v>
      </c>
      <c r="AH104" s="1"/>
      <c r="AI104" s="1"/>
      <c r="AJ104" s="1"/>
      <c r="AK104" s="1"/>
      <c r="AL104" s="896" t="s">
        <v>379</v>
      </c>
      <c r="AM104" s="884"/>
      <c r="AN104" s="884"/>
      <c r="AO104" s="884"/>
      <c r="AP104" s="884"/>
      <c r="AQ104" s="884"/>
      <c r="AR104" s="884"/>
      <c r="AS104" s="884"/>
      <c r="AT104" s="884"/>
      <c r="AU104" s="884"/>
      <c r="AV104" s="885"/>
      <c r="AW104" s="465"/>
    </row>
    <row r="105" spans="1:54" s="1" customFormat="1" ht="28.5" customHeight="1" thickBot="1">
      <c r="A105" s="556"/>
      <c r="B105" s="1044" t="s">
        <v>380</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v>6</v>
      </c>
      <c r="Z105" s="900"/>
      <c r="AA105" s="900"/>
      <c r="AB105" s="900"/>
      <c r="AC105" s="900"/>
      <c r="AD105" s="541" t="s">
        <v>305</v>
      </c>
      <c r="AE105" s="557" t="s">
        <v>296</v>
      </c>
      <c r="AF105" s="1148" t="str">
        <f>IF(M19="○",IF(OR(Y105&gt;=Y106,OR(C108,C109,C110,C111)=TRUE),"○","☓"),"")</f>
        <v>○</v>
      </c>
      <c r="AG105" s="1150" t="s">
        <v>304</v>
      </c>
      <c r="AJ105" s="558"/>
      <c r="AK105"/>
      <c r="AL105" s="797" t="s">
        <v>381</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382</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6</v>
      </c>
      <c r="Z106" s="1062"/>
      <c r="AA106" s="1062"/>
      <c r="AB106" s="1062"/>
      <c r="AC106" s="1063"/>
      <c r="AD106" s="559" t="s">
        <v>307</v>
      </c>
      <c r="AE106" s="557" t="s">
        <v>296</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386</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387</v>
      </c>
      <c r="B115" s="991"/>
      <c r="C115" s="991"/>
      <c r="D115" s="1018"/>
      <c r="E115" s="581"/>
      <c r="F115" s="507" t="s">
        <v>15</v>
      </c>
      <c r="G115" s="479"/>
      <c r="H115" s="1019">
        <v>5</v>
      </c>
      <c r="I115" s="1019"/>
      <c r="J115" s="479" t="s">
        <v>10</v>
      </c>
      <c r="K115" s="1019">
        <v>4</v>
      </c>
      <c r="L115" s="1019"/>
      <c r="M115" s="479" t="s">
        <v>11</v>
      </c>
      <c r="N115" s="582" t="s">
        <v>12</v>
      </c>
      <c r="O115" s="582"/>
      <c r="P115" s="479" t="s">
        <v>15</v>
      </c>
      <c r="Q115" s="479"/>
      <c r="R115" s="1019">
        <v>6</v>
      </c>
      <c r="S115" s="1019"/>
      <c r="T115" s="479" t="s">
        <v>10</v>
      </c>
      <c r="U115" s="1019">
        <v>3</v>
      </c>
      <c r="V115" s="1019"/>
      <c r="W115" s="479" t="s">
        <v>11</v>
      </c>
      <c r="X115" s="479" t="s">
        <v>103</v>
      </c>
      <c r="Y115" s="479">
        <f>IF(H115&gt;=1,(R115*12+U115)-(H115*12+K115)+1,"")</f>
        <v>12</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v>
      </c>
      <c r="AK115" s="412"/>
      <c r="AL115" s="896" t="s">
        <v>388</v>
      </c>
      <c r="AM115" s="1039"/>
      <c r="AN115" s="1039"/>
      <c r="AO115" s="1039"/>
      <c r="AP115" s="1039"/>
      <c r="AQ115" s="1039"/>
      <c r="AR115" s="1039"/>
      <c r="AS115" s="1039"/>
      <c r="AT115" s="1039"/>
      <c r="AU115" s="1039"/>
      <c r="AV115" s="1040"/>
      <c r="AW115" s="485"/>
    </row>
    <row r="116" spans="1:52" customFormat="1" ht="53.25" customHeight="1" thickBot="1">
      <c r="A116" s="993" t="s">
        <v>319</v>
      </c>
      <c r="B116" s="994"/>
      <c r="C116" s="994"/>
      <c r="D116" s="994"/>
      <c r="E116" s="1167" t="s">
        <v>490</v>
      </c>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389</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
      </c>
      <c r="AK117" s="1"/>
      <c r="AL117" s="896" t="s">
        <v>392</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1</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1</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390</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t="s">
        <v>491</v>
      </c>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v>3</v>
      </c>
      <c r="O124" s="1166"/>
      <c r="P124" s="502" t="s">
        <v>4</v>
      </c>
      <c r="Q124" s="1166">
        <v>4</v>
      </c>
      <c r="R124" s="1166"/>
      <c r="S124" s="502" t="s">
        <v>30</v>
      </c>
      <c r="T124" s="502" t="s">
        <v>23</v>
      </c>
      <c r="U124" s="597" t="b">
        <v>1</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v>
      </c>
      <c r="AK126"/>
      <c r="AL126" s="896" t="s">
        <v>395</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1</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1022" t="s">
        <v>399</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400</v>
      </c>
      <c r="B135" s="1016" t="s">
        <v>401</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312</v>
      </c>
      <c r="B137" s="882"/>
      <c r="C137" s="882"/>
      <c r="D137" s="882"/>
      <c r="E137" s="882"/>
      <c r="F137" s="882"/>
      <c r="G137" s="882"/>
      <c r="H137" s="882"/>
      <c r="I137" s="882"/>
      <c r="J137" s="882"/>
      <c r="K137" s="882"/>
      <c r="L137" s="882"/>
      <c r="M137" s="882"/>
      <c r="N137" s="882"/>
      <c r="O137" s="882"/>
      <c r="P137" s="882"/>
      <c r="Q137" s="882"/>
      <c r="R137" s="883"/>
      <c r="S137" s="969">
        <f>S139+S142</f>
        <v>5809000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318</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317</v>
      </c>
      <c r="B139" s="972"/>
      <c r="C139" s="419" t="s">
        <v>313</v>
      </c>
      <c r="D139" s="419"/>
      <c r="E139" s="419"/>
      <c r="F139" s="419"/>
      <c r="G139" s="419"/>
      <c r="H139" s="419"/>
      <c r="I139" s="419"/>
      <c r="J139" s="419"/>
      <c r="K139" s="419"/>
      <c r="L139" s="419"/>
      <c r="M139" s="419"/>
      <c r="N139" s="419"/>
      <c r="O139" s="419"/>
      <c r="P139" s="419"/>
      <c r="Q139" s="419"/>
      <c r="R139" s="419"/>
      <c r="S139" s="864">
        <v>4715211</v>
      </c>
      <c r="T139" s="865"/>
      <c r="U139" s="865"/>
      <c r="V139" s="865"/>
      <c r="W139" s="866"/>
      <c r="X139" s="417" t="s">
        <v>1</v>
      </c>
      <c r="Y139" s="418"/>
      <c r="Z139" s="429"/>
      <c r="AA139" s="430"/>
      <c r="AB139" s="431"/>
      <c r="AC139" s="431"/>
      <c r="AD139" s="432"/>
      <c r="AE139" s="984"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314</v>
      </c>
      <c r="E140" s="985"/>
      <c r="F140" s="985"/>
      <c r="G140" s="985"/>
      <c r="H140" s="985"/>
      <c r="I140" s="985"/>
      <c r="J140" s="985"/>
      <c r="K140" s="985"/>
      <c r="L140" s="985"/>
      <c r="M140" s="985"/>
      <c r="N140" s="985"/>
      <c r="O140" s="985"/>
      <c r="P140" s="985"/>
      <c r="Q140" s="985"/>
      <c r="R140" s="985"/>
      <c r="S140" s="981">
        <v>3533051</v>
      </c>
      <c r="T140" s="982"/>
      <c r="U140" s="982"/>
      <c r="V140" s="982"/>
      <c r="W140" s="983"/>
      <c r="X140" s="416" t="s">
        <v>1</v>
      </c>
      <c r="Y140" s="434" t="s">
        <v>23</v>
      </c>
      <c r="Z140" s="859">
        <f>IFERROR(S140/S139*100,0)</f>
        <v>74.92879958076108</v>
      </c>
      <c r="AA140" s="860"/>
      <c r="AB140" s="861"/>
      <c r="AC140" s="435" t="s">
        <v>24</v>
      </c>
      <c r="AD140" s="436" t="s">
        <v>243</v>
      </c>
      <c r="AE140" s="984"/>
      <c r="AF140" s="61" t="str">
        <f>IF(X19="○", IF(Z140=0,"",IF(Z140&gt;=200/3,"○","×")), "")</f>
        <v>○</v>
      </c>
      <c r="AG140" s="1182" t="s">
        <v>306</v>
      </c>
      <c r="AH140" s="421"/>
      <c r="AI140" s="421"/>
      <c r="AJ140" s="421"/>
      <c r="AK140" s="421"/>
      <c r="AL140" s="896" t="s">
        <v>406</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f>S140/Y148</f>
        <v>294420.91666666669</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315</v>
      </c>
      <c r="B142" s="976"/>
      <c r="C142" s="445" t="s">
        <v>316</v>
      </c>
      <c r="D142" s="446"/>
      <c r="E142" s="446"/>
      <c r="F142" s="446"/>
      <c r="G142" s="446"/>
      <c r="H142" s="446"/>
      <c r="I142" s="446"/>
      <c r="J142" s="446"/>
      <c r="K142" s="446"/>
      <c r="L142" s="446"/>
      <c r="M142" s="446"/>
      <c r="N142" s="446"/>
      <c r="O142" s="446"/>
      <c r="P142" s="446"/>
      <c r="Q142" s="446"/>
      <c r="R142" s="446"/>
      <c r="S142" s="981">
        <v>1093789</v>
      </c>
      <c r="T142" s="982"/>
      <c r="U142" s="982"/>
      <c r="V142" s="982"/>
      <c r="W142" s="983"/>
      <c r="X142" s="447" t="s">
        <v>1</v>
      </c>
      <c r="Y142" s="428"/>
      <c r="Z142" s="429"/>
      <c r="AA142" s="430"/>
      <c r="AB142" s="431"/>
      <c r="AC142" s="431"/>
      <c r="AD142" s="432"/>
      <c r="AE142" s="984" t="s">
        <v>296</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314</v>
      </c>
      <c r="E143" s="985"/>
      <c r="F143" s="985"/>
      <c r="G143" s="985"/>
      <c r="H143" s="985"/>
      <c r="I143" s="985"/>
      <c r="J143" s="985"/>
      <c r="K143" s="985"/>
      <c r="L143" s="985"/>
      <c r="M143" s="985"/>
      <c r="N143" s="985"/>
      <c r="O143" s="985"/>
      <c r="P143" s="985"/>
      <c r="Q143" s="985"/>
      <c r="R143" s="985"/>
      <c r="S143" s="981">
        <v>783753</v>
      </c>
      <c r="T143" s="982"/>
      <c r="U143" s="982"/>
      <c r="V143" s="982"/>
      <c r="W143" s="983"/>
      <c r="X143" s="448" t="s">
        <v>1</v>
      </c>
      <c r="Y143" s="434" t="s">
        <v>23</v>
      </c>
      <c r="Z143" s="859">
        <f>IFERROR(S143/S142*100,0)</f>
        <v>71.654862135201583</v>
      </c>
      <c r="AA143" s="860"/>
      <c r="AB143" s="861"/>
      <c r="AC143" s="435" t="s">
        <v>24</v>
      </c>
      <c r="AD143" s="436" t="s">
        <v>243</v>
      </c>
      <c r="AE143" s="984"/>
      <c r="AF143" s="61" t="str">
        <f>IF(X19="○", IF(Z143=0,"",IF(Z143&gt;=200/3,"○","×")),"")</f>
        <v>○</v>
      </c>
      <c r="AG143" s="1182"/>
      <c r="AH143" s="421"/>
      <c r="AI143" s="421"/>
      <c r="AJ143" s="421"/>
      <c r="AK143" s="421"/>
      <c r="AL143" s="896" t="s">
        <v>407</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f>S143/Y148</f>
        <v>65312.75</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387</v>
      </c>
      <c r="B148" s="991"/>
      <c r="C148" s="991"/>
      <c r="D148" s="991"/>
      <c r="E148" s="450"/>
      <c r="F148" s="386" t="s">
        <v>15</v>
      </c>
      <c r="G148" s="451"/>
      <c r="H148" s="1002">
        <v>5</v>
      </c>
      <c r="I148" s="1002"/>
      <c r="J148" s="451" t="s">
        <v>10</v>
      </c>
      <c r="K148" s="1002">
        <v>4</v>
      </c>
      <c r="L148" s="1002"/>
      <c r="M148" s="451" t="s">
        <v>11</v>
      </c>
      <c r="N148" s="453" t="s">
        <v>12</v>
      </c>
      <c r="O148" s="453"/>
      <c r="P148" s="451" t="s">
        <v>15</v>
      </c>
      <c r="Q148" s="451"/>
      <c r="R148" s="1002">
        <v>6</v>
      </c>
      <c r="S148" s="1002"/>
      <c r="T148" s="451" t="s">
        <v>10</v>
      </c>
      <c r="U148" s="1002">
        <v>3</v>
      </c>
      <c r="V148" s="1002"/>
      <c r="W148" s="451" t="s">
        <v>11</v>
      </c>
      <c r="X148" s="451" t="s">
        <v>103</v>
      </c>
      <c r="Y148" s="451">
        <f>IF(H148&gt;=1,(R148*12+U148)-(H148*12+K148)+1,"")</f>
        <v>12</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v>
      </c>
      <c r="AL148" s="367"/>
    </row>
    <row r="149" spans="1:49" s="1" customFormat="1" ht="27" customHeight="1">
      <c r="A149" s="993" t="s">
        <v>28</v>
      </c>
      <c r="B149" s="994"/>
      <c r="C149" s="994"/>
      <c r="D149" s="995"/>
      <c r="E149" s="999" t="s">
        <v>403</v>
      </c>
      <c r="F149" s="1000"/>
      <c r="G149" s="1000"/>
      <c r="H149" s="1001"/>
      <c r="I149" s="651" t="b">
        <v>0</v>
      </c>
      <c r="J149" s="1183" t="s">
        <v>26</v>
      </c>
      <c r="K149" s="1183"/>
      <c r="L149" s="1183"/>
      <c r="M149" s="1183"/>
      <c r="N149" s="651" t="b">
        <v>1</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405</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404</v>
      </c>
      <c r="F150" s="991"/>
      <c r="G150" s="991"/>
      <c r="H150" s="992"/>
      <c r="I150" s="652" t="b">
        <v>0</v>
      </c>
      <c r="J150" s="1157" t="s">
        <v>61</v>
      </c>
      <c r="K150" s="1157"/>
      <c r="L150" s="1157"/>
      <c r="M150" s="1157"/>
      <c r="N150" s="651" t="b">
        <v>0</v>
      </c>
      <c r="O150" s="1157" t="s">
        <v>246</v>
      </c>
      <c r="P150" s="1157"/>
      <c r="Q150" s="1157"/>
      <c r="R150" s="1157"/>
      <c r="S150" s="1157"/>
      <c r="T150" s="1157"/>
      <c r="U150" s="1157"/>
      <c r="V150" s="651" t="b">
        <v>1</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1</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t="s">
        <v>492</v>
      </c>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v>4</v>
      </c>
      <c r="O156" s="1008"/>
      <c r="P156" s="502" t="s">
        <v>4</v>
      </c>
      <c r="Q156" s="1008">
        <v>10</v>
      </c>
      <c r="R156" s="1008"/>
      <c r="S156" s="502" t="s">
        <v>30</v>
      </c>
      <c r="T156" s="502" t="s">
        <v>23</v>
      </c>
      <c r="U156" s="657" t="b">
        <v>1</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410</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453</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412</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493</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1</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1</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1</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415</v>
      </c>
      <c r="AM194" s="798"/>
      <c r="AN194" s="798"/>
      <c r="AO194" s="798"/>
      <c r="AP194" s="798"/>
      <c r="AQ194" s="798"/>
      <c r="AR194" s="798"/>
      <c r="AS194" s="798"/>
      <c r="AT194" s="798"/>
      <c r="AU194" s="798"/>
      <c r="AV194" s="799"/>
      <c r="AW194" s="485"/>
    </row>
    <row r="195" spans="1:49" s="1" customFormat="1" ht="13.5" customHeight="1">
      <c r="A195" s="633" t="b">
        <v>1</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1</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1</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417</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1</v>
      </c>
      <c r="B198" s="809" t="s">
        <v>418</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1</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1</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1</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272</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v>5</v>
      </c>
      <c r="E209" s="786"/>
      <c r="F209" s="161" t="s">
        <v>4</v>
      </c>
      <c r="G209" s="785" t="s">
        <v>494</v>
      </c>
      <c r="H209" s="786"/>
      <c r="I209" s="161" t="s">
        <v>3</v>
      </c>
      <c r="J209" s="785" t="s">
        <v>494</v>
      </c>
      <c r="K209" s="786"/>
      <c r="L209" s="161" t="s">
        <v>2</v>
      </c>
      <c r="M209" s="162"/>
      <c r="N209" s="787" t="s">
        <v>5</v>
      </c>
      <c r="O209" s="787"/>
      <c r="P209" s="787"/>
      <c r="Q209" s="788" t="str">
        <f>IF(G9="","",G9)</f>
        <v>○○ケアサービス</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t="s">
        <v>459</v>
      </c>
      <c r="T210" s="780"/>
      <c r="U210" s="780"/>
      <c r="V210" s="780"/>
      <c r="W210" s="780"/>
      <c r="X210" s="781" t="s">
        <v>65</v>
      </c>
      <c r="Y210" s="781"/>
      <c r="Z210" s="780" t="s">
        <v>460</v>
      </c>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423</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424</v>
      </c>
      <c r="B218" s="777" t="s">
        <v>425</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v>
      </c>
      <c r="AL218" s="465"/>
      <c r="AM218" s="465"/>
      <c r="AN218" s="465"/>
      <c r="AO218" s="465"/>
      <c r="AP218" s="465"/>
      <c r="AQ218" s="465"/>
      <c r="AR218" s="465"/>
      <c r="AS218" s="465"/>
      <c r="AT218" s="465"/>
      <c r="AU218" s="465"/>
      <c r="AV218" s="465"/>
      <c r="AW218" s="465"/>
    </row>
    <row r="219" spans="1:52" customFormat="1">
      <c r="A219" s="743"/>
      <c r="B219" s="778" t="s">
        <v>426</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v>
      </c>
      <c r="AL219" s="465"/>
      <c r="AM219" s="465"/>
      <c r="AN219" s="465"/>
      <c r="AO219" s="465"/>
      <c r="AP219" s="465"/>
      <c r="AQ219" s="465"/>
      <c r="AR219" s="465"/>
      <c r="AS219" s="465"/>
      <c r="AT219" s="465"/>
      <c r="AU219" s="465"/>
      <c r="AV219" s="465"/>
      <c r="AW219" s="465"/>
    </row>
    <row r="220" spans="1:52" customFormat="1">
      <c r="A220" s="743"/>
      <c r="B220" s="778" t="s">
        <v>427</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v>
      </c>
      <c r="AL220" s="465"/>
      <c r="AM220" s="465"/>
      <c r="AN220" s="465"/>
      <c r="AO220" s="465"/>
      <c r="AP220" s="465"/>
      <c r="AQ220" s="465"/>
      <c r="AR220" s="465"/>
      <c r="AS220" s="465"/>
      <c r="AT220" s="465"/>
      <c r="AU220" s="465"/>
      <c r="AV220" s="465"/>
      <c r="AW220" s="465"/>
    </row>
    <row r="221" spans="1:52" customFormat="1">
      <c r="A221" s="647" t="s">
        <v>428</v>
      </c>
      <c r="B221" s="756" t="s">
        <v>429</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430</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431</v>
      </c>
      <c r="B224" s="757" t="s">
        <v>432</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424</v>
      </c>
      <c r="B225" s="744" t="s">
        <v>433</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v>
      </c>
      <c r="AK225"/>
      <c r="AL225" s="465"/>
      <c r="AM225" s="485"/>
      <c r="AN225" s="485"/>
      <c r="AO225" s="485"/>
      <c r="AP225" s="485"/>
      <c r="AQ225" s="485"/>
      <c r="AR225" s="485"/>
      <c r="AS225" s="485"/>
      <c r="AT225" s="485"/>
      <c r="AU225" s="485"/>
      <c r="AV225" s="485"/>
      <c r="AW225" s="485"/>
    </row>
    <row r="226" spans="1:52" s="1" customFormat="1" ht="26.25" customHeight="1">
      <c r="A226" s="743"/>
      <c r="B226" s="761" t="s">
        <v>434</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v>
      </c>
      <c r="AK226"/>
      <c r="AL226" s="465"/>
      <c r="AM226" s="485"/>
      <c r="AN226" s="485"/>
      <c r="AO226" s="485"/>
      <c r="AP226" s="485"/>
      <c r="AQ226" s="485"/>
      <c r="AR226" s="485"/>
      <c r="AS226" s="485"/>
      <c r="AT226" s="485"/>
      <c r="AU226" s="485"/>
      <c r="AV226" s="485"/>
      <c r="AW226" s="485"/>
    </row>
    <row r="227" spans="1:52" s="1" customFormat="1" ht="29.25" customHeight="1">
      <c r="A227" s="760"/>
      <c r="B227" s="763" t="s">
        <v>435</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436</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431</v>
      </c>
      <c r="B230" s="757" t="s">
        <v>437</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v>
      </c>
      <c r="AL230" s="465"/>
      <c r="AM230" s="465"/>
      <c r="AN230" s="465"/>
      <c r="AO230" s="465"/>
      <c r="AP230" s="465"/>
      <c r="AQ230" s="465"/>
      <c r="AR230" s="465"/>
      <c r="AS230" s="465"/>
      <c r="AT230" s="465"/>
      <c r="AU230" s="465"/>
      <c r="AV230" s="465"/>
      <c r="AW230" s="465"/>
    </row>
    <row r="231" spans="1:52" customFormat="1">
      <c r="A231" s="743"/>
      <c r="B231" s="744" t="s">
        <v>438</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v>
      </c>
      <c r="AL231" s="465"/>
      <c r="AM231" s="465"/>
      <c r="AN231" s="465"/>
      <c r="AO231" s="465"/>
      <c r="AP231" s="465"/>
      <c r="AQ231" s="465"/>
      <c r="AR231" s="465"/>
      <c r="AS231" s="465"/>
      <c r="AT231" s="465"/>
      <c r="AU231" s="465"/>
      <c r="AV231" s="465"/>
      <c r="AW231" s="465"/>
    </row>
    <row r="232" spans="1:52" customFormat="1">
      <c r="A232" s="743"/>
      <c r="B232" s="744" t="s">
        <v>439</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v>
      </c>
      <c r="AL232" s="465"/>
      <c r="AM232" s="465"/>
      <c r="AN232" s="465"/>
      <c r="AO232" s="465"/>
      <c r="AP232" s="465"/>
      <c r="AQ232" s="465"/>
      <c r="AR232" s="465"/>
      <c r="AS232" s="465"/>
      <c r="AT232" s="465"/>
      <c r="AU232" s="465"/>
      <c r="AV232" s="465"/>
      <c r="AW232" s="465"/>
    </row>
    <row r="233" spans="1:52" customFormat="1">
      <c r="A233" s="743"/>
      <c r="B233" s="744" t="s">
        <v>440</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v>
      </c>
      <c r="AL233" s="465"/>
      <c r="AM233" s="465"/>
      <c r="AN233" s="465"/>
      <c r="AO233" s="465"/>
      <c r="AP233" s="465"/>
      <c r="AQ233" s="465"/>
      <c r="AR233" s="465"/>
      <c r="AS233" s="465"/>
      <c r="AT233" s="465"/>
      <c r="AU233" s="465"/>
      <c r="AV233" s="465"/>
      <c r="AW233" s="465"/>
    </row>
    <row r="234" spans="1:52" customFormat="1" ht="28.5" customHeight="1">
      <c r="A234" s="743"/>
      <c r="B234" s="761" t="s">
        <v>441</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v>
      </c>
      <c r="AL234" s="465"/>
      <c r="AM234" s="465"/>
      <c r="AN234" s="465"/>
      <c r="AO234" s="465"/>
      <c r="AP234" s="465"/>
      <c r="AQ234" s="465"/>
      <c r="AR234" s="465"/>
      <c r="AS234" s="465"/>
      <c r="AT234" s="465"/>
      <c r="AU234" s="465"/>
      <c r="AV234" s="465"/>
      <c r="AW234" s="465"/>
    </row>
    <row r="235" spans="1:52" customFormat="1">
      <c r="A235" s="742" t="s">
        <v>424</v>
      </c>
      <c r="B235" s="744" t="s">
        <v>432</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v>
      </c>
      <c r="AL235" s="465"/>
      <c r="AM235" s="465"/>
      <c r="AN235" s="465"/>
      <c r="AO235" s="465"/>
      <c r="AP235" s="465"/>
      <c r="AQ235" s="465"/>
      <c r="AR235" s="465"/>
      <c r="AS235" s="465"/>
      <c r="AT235" s="465"/>
      <c r="AU235" s="465"/>
      <c r="AV235" s="465"/>
      <c r="AW235" s="465"/>
    </row>
    <row r="236" spans="1:52" customFormat="1">
      <c r="A236" s="743"/>
      <c r="B236" s="744" t="s">
        <v>442</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
      </c>
      <c r="AL236" s="465"/>
      <c r="AM236" s="465"/>
      <c r="AN236" s="465"/>
      <c r="AO236" s="465"/>
      <c r="AP236" s="465"/>
      <c r="AQ236" s="465"/>
      <c r="AR236" s="465"/>
      <c r="AS236" s="465"/>
      <c r="AT236" s="465"/>
      <c r="AU236" s="465"/>
      <c r="AV236" s="465"/>
      <c r="AW236" s="465"/>
    </row>
    <row r="237" spans="1:52" customFormat="1" ht="15.75" customHeight="1">
      <c r="A237" s="647" t="s">
        <v>428</v>
      </c>
      <c r="B237" s="746" t="s">
        <v>443</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444</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431</v>
      </c>
      <c r="B240" s="750" t="s">
        <v>445</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v>
      </c>
      <c r="AL240" s="465"/>
      <c r="AM240" s="465"/>
      <c r="AN240" s="465"/>
      <c r="AO240" s="465"/>
      <c r="AP240" s="465"/>
      <c r="AQ240" s="465"/>
      <c r="AR240" s="465"/>
      <c r="AS240" s="465"/>
      <c r="AT240" s="465"/>
      <c r="AU240" s="465"/>
      <c r="AV240" s="465"/>
      <c r="AW240" s="465"/>
    </row>
    <row r="241" spans="1:49" customFormat="1" ht="27" customHeight="1">
      <c r="A241" s="749"/>
      <c r="B241" s="752" t="s">
        <v>446</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v>
      </c>
      <c r="AL241" s="465"/>
      <c r="AM241" s="465"/>
      <c r="AN241" s="465"/>
      <c r="AO241" s="465"/>
      <c r="AP241" s="465"/>
      <c r="AQ241" s="465"/>
      <c r="AR241" s="465"/>
      <c r="AS241" s="465"/>
      <c r="AT241" s="465"/>
      <c r="AU241" s="465"/>
      <c r="AV241" s="465"/>
      <c r="AW241" s="465"/>
    </row>
    <row r="242" spans="1:49" customFormat="1">
      <c r="A242" s="649" t="s">
        <v>424</v>
      </c>
      <c r="B242" s="754" t="s">
        <v>432</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447</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448</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413</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449</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5" manualBreakCount="5">
    <brk id="50" max="36" man="1"/>
    <brk id="86" max="36" man="1"/>
    <brk id="124" max="36" man="1"/>
    <brk id="157" max="36" man="1"/>
    <brk id="20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B4" zoomScale="85" zoomScaleNormal="85" zoomScaleSheetLayoutView="85" zoomScalePageLayoutView="70" workbookViewId="0">
      <selection activeCell="AG18" sqref="AG18"/>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320</v>
      </c>
      <c r="B5" s="1208"/>
      <c r="C5" s="1208"/>
      <c r="D5" s="1208"/>
      <c r="E5" s="1208"/>
      <c r="F5" s="1208"/>
      <c r="G5" s="1208"/>
      <c r="H5" s="1208"/>
      <c r="I5" s="1208"/>
      <c r="J5" s="1208"/>
      <c r="K5" s="1208"/>
      <c r="L5" s="1208"/>
      <c r="M5" s="1208"/>
      <c r="N5" s="1208"/>
      <c r="O5" s="185">
        <f>IF(SUM(AG12:AG111)=0,"",SUM(AG12:AG111))</f>
        <v>24548640</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278</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11" t="s">
        <v>484</v>
      </c>
      <c r="S12" s="212" t="s">
        <v>51</v>
      </c>
      <c r="T12" s="231">
        <f>IF(P12="","",VLOOKUP(P12,【参考】数式用!$A$5:$H$34,MATCH(S12,【参考】数式用!$C$4:$E$4,0)+2,0))</f>
        <v>0.27400000000000002</v>
      </c>
      <c r="U12" s="59" t="s">
        <v>15</v>
      </c>
      <c r="V12" s="213">
        <v>5</v>
      </c>
      <c r="W12" s="58" t="s">
        <v>10</v>
      </c>
      <c r="X12" s="213">
        <v>4</v>
      </c>
      <c r="Y12" s="88" t="s">
        <v>57</v>
      </c>
      <c r="Z12" s="214">
        <v>6</v>
      </c>
      <c r="AA12" s="58" t="s">
        <v>10</v>
      </c>
      <c r="AB12" s="214">
        <v>3</v>
      </c>
      <c r="AC12" s="58" t="s">
        <v>13</v>
      </c>
      <c r="AD12" s="215" t="s">
        <v>23</v>
      </c>
      <c r="AE12" s="216">
        <f>IF(AND(V12&gt;=1,X12&gt;=1,Z12&gt;=1,AB12&gt;=1),(Z12*12+AB12)-(V12*12+X12)+1,"")</f>
        <v>12</v>
      </c>
      <c r="AF12" s="217" t="s">
        <v>40</v>
      </c>
      <c r="AG12" s="218">
        <f>IFERROR(ROUNDDOWN(Q12*T12,0)*AE12,"")</f>
        <v>2038560</v>
      </c>
    </row>
    <row r="13" spans="1:33" ht="36.75" customHeigh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11" t="s">
        <v>484</v>
      </c>
      <c r="S13" s="212" t="s">
        <v>52</v>
      </c>
      <c r="T13" s="231">
        <f>IF(P13="","",VLOOKUP(P13,【参考】数式用!$A$5:$H$34,MATCH(S13,【参考】数式用!$C$4:$E$4,0)+2,0))</f>
        <v>0.2</v>
      </c>
      <c r="U13" s="59" t="s">
        <v>15</v>
      </c>
      <c r="V13" s="213">
        <v>5</v>
      </c>
      <c r="W13" s="58" t="s">
        <v>10</v>
      </c>
      <c r="X13" s="213">
        <v>4</v>
      </c>
      <c r="Y13" s="88" t="s">
        <v>57</v>
      </c>
      <c r="Z13" s="214">
        <v>6</v>
      </c>
      <c r="AA13" s="58" t="s">
        <v>10</v>
      </c>
      <c r="AB13" s="214">
        <v>3</v>
      </c>
      <c r="AC13" s="58" t="s">
        <v>13</v>
      </c>
      <c r="AD13" s="215" t="s">
        <v>23</v>
      </c>
      <c r="AE13" s="216">
        <f t="shared" ref="AE13:AE76" si="0">IF(AND(V13&gt;=1,X13&gt;=1,Z13&gt;=1,AB13&gt;=1),(Z13*12+AB13)-(V13*12+X13)+1,"")</f>
        <v>12</v>
      </c>
      <c r="AF13" s="217" t="s">
        <v>40</v>
      </c>
      <c r="AG13" s="218">
        <f t="shared" ref="AG13:AG76" si="1">IFERROR(ROUNDDOWN(Q13*T13,0)*AE13,"")</f>
        <v>1848000</v>
      </c>
    </row>
    <row r="14" spans="1:33" ht="36.75" customHeight="1">
      <c r="A14" s="207">
        <f t="shared" ref="A14:A26" si="2">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11" t="s">
        <v>484</v>
      </c>
      <c r="S14" s="212" t="s">
        <v>51</v>
      </c>
      <c r="T14" s="231">
        <f>IF(P14="","",VLOOKUP(P14,【参考】数式用!$A$5:$H$34,MATCH(S14,【参考】数式用!$C$4:$E$4,0)+2,0))</f>
        <v>4.3999999999999997E-2</v>
      </c>
      <c r="U14" s="59" t="s">
        <v>15</v>
      </c>
      <c r="V14" s="213">
        <v>5</v>
      </c>
      <c r="W14" s="58" t="s">
        <v>10</v>
      </c>
      <c r="X14" s="213">
        <v>4</v>
      </c>
      <c r="Y14" s="88" t="s">
        <v>57</v>
      </c>
      <c r="Z14" s="214">
        <v>6</v>
      </c>
      <c r="AA14" s="58" t="s">
        <v>10</v>
      </c>
      <c r="AB14" s="214">
        <v>3</v>
      </c>
      <c r="AC14" s="58" t="s">
        <v>13</v>
      </c>
      <c r="AD14" s="215" t="s">
        <v>23</v>
      </c>
      <c r="AE14" s="216">
        <f t="shared" si="0"/>
        <v>12</v>
      </c>
      <c r="AF14" s="217" t="s">
        <v>40</v>
      </c>
      <c r="AG14" s="218">
        <f t="shared" si="1"/>
        <v>2502720</v>
      </c>
    </row>
    <row r="15" spans="1:33" ht="36.75" customHeight="1">
      <c r="A15" s="207">
        <f t="shared" si="2"/>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11" t="s">
        <v>485</v>
      </c>
      <c r="S15" s="212" t="s">
        <v>51</v>
      </c>
      <c r="T15" s="231">
        <f>IF(P15="","",VLOOKUP(P15,【参考】数式用!$A$5:$H$34,MATCH(S15,【参考】数式用!$C$4:$E$4,0)+2,0))</f>
        <v>5.3999999999999999E-2</v>
      </c>
      <c r="U15" s="59" t="s">
        <v>15</v>
      </c>
      <c r="V15" s="213">
        <v>5</v>
      </c>
      <c r="W15" s="58" t="s">
        <v>10</v>
      </c>
      <c r="X15" s="213">
        <v>4</v>
      </c>
      <c r="Y15" s="88" t="s">
        <v>57</v>
      </c>
      <c r="Z15" s="214">
        <v>6</v>
      </c>
      <c r="AA15" s="58" t="s">
        <v>10</v>
      </c>
      <c r="AB15" s="214">
        <v>3</v>
      </c>
      <c r="AC15" s="58" t="s">
        <v>13</v>
      </c>
      <c r="AD15" s="215" t="s">
        <v>23</v>
      </c>
      <c r="AE15" s="216">
        <f t="shared" si="0"/>
        <v>12</v>
      </c>
      <c r="AF15" s="217" t="s">
        <v>40</v>
      </c>
      <c r="AG15" s="218">
        <f t="shared" si="1"/>
        <v>1535760</v>
      </c>
    </row>
    <row r="16" spans="1:33" ht="36.75" customHeight="1">
      <c r="A16" s="207">
        <f t="shared" si="2"/>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11" t="s">
        <v>484</v>
      </c>
      <c r="S16" s="212" t="s">
        <v>51</v>
      </c>
      <c r="T16" s="231">
        <f>IF(P16="","",VLOOKUP(P16,【参考】数式用!$A$5:$H$34,MATCH(S16,【参考】数式用!$C$4:$E$4,0)+2,0))</f>
        <v>8.5999999999999993E-2</v>
      </c>
      <c r="U16" s="59" t="s">
        <v>15</v>
      </c>
      <c r="V16" s="213">
        <v>5</v>
      </c>
      <c r="W16" s="58" t="s">
        <v>10</v>
      </c>
      <c r="X16" s="213">
        <v>4</v>
      </c>
      <c r="Y16" s="88" t="s">
        <v>57</v>
      </c>
      <c r="Z16" s="214">
        <v>6</v>
      </c>
      <c r="AA16" s="58" t="s">
        <v>10</v>
      </c>
      <c r="AB16" s="214">
        <v>3</v>
      </c>
      <c r="AC16" s="58" t="s">
        <v>13</v>
      </c>
      <c r="AD16" s="215" t="s">
        <v>23</v>
      </c>
      <c r="AE16" s="216">
        <f t="shared" si="0"/>
        <v>12</v>
      </c>
      <c r="AF16" s="217" t="s">
        <v>40</v>
      </c>
      <c r="AG16" s="218">
        <f t="shared" si="1"/>
        <v>7327200</v>
      </c>
    </row>
    <row r="17" spans="1:33" ht="36.75" customHeight="1">
      <c r="A17" s="207">
        <f t="shared" si="2"/>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11" t="s">
        <v>484</v>
      </c>
      <c r="S17" s="212" t="s">
        <v>51</v>
      </c>
      <c r="T17" s="231">
        <f>IF(P17="","",VLOOKUP(P17,【参考】数式用!$A$5:$H$34,MATCH(S17,【参考】数式用!$C$4:$E$4,0)+2,0))</f>
        <v>6.1000000000000006E-2</v>
      </c>
      <c r="U17" s="59" t="s">
        <v>108</v>
      </c>
      <c r="V17" s="213">
        <v>5</v>
      </c>
      <c r="W17" s="58" t="s">
        <v>109</v>
      </c>
      <c r="X17" s="213">
        <v>4</v>
      </c>
      <c r="Y17" s="88" t="s">
        <v>110</v>
      </c>
      <c r="Z17" s="214">
        <v>6</v>
      </c>
      <c r="AA17" s="58" t="s">
        <v>109</v>
      </c>
      <c r="AB17" s="214">
        <v>3</v>
      </c>
      <c r="AC17" s="58" t="s">
        <v>111</v>
      </c>
      <c r="AD17" s="215" t="s">
        <v>112</v>
      </c>
      <c r="AE17" s="216">
        <f t="shared" si="0"/>
        <v>12</v>
      </c>
      <c r="AF17" s="217" t="s">
        <v>113</v>
      </c>
      <c r="AG17" s="218">
        <f t="shared" si="1"/>
        <v>9296400</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P21" sqref="P21:AG21"/>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321</v>
      </c>
      <c r="B5" s="1243"/>
      <c r="C5" s="1243"/>
      <c r="D5" s="1243"/>
      <c r="E5" s="1243"/>
      <c r="F5" s="1243"/>
      <c r="G5" s="1243"/>
      <c r="H5" s="1243"/>
      <c r="I5" s="1243"/>
      <c r="J5" s="1243"/>
      <c r="K5" s="1243"/>
      <c r="L5" s="1243"/>
      <c r="M5" s="1243"/>
      <c r="N5" s="1244"/>
      <c r="O5" s="220">
        <f>IF((SUM(AH12:AH111))=0,"",SUM(AH12:AH111))</f>
        <v>6715800</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279</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280</v>
      </c>
      <c r="W9" s="1237"/>
      <c r="X9" s="1237"/>
      <c r="Y9" s="1237"/>
      <c r="Z9" s="1237"/>
      <c r="AA9" s="1237"/>
      <c r="AB9" s="1237"/>
      <c r="AC9" s="1237"/>
      <c r="AD9" s="1237"/>
      <c r="AE9" s="1237"/>
      <c r="AF9" s="1237"/>
      <c r="AG9" s="1237"/>
      <c r="AH9" s="1202" t="s">
        <v>281</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29" t="s">
        <v>486</v>
      </c>
      <c r="S12" s="230" t="s">
        <v>17</v>
      </c>
      <c r="T12" s="231">
        <f>IFERROR(IF(R12="","",VLOOKUP(P12,【参考】数式用!$A$5:$H$34,MATCH(S12,【参考】数式用!$F$4:$H$4,0)+5,0)),"")</f>
        <v>5.5E-2</v>
      </c>
      <c r="U12" s="247" t="str">
        <f>IF(S12="特定加算Ⅰ",VLOOKUP(P12,【参考】数式用!$A$5:$I$28,9,FALSE),"-")</f>
        <v>-</v>
      </c>
      <c r="V12" s="59" t="s">
        <v>15</v>
      </c>
      <c r="W12" s="232">
        <v>5</v>
      </c>
      <c r="X12" s="70" t="s">
        <v>10</v>
      </c>
      <c r="Y12" s="232">
        <v>4</v>
      </c>
      <c r="Z12" s="88" t="s">
        <v>57</v>
      </c>
      <c r="AA12" s="232">
        <v>6</v>
      </c>
      <c r="AB12" s="70" t="s">
        <v>10</v>
      </c>
      <c r="AC12" s="232">
        <v>3</v>
      </c>
      <c r="AD12" s="70" t="s">
        <v>13</v>
      </c>
      <c r="AE12" s="215" t="s">
        <v>23</v>
      </c>
      <c r="AF12" s="216">
        <f>IF(AND(W12&gt;=1,Y12&gt;=1,AA12&gt;=1,AC12&gt;=1),(AA12*12+AC12)-(W12*12+Y12)+1,"")</f>
        <v>12</v>
      </c>
      <c r="AG12" s="217" t="s">
        <v>40</v>
      </c>
      <c r="AH12" s="218">
        <f>IFERROR(ROUNDDOWN(Q12*T12,0)*AF12,"")</f>
        <v>409200</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29" t="s">
        <v>484</v>
      </c>
      <c r="S13" s="230" t="s">
        <v>16</v>
      </c>
      <c r="T13" s="231">
        <f>IFERROR(IF(R13="","",VLOOKUP(P13,【参考】数式用!$A$5:$H$34,MATCH(S13,【参考】数式用!$F$4:$H$4,0)+5,0)),"")</f>
        <v>7.0000000000000007E-2</v>
      </c>
      <c r="U13" s="247" t="str">
        <f>IF(S13="特定加算Ⅰ",VLOOKUP(P13,【参考】数式用!$A$5:$I$28,9,FALSE),"-")</f>
        <v>特定事業所加算</v>
      </c>
      <c r="V13" s="59" t="s">
        <v>15</v>
      </c>
      <c r="W13" s="232">
        <v>5</v>
      </c>
      <c r="X13" s="70" t="s">
        <v>10</v>
      </c>
      <c r="Y13" s="232">
        <v>4</v>
      </c>
      <c r="Z13" s="88" t="s">
        <v>57</v>
      </c>
      <c r="AA13" s="232">
        <v>6</v>
      </c>
      <c r="AB13" s="70" t="s">
        <v>10</v>
      </c>
      <c r="AC13" s="232">
        <v>3</v>
      </c>
      <c r="AD13" s="70" t="s">
        <v>13</v>
      </c>
      <c r="AE13" s="215" t="s">
        <v>23</v>
      </c>
      <c r="AF13" s="216">
        <f t="shared" ref="AF13:AF76" si="1">IF(AND(W13&gt;=1,Y13&gt;=1,AA13&gt;=1,AC13&gt;=1),(AA13*12+AC13)-(W13*12+Y13)+1,"")</f>
        <v>12</v>
      </c>
      <c r="AG13" s="217" t="s">
        <v>40</v>
      </c>
      <c r="AH13" s="218">
        <f t="shared" ref="AH13:AH76" si="2">IFERROR(ROUNDDOWN(Q13*T13,0)*AF13,"")</f>
        <v>646800</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29" t="s">
        <v>484</v>
      </c>
      <c r="S14" s="230" t="s">
        <v>16</v>
      </c>
      <c r="T14" s="231">
        <f>IFERROR(IF(R14="","",VLOOKUP(P14,【参考】数式用!$A$5:$H$34,MATCH(S14,【参考】数式用!$F$4:$H$4,0)+5,0)),"")</f>
        <v>1.4E-2</v>
      </c>
      <c r="U14" s="247" t="str">
        <f>IF(S14="特定加算Ⅰ",VLOOKUP(P14,【参考】数式用!$A$5:$I$28,9,FALSE),"-")</f>
        <v>福祉専門職員配置等加算</v>
      </c>
      <c r="V14" s="59" t="s">
        <v>15</v>
      </c>
      <c r="W14" s="232">
        <v>5</v>
      </c>
      <c r="X14" s="70" t="s">
        <v>10</v>
      </c>
      <c r="Y14" s="232">
        <v>4</v>
      </c>
      <c r="Z14" s="88" t="s">
        <v>57</v>
      </c>
      <c r="AA14" s="232">
        <v>6</v>
      </c>
      <c r="AB14" s="70" t="s">
        <v>10</v>
      </c>
      <c r="AC14" s="232">
        <v>3</v>
      </c>
      <c r="AD14" s="70" t="s">
        <v>13</v>
      </c>
      <c r="AE14" s="215" t="s">
        <v>23</v>
      </c>
      <c r="AF14" s="216">
        <f t="shared" si="1"/>
        <v>12</v>
      </c>
      <c r="AG14" s="217" t="s">
        <v>40</v>
      </c>
      <c r="AH14" s="218">
        <f t="shared" si="2"/>
        <v>796320</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29" t="s">
        <v>485</v>
      </c>
      <c r="S15" s="230" t="s">
        <v>16</v>
      </c>
      <c r="T15" s="231">
        <f>IFERROR(IF(R15="","",VLOOKUP(P15,【参考】数式用!$A$5:$H$34,MATCH(S15,【参考】数式用!$F$4:$H$4,0)+5,0)),"")</f>
        <v>1.7000000000000001E-2</v>
      </c>
      <c r="U15" s="247" t="str">
        <f>IF(S15="特定加算Ⅰ",VLOOKUP(P15,【参考】数式用!$A$5:$I$28,9,FALSE),"-")</f>
        <v>福祉専門職員配置等加算</v>
      </c>
      <c r="V15" s="59" t="s">
        <v>15</v>
      </c>
      <c r="W15" s="232">
        <v>5</v>
      </c>
      <c r="X15" s="70" t="s">
        <v>10</v>
      </c>
      <c r="Y15" s="232">
        <v>4</v>
      </c>
      <c r="Z15" s="88" t="s">
        <v>57</v>
      </c>
      <c r="AA15" s="232">
        <v>6</v>
      </c>
      <c r="AB15" s="70" t="s">
        <v>10</v>
      </c>
      <c r="AC15" s="232">
        <v>3</v>
      </c>
      <c r="AD15" s="70" t="s">
        <v>13</v>
      </c>
      <c r="AE15" s="215" t="s">
        <v>23</v>
      </c>
      <c r="AF15" s="216">
        <f t="shared" si="1"/>
        <v>12</v>
      </c>
      <c r="AG15" s="217" t="s">
        <v>40</v>
      </c>
      <c r="AH15" s="218">
        <f t="shared" si="2"/>
        <v>483480</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29" t="s">
        <v>484</v>
      </c>
      <c r="S16" s="230" t="s">
        <v>185</v>
      </c>
      <c r="T16" s="231">
        <f>IFERROR(IF(R16="","",VLOOKUP(P16,【参考】数式用!$A$5:$H$34,MATCH(S16,【参考】数式用!$F$4:$H$4,0)+5,0)),"")</f>
        <v>2.1000000000000001E-2</v>
      </c>
      <c r="U16" s="247" t="str">
        <f>IF(S16="特定加算Ⅰ",VLOOKUP(P16,【参考】数式用!$A$5:$I$28,9,FALSE),"-")</f>
        <v>-</v>
      </c>
      <c r="V16" s="59" t="s">
        <v>15</v>
      </c>
      <c r="W16" s="232">
        <v>5</v>
      </c>
      <c r="X16" s="70" t="s">
        <v>10</v>
      </c>
      <c r="Y16" s="232">
        <v>4</v>
      </c>
      <c r="Z16" s="88" t="s">
        <v>57</v>
      </c>
      <c r="AA16" s="232">
        <v>6</v>
      </c>
      <c r="AB16" s="70" t="s">
        <v>10</v>
      </c>
      <c r="AC16" s="232">
        <v>3</v>
      </c>
      <c r="AD16" s="70" t="s">
        <v>13</v>
      </c>
      <c r="AE16" s="215" t="s">
        <v>23</v>
      </c>
      <c r="AF16" s="216">
        <f t="shared" si="1"/>
        <v>12</v>
      </c>
      <c r="AG16" s="217" t="s">
        <v>40</v>
      </c>
      <c r="AH16" s="218">
        <f t="shared" si="2"/>
        <v>1789200</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29" t="s">
        <v>484</v>
      </c>
      <c r="S17" s="230" t="s">
        <v>185</v>
      </c>
      <c r="T17" s="231">
        <f>IFERROR(IF(R17="","",VLOOKUP(P17,【参考】数式用!$A$5:$H$34,MATCH(S17,【参考】数式用!$F$4:$H$4,0)+5,0)),"")</f>
        <v>1.7000000000000001E-2</v>
      </c>
      <c r="U17" s="247" t="str">
        <f>IF(S17="特定加算Ⅰ",VLOOKUP(P17,【参考】数式用!$A$5:$I$28,9,FALSE),"-")</f>
        <v>-</v>
      </c>
      <c r="V17" s="59" t="s">
        <v>108</v>
      </c>
      <c r="W17" s="232">
        <v>5</v>
      </c>
      <c r="X17" s="70" t="s">
        <v>109</v>
      </c>
      <c r="Y17" s="232">
        <v>4</v>
      </c>
      <c r="Z17" s="88" t="s">
        <v>110</v>
      </c>
      <c r="AA17" s="232">
        <v>6</v>
      </c>
      <c r="AB17" s="70" t="s">
        <v>109</v>
      </c>
      <c r="AC17" s="232">
        <v>3</v>
      </c>
      <c r="AD17" s="70" t="s">
        <v>111</v>
      </c>
      <c r="AE17" s="215" t="s">
        <v>112</v>
      </c>
      <c r="AF17" s="216">
        <f t="shared" si="1"/>
        <v>12</v>
      </c>
      <c r="AG17" s="217" t="s">
        <v>113</v>
      </c>
      <c r="AH17" s="218">
        <f t="shared" si="2"/>
        <v>2590800</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8" sqref="AA18"/>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○○ケアサービス</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322</v>
      </c>
      <c r="B5" s="1274"/>
      <c r="C5" s="1274"/>
      <c r="D5" s="1274"/>
      <c r="E5" s="1274"/>
      <c r="F5" s="1274"/>
      <c r="G5" s="1274"/>
      <c r="H5" s="1274"/>
      <c r="I5" s="1274"/>
      <c r="J5" s="1274"/>
      <c r="K5" s="1274"/>
      <c r="L5" s="1274"/>
      <c r="M5" s="1274"/>
      <c r="N5" s="1274"/>
      <c r="O5" s="306">
        <f>IF(SUM(AF12:AF111)=0,"",SUM(AF12:AF110))</f>
        <v>5808000</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282</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283</v>
      </c>
      <c r="T8" s="1256" t="s">
        <v>284</v>
      </c>
      <c r="U8" s="1257"/>
      <c r="V8" s="1257"/>
      <c r="W8" s="1257"/>
      <c r="X8" s="1257"/>
      <c r="Y8" s="1257"/>
      <c r="Z8" s="1257"/>
      <c r="AA8" s="1257"/>
      <c r="AB8" s="1257"/>
      <c r="AC8" s="1257"/>
      <c r="AD8" s="1257"/>
      <c r="AE8" s="1258"/>
      <c r="AF8" s="1265" t="s">
        <v>285</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1314567891</v>
      </c>
      <c r="C12" s="1246"/>
      <c r="D12" s="1246"/>
      <c r="E12" s="1246"/>
      <c r="F12" s="1246"/>
      <c r="G12" s="1246"/>
      <c r="H12" s="1246"/>
      <c r="I12" s="1246"/>
      <c r="J12" s="1246"/>
      <c r="K12" s="1247"/>
      <c r="L12" s="322" t="str">
        <f>IF(基本情報入力シート!M54="","",基本情報入力シート!M54)</f>
        <v>東京都</v>
      </c>
      <c r="M12" s="322" t="str">
        <f>IF(基本情報入力シート!R54="","",基本情報入力シート!R54)</f>
        <v>東京都</v>
      </c>
      <c r="N12" s="322" t="str">
        <f>IF(基本情報入力シート!W54="","",基本情報入力シート!W54)</f>
        <v>千代田区</v>
      </c>
      <c r="O12" s="321" t="str">
        <f>IF(基本情報入力シート!X54="","",基本情報入力シート!X54)</f>
        <v>障害福祉事業所名称０１</v>
      </c>
      <c r="P12" s="323" t="str">
        <f>IF(基本情報入力シート!Y54="","",基本情報入力シート!Y54)</f>
        <v>居宅介護</v>
      </c>
      <c r="Q12" s="210">
        <f>IF(基本情報入力シート!AB54="","",基本情報入力シート!AB54)</f>
        <v>620000</v>
      </c>
      <c r="R12" s="378" t="s">
        <v>484</v>
      </c>
      <c r="S12" s="324">
        <f>IF(P12="","",VLOOKUP(P12,【参考】数式用!$J$2:$L$34,3,FALSE))</f>
        <v>4.4999999999999998E-2</v>
      </c>
      <c r="T12" s="325" t="s">
        <v>15</v>
      </c>
      <c r="U12" s="379">
        <v>5</v>
      </c>
      <c r="V12" s="326" t="s">
        <v>10</v>
      </c>
      <c r="W12" s="379">
        <v>4</v>
      </c>
      <c r="X12" s="327" t="s">
        <v>57</v>
      </c>
      <c r="Y12" s="380">
        <v>6</v>
      </c>
      <c r="Z12" s="328" t="s">
        <v>10</v>
      </c>
      <c r="AA12" s="379">
        <v>3</v>
      </c>
      <c r="AB12" s="328" t="s">
        <v>13</v>
      </c>
      <c r="AC12" s="329" t="s">
        <v>23</v>
      </c>
      <c r="AD12" s="388">
        <f>IF(U12&gt;=1,(Y12*12+AA12)-(U12*12+W12)+1,"")</f>
        <v>12</v>
      </c>
      <c r="AE12" s="330" t="s">
        <v>40</v>
      </c>
      <c r="AF12" s="331">
        <f>IFERROR(ROUNDDOWN(Q12*S12,0)*AD12,"")</f>
        <v>334800</v>
      </c>
    </row>
    <row r="13" spans="1:32" ht="36.75" customHeight="1">
      <c r="A13" s="321">
        <f>A12+1</f>
        <v>2</v>
      </c>
      <c r="B13" s="1245" t="str">
        <f>IF(基本情報入力シート!C55="","",基本情報入力シート!C55)</f>
        <v>1314567892</v>
      </c>
      <c r="C13" s="1246"/>
      <c r="D13" s="1246"/>
      <c r="E13" s="1246"/>
      <c r="F13" s="1246"/>
      <c r="G13" s="1246"/>
      <c r="H13" s="1246"/>
      <c r="I13" s="1246"/>
      <c r="J13" s="1246"/>
      <c r="K13" s="1247"/>
      <c r="L13" s="322" t="str">
        <f>IF(基本情報入力シート!M55="","",基本情報入力シート!M55)</f>
        <v>東京都</v>
      </c>
      <c r="M13" s="322" t="str">
        <f>IF(基本情報入力シート!R55="","",基本情報入力シート!R55)</f>
        <v>東京都</v>
      </c>
      <c r="N13" s="322" t="str">
        <f>IF(基本情報入力シート!W55="","",基本情報入力シート!W55)</f>
        <v>豊島区</v>
      </c>
      <c r="O13" s="321" t="str">
        <f>IF(基本情報入力シート!X55="","",基本情報入力シート!X55)</f>
        <v>障害福祉事業所名称０２</v>
      </c>
      <c r="P13" s="323" t="str">
        <f>IF(基本情報入力シート!Y55="","",基本情報入力シート!Y55)</f>
        <v>居宅介護</v>
      </c>
      <c r="Q13" s="210">
        <f>IF(基本情報入力シート!AB55="","",基本情報入力シート!AB55)</f>
        <v>770000</v>
      </c>
      <c r="R13" s="378" t="s">
        <v>484</v>
      </c>
      <c r="S13" s="324">
        <f>IF(P13="","",VLOOKUP(P13,【参考】数式用!$J$2:$L$34,3,FALSE))</f>
        <v>4.4999999999999998E-2</v>
      </c>
      <c r="T13" s="325" t="s">
        <v>15</v>
      </c>
      <c r="U13" s="379">
        <v>5</v>
      </c>
      <c r="V13" s="326" t="s">
        <v>10</v>
      </c>
      <c r="W13" s="379">
        <v>4</v>
      </c>
      <c r="X13" s="327" t="s">
        <v>57</v>
      </c>
      <c r="Y13" s="380">
        <v>6</v>
      </c>
      <c r="Z13" s="328" t="s">
        <v>10</v>
      </c>
      <c r="AA13" s="379">
        <v>3</v>
      </c>
      <c r="AB13" s="328" t="s">
        <v>13</v>
      </c>
      <c r="AC13" s="329" t="s">
        <v>23</v>
      </c>
      <c r="AD13" s="388">
        <f t="shared" ref="AD13:AD76" si="0">IF(U13&gt;=1,(Y13*12+AA13)-(U13*12+W13)+1,"")</f>
        <v>12</v>
      </c>
      <c r="AE13" s="330" t="s">
        <v>40</v>
      </c>
      <c r="AF13" s="331">
        <f t="shared" ref="AF13:AF76" si="1">IFERROR(ROUNDDOWN(Q13*S13,0)*AD13,"")</f>
        <v>415800</v>
      </c>
    </row>
    <row r="14" spans="1:32" ht="36.75" customHeight="1">
      <c r="A14" s="321">
        <f t="shared" ref="A14:A77" si="2">A13+1</f>
        <v>3</v>
      </c>
      <c r="B14" s="1245" t="str">
        <f>IF(基本情報入力シート!C56="","",基本情報入力シート!C56)</f>
        <v>1314567893</v>
      </c>
      <c r="C14" s="1246"/>
      <c r="D14" s="1246"/>
      <c r="E14" s="1246"/>
      <c r="F14" s="1246"/>
      <c r="G14" s="1246"/>
      <c r="H14" s="1246"/>
      <c r="I14" s="1246"/>
      <c r="J14" s="1246"/>
      <c r="K14" s="1247"/>
      <c r="L14" s="322" t="str">
        <f>IF(基本情報入力シート!M56="","",基本情報入力シート!M56)</f>
        <v>東京都</v>
      </c>
      <c r="M14" s="322" t="str">
        <f>IF(基本情報入力シート!R56="","",基本情報入力シート!R56)</f>
        <v>東京都</v>
      </c>
      <c r="N14" s="322" t="str">
        <f>IF(基本情報入力シート!W56="","",基本情報入力シート!W56)</f>
        <v>世田谷区</v>
      </c>
      <c r="O14" s="321" t="str">
        <f>IF(基本情報入力シート!X56="","",基本情報入力シート!X56)</f>
        <v>障害福祉事業所名称０３</v>
      </c>
      <c r="P14" s="323" t="str">
        <f>IF(基本情報入力シート!Y56="","",基本情報入力シート!Y56)</f>
        <v>生活介護</v>
      </c>
      <c r="Q14" s="210">
        <f>IF(基本情報入力シート!AB56="","",基本情報入力シート!AB56)</f>
        <v>4740000</v>
      </c>
      <c r="R14" s="378" t="s">
        <v>484</v>
      </c>
      <c r="S14" s="324">
        <f>IF(P14="","",VLOOKUP(P14,【参考】数式用!$J$2:$L$34,3,FALSE))</f>
        <v>1.0999999999999999E-2</v>
      </c>
      <c r="T14" s="325" t="s">
        <v>15</v>
      </c>
      <c r="U14" s="379">
        <v>5</v>
      </c>
      <c r="V14" s="326" t="s">
        <v>10</v>
      </c>
      <c r="W14" s="379">
        <v>4</v>
      </c>
      <c r="X14" s="327" t="s">
        <v>57</v>
      </c>
      <c r="Y14" s="380">
        <v>6</v>
      </c>
      <c r="Z14" s="328" t="s">
        <v>10</v>
      </c>
      <c r="AA14" s="379">
        <v>3</v>
      </c>
      <c r="AB14" s="328" t="s">
        <v>13</v>
      </c>
      <c r="AC14" s="329" t="s">
        <v>23</v>
      </c>
      <c r="AD14" s="388">
        <f t="shared" si="0"/>
        <v>12</v>
      </c>
      <c r="AE14" s="330" t="s">
        <v>40</v>
      </c>
      <c r="AF14" s="331">
        <f t="shared" si="1"/>
        <v>625680</v>
      </c>
    </row>
    <row r="15" spans="1:32" ht="36.75" customHeight="1">
      <c r="A15" s="321">
        <f t="shared" si="2"/>
        <v>4</v>
      </c>
      <c r="B15" s="1245" t="str">
        <f>IF(基本情報入力シート!C57="","",基本情報入力シート!C57)</f>
        <v>1314567894</v>
      </c>
      <c r="C15" s="1246"/>
      <c r="D15" s="1246"/>
      <c r="E15" s="1246"/>
      <c r="F15" s="1246"/>
      <c r="G15" s="1246"/>
      <c r="H15" s="1246"/>
      <c r="I15" s="1246"/>
      <c r="J15" s="1246"/>
      <c r="K15" s="1247"/>
      <c r="L15" s="322" t="str">
        <f>IF(基本情報入力シート!M57="","",基本情報入力シート!M57)</f>
        <v>さいたま市</v>
      </c>
      <c r="M15" s="322" t="str">
        <f>IF(基本情報入力シート!R57="","",基本情報入力シート!R57)</f>
        <v>埼玉県</v>
      </c>
      <c r="N15" s="322" t="str">
        <f>IF(基本情報入力シート!W57="","",基本情報入力シート!W57)</f>
        <v>さいたま市</v>
      </c>
      <c r="O15" s="321" t="str">
        <f>IF(基本情報入力シート!X57="","",基本情報入力シート!X57)</f>
        <v>障害福祉事業所名称０４</v>
      </c>
      <c r="P15" s="323" t="str">
        <f>IF(基本情報入力シート!Y57="","",基本情報入力シート!Y57)</f>
        <v>就労継続支援Ｂ型</v>
      </c>
      <c r="Q15" s="210">
        <f>IF(基本情報入力シート!AB57="","",基本情報入力シート!AB57)</f>
        <v>2370000</v>
      </c>
      <c r="R15" s="378" t="s">
        <v>484</v>
      </c>
      <c r="S15" s="324">
        <f>IF(P15="","",VLOOKUP(P15,【参考】数式用!$J$2:$L$34,3,FALSE))</f>
        <v>1.2999999999999999E-2</v>
      </c>
      <c r="T15" s="325" t="s">
        <v>15</v>
      </c>
      <c r="U15" s="379">
        <v>5</v>
      </c>
      <c r="V15" s="326" t="s">
        <v>10</v>
      </c>
      <c r="W15" s="379">
        <v>4</v>
      </c>
      <c r="X15" s="327" t="s">
        <v>57</v>
      </c>
      <c r="Y15" s="380">
        <v>6</v>
      </c>
      <c r="Z15" s="328" t="s">
        <v>10</v>
      </c>
      <c r="AA15" s="379">
        <v>3</v>
      </c>
      <c r="AB15" s="328" t="s">
        <v>13</v>
      </c>
      <c r="AC15" s="329" t="s">
        <v>23</v>
      </c>
      <c r="AD15" s="388">
        <f t="shared" si="0"/>
        <v>12</v>
      </c>
      <c r="AE15" s="330" t="s">
        <v>40</v>
      </c>
      <c r="AF15" s="331">
        <f t="shared" si="1"/>
        <v>369720</v>
      </c>
    </row>
    <row r="16" spans="1:32" ht="36.75" customHeight="1">
      <c r="A16" s="321">
        <f t="shared" si="2"/>
        <v>5</v>
      </c>
      <c r="B16" s="1245" t="str">
        <f>IF(基本情報入力シート!C58="","",基本情報入力シート!C58)</f>
        <v>1314567895</v>
      </c>
      <c r="C16" s="1246"/>
      <c r="D16" s="1246"/>
      <c r="E16" s="1246"/>
      <c r="F16" s="1246"/>
      <c r="G16" s="1246"/>
      <c r="H16" s="1246"/>
      <c r="I16" s="1246"/>
      <c r="J16" s="1246"/>
      <c r="K16" s="1247"/>
      <c r="L16" s="322" t="str">
        <f>IF(基本情報入力シート!M58="","",基本情報入力シート!M58)</f>
        <v>千葉市</v>
      </c>
      <c r="M16" s="322" t="str">
        <f>IF(基本情報入力シート!R58="","",基本情報入力シート!R58)</f>
        <v>千葉県</v>
      </c>
      <c r="N16" s="322" t="str">
        <f>IF(基本情報入力シート!W58="","",基本情報入力シート!W58)</f>
        <v>千葉市</v>
      </c>
      <c r="O16" s="321" t="str">
        <f>IF(基本情報入力シート!X58="","",基本情報入力シート!X58)</f>
        <v>障害福祉事業所名称０５</v>
      </c>
      <c r="P16" s="323" t="str">
        <f>IF(基本情報入力シート!Y58="","",基本情報入力シート!Y58)</f>
        <v>施設入所支援</v>
      </c>
      <c r="Q16" s="210">
        <f>IF(基本情報入力シート!AB58="","",基本情報入力シート!AB58)</f>
        <v>7100000</v>
      </c>
      <c r="R16" s="378" t="s">
        <v>484</v>
      </c>
      <c r="S16" s="324">
        <f>IF(P16="","",VLOOKUP(P16,【参考】数式用!$J$2:$L$34,3,FALSE))</f>
        <v>2.8000000000000001E-2</v>
      </c>
      <c r="T16" s="325" t="s">
        <v>15</v>
      </c>
      <c r="U16" s="379">
        <v>5</v>
      </c>
      <c r="V16" s="326" t="s">
        <v>10</v>
      </c>
      <c r="W16" s="379">
        <v>4</v>
      </c>
      <c r="X16" s="327" t="s">
        <v>57</v>
      </c>
      <c r="Y16" s="380">
        <v>6</v>
      </c>
      <c r="Z16" s="328" t="s">
        <v>10</v>
      </c>
      <c r="AA16" s="379">
        <v>3</v>
      </c>
      <c r="AB16" s="328" t="s">
        <v>13</v>
      </c>
      <c r="AC16" s="329" t="s">
        <v>23</v>
      </c>
      <c r="AD16" s="388">
        <f t="shared" si="0"/>
        <v>12</v>
      </c>
      <c r="AE16" s="330" t="s">
        <v>40</v>
      </c>
      <c r="AF16" s="331">
        <f t="shared" si="1"/>
        <v>2385600</v>
      </c>
    </row>
    <row r="17" spans="1:32" ht="36.75" customHeight="1">
      <c r="A17" s="321">
        <f t="shared" si="2"/>
        <v>6</v>
      </c>
      <c r="B17" s="1245" t="str">
        <f>IF(基本情報入力シート!C59="","",基本情報入力シート!C59)</f>
        <v>1314567895</v>
      </c>
      <c r="C17" s="1246"/>
      <c r="D17" s="1246"/>
      <c r="E17" s="1246"/>
      <c r="F17" s="1246"/>
      <c r="G17" s="1246"/>
      <c r="H17" s="1246"/>
      <c r="I17" s="1246"/>
      <c r="J17" s="1246"/>
      <c r="K17" s="1247"/>
      <c r="L17" s="322" t="str">
        <f>IF(基本情報入力シート!M59="","",基本情報入力シート!M59)</f>
        <v>千葉市</v>
      </c>
      <c r="M17" s="322" t="str">
        <f>IF(基本情報入力シート!R59="","",基本情報入力シート!R59)</f>
        <v>千葉県</v>
      </c>
      <c r="N17" s="322" t="str">
        <f>IF(基本情報入力シート!W59="","",基本情報入力シート!W59)</f>
        <v>千葉市</v>
      </c>
      <c r="O17" s="321" t="str">
        <f>IF(基本情報入力シート!X59="","",基本情報入力シート!X59)</f>
        <v>障害福祉事業所名称０５</v>
      </c>
      <c r="P17" s="323" t="str">
        <f>IF(基本情報入力シート!Y59="","",基本情報入力シート!Y59)</f>
        <v>障害者支援施設：生活介護</v>
      </c>
      <c r="Q17" s="210">
        <f>IF(基本情報入力シート!AB59="","",基本情報入力シート!AB59)</f>
        <v>12700000</v>
      </c>
      <c r="R17" s="378" t="s">
        <v>484</v>
      </c>
      <c r="S17" s="324">
        <f>IF(P17="","",VLOOKUP(P17,【参考】数式用!$J$2:$L$34,3,FALSE))</f>
        <v>1.0999999999999999E-2</v>
      </c>
      <c r="T17" s="325" t="s">
        <v>108</v>
      </c>
      <c r="U17" s="379">
        <v>5</v>
      </c>
      <c r="V17" s="326" t="s">
        <v>109</v>
      </c>
      <c r="W17" s="379">
        <v>4</v>
      </c>
      <c r="X17" s="327" t="s">
        <v>110</v>
      </c>
      <c r="Y17" s="380">
        <v>6</v>
      </c>
      <c r="Z17" s="328" t="s">
        <v>109</v>
      </c>
      <c r="AA17" s="379">
        <v>3</v>
      </c>
      <c r="AB17" s="328" t="s">
        <v>111</v>
      </c>
      <c r="AC17" s="329" t="s">
        <v>112</v>
      </c>
      <c r="AD17" s="388">
        <f t="shared" si="0"/>
        <v>12</v>
      </c>
      <c r="AE17" s="330" t="s">
        <v>113</v>
      </c>
      <c r="AF17" s="331">
        <f t="shared" si="1"/>
        <v>1676400</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多賀 朱花(taga-ayaka.j16)</cp:lastModifiedBy>
  <cp:lastPrinted>2023-03-23T05:13:15Z</cp:lastPrinted>
  <dcterms:created xsi:type="dcterms:W3CDTF">2020-02-21T08:37:11Z</dcterms:created>
  <dcterms:modified xsi:type="dcterms:W3CDTF">2023-05-17T07:58:30Z</dcterms:modified>
</cp:coreProperties>
</file>