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476" windowWidth="15330" windowHeight="4110" tabRatio="916" firstSheet="5" activeTab="8"/>
  </bookViews>
  <sheets>
    <sheet name="１０’貸借" sheetId="1" state="hidden" r:id="rId1"/>
    <sheet name="１１’貸借" sheetId="2" state="hidden" r:id="rId2"/>
    <sheet name="１２’貸借" sheetId="3" state="hidden" r:id="rId3"/>
    <sheet name="１１’業財" sheetId="4" state="hidden" r:id="rId4"/>
    <sheet name="１２’業財" sheetId="5" state="hidden" r:id="rId5"/>
    <sheet name="○貸借対照表" sheetId="6" r:id="rId6"/>
    <sheet name="○業務費用計算書" sheetId="7" r:id="rId7"/>
    <sheet name="○資産負債差額増減計算書" sheetId="8" r:id="rId8"/>
    <sheet name="○区分別収支計算書" sheetId="9" r:id="rId9"/>
    <sheet name="１１’区分別" sheetId="10" state="hidden" r:id="rId10"/>
    <sheet name="１２’区分別" sheetId="11" state="hidden" r:id="rId11"/>
  </sheets>
  <definedNames>
    <definedName name="_xlnm.Print_Area" localSheetId="6">'○業務費用計算書'!$A$1:$I$33</definedName>
  </definedNames>
  <calcPr fullCalcOnLoad="1"/>
</workbook>
</file>

<file path=xl/sharedStrings.xml><?xml version="1.0" encoding="utf-8"?>
<sst xmlns="http://schemas.openxmlformats.org/spreadsheetml/2006/main" count="436" uniqueCount="261">
  <si>
    <t>貸　借　対　照　表</t>
  </si>
  <si>
    <t>＜資産の部＞</t>
  </si>
  <si>
    <t>＜負債の部＞</t>
  </si>
  <si>
    <t>現金・預金</t>
  </si>
  <si>
    <t>未払金</t>
  </si>
  <si>
    <t>未収金</t>
  </si>
  <si>
    <t>前受金</t>
  </si>
  <si>
    <t>未収保険料</t>
  </si>
  <si>
    <t>賞与引当金</t>
  </si>
  <si>
    <t>その他未収金</t>
  </si>
  <si>
    <t>退職給与引当金</t>
  </si>
  <si>
    <t>前払費用</t>
  </si>
  <si>
    <t>有形固定資産</t>
  </si>
  <si>
    <t>物品</t>
  </si>
  <si>
    <t>無形固定資産</t>
  </si>
  <si>
    <t>負債合計</t>
  </si>
  <si>
    <t>電話加入権</t>
  </si>
  <si>
    <t>＜資産・負債差額の部＞</t>
  </si>
  <si>
    <t>基準時資産・負債差額</t>
  </si>
  <si>
    <t>業務費用・財源差額累計</t>
  </si>
  <si>
    <t>資産・負債差額合計</t>
  </si>
  <si>
    <t>資産合計</t>
  </si>
  <si>
    <t>負債及び資産・負債差額合計</t>
  </si>
  <si>
    <t>労働保険特別会計</t>
  </si>
  <si>
    <t>（単位：円）</t>
  </si>
  <si>
    <t>労災勘定①</t>
  </si>
  <si>
    <t>雇用勘定②</t>
  </si>
  <si>
    <t>徴収勘定③</t>
  </si>
  <si>
    <t>特会合計④（①＋②＋③）</t>
  </si>
  <si>
    <t>修正（相殺）⑤</t>
  </si>
  <si>
    <t>修正後特会合計⑥（④＋⑤）</t>
  </si>
  <si>
    <t>＜平成１０年度＞</t>
  </si>
  <si>
    <t>ソフトウェア</t>
  </si>
  <si>
    <t>備　　　考</t>
  </si>
  <si>
    <t>業　務　費　用　・　財　源　計　算　書</t>
  </si>
  <si>
    <t>業務費用</t>
  </si>
  <si>
    <t>人件費</t>
  </si>
  <si>
    <t>退職給付引当金増加額</t>
  </si>
  <si>
    <t>賞与引当金増加額</t>
  </si>
  <si>
    <t>委託費</t>
  </si>
  <si>
    <t>減価償却費</t>
  </si>
  <si>
    <t>保険料返還金</t>
  </si>
  <si>
    <t>他勘定への繰入</t>
  </si>
  <si>
    <t>固定資産売却損益</t>
  </si>
  <si>
    <t>本年度受入財源</t>
  </si>
  <si>
    <t>対価見合収入等</t>
  </si>
  <si>
    <t>保険料収入</t>
  </si>
  <si>
    <t>運用益</t>
  </si>
  <si>
    <t>他勘定からの受入</t>
  </si>
  <si>
    <t>本年度業務費用・財源差額</t>
  </si>
  <si>
    <t>前年度末業務費用・財源差額累計</t>
  </si>
  <si>
    <t>本年度末業務費用・財源差額累計</t>
  </si>
  <si>
    <t>Ⅱ</t>
  </si>
  <si>
    <t>区　分　別　収　支　計　算　書</t>
  </si>
  <si>
    <t>業務収支</t>
  </si>
  <si>
    <t>その他業務支出</t>
  </si>
  <si>
    <t>業務取扱費</t>
  </si>
  <si>
    <t>他会計からの受入</t>
  </si>
  <si>
    <t>その他収入</t>
  </si>
  <si>
    <t>前年度剰余金受入</t>
  </si>
  <si>
    <t>小計</t>
  </si>
  <si>
    <t>利息及び配当の受取額</t>
  </si>
  <si>
    <t>施設整備収支</t>
  </si>
  <si>
    <t>施設整備による支出</t>
  </si>
  <si>
    <t>Ⅲ</t>
  </si>
  <si>
    <t>財務収支</t>
  </si>
  <si>
    <t>翌年度歳入繰入</t>
  </si>
  <si>
    <t>＜平成１１年度＞</t>
  </si>
  <si>
    <t>Ⅱ</t>
  </si>
  <si>
    <t>－</t>
  </si>
  <si>
    <t>失業等給付費</t>
  </si>
  <si>
    <t>雇用安定等事業経費</t>
  </si>
  <si>
    <t>業務取扱費</t>
  </si>
  <si>
    <t>補助金等</t>
  </si>
  <si>
    <t>施設整備費</t>
  </si>
  <si>
    <t>貸倒引当金繰入</t>
  </si>
  <si>
    <t>その他収入</t>
  </si>
  <si>
    <t>財産の無償所管換等（受）</t>
  </si>
  <si>
    <t>財産の無償所管換等（渡）</t>
  </si>
  <si>
    <t>資金（積立金）からの受入</t>
  </si>
  <si>
    <t>積立金</t>
  </si>
  <si>
    <t>雇用安定資金</t>
  </si>
  <si>
    <t>資金（積立金）への繰入</t>
  </si>
  <si>
    <t>Ⅰ</t>
  </si>
  <si>
    <t>保険給付費</t>
  </si>
  <si>
    <t>労働福祉事業費</t>
  </si>
  <si>
    <t>責任準備金繰入額（△は戻入）</t>
  </si>
  <si>
    <t>前払金</t>
  </si>
  <si>
    <t>貸倒引当金</t>
  </si>
  <si>
    <t>土地</t>
  </si>
  <si>
    <t>立木竹</t>
  </si>
  <si>
    <t>建物</t>
  </si>
  <si>
    <t>工作物</t>
  </si>
  <si>
    <t>建設仮勘定</t>
  </si>
  <si>
    <t>支払備金</t>
  </si>
  <si>
    <t>資金</t>
  </si>
  <si>
    <t>未収収益</t>
  </si>
  <si>
    <t>未経過保険料</t>
  </si>
  <si>
    <t>雇用安定等事業費</t>
  </si>
  <si>
    <t>他会計からの受入</t>
  </si>
  <si>
    <t>一般会計からの受入</t>
  </si>
  <si>
    <t>郵政事業特別会計からの受入</t>
  </si>
  <si>
    <t>労災勘定からの受入</t>
  </si>
  <si>
    <t>雇用勘定からの受入</t>
  </si>
  <si>
    <t>徴収勘定からの受入</t>
  </si>
  <si>
    <t>労災勘定への繰入</t>
  </si>
  <si>
    <t>雇用勘定への繰入</t>
  </si>
  <si>
    <t>徴収勘定への繰入</t>
  </si>
  <si>
    <t>労働保険特別会計業務支出</t>
  </si>
  <si>
    <t>労働保険特別会計業務対価見合等収入</t>
  </si>
  <si>
    <t>未経過保険料受入</t>
  </si>
  <si>
    <t>支払備金受入</t>
  </si>
  <si>
    <t>積立金から受入</t>
  </si>
  <si>
    <t>雇用安定資金から受入</t>
  </si>
  <si>
    <t>資産売却収入</t>
  </si>
  <si>
    <t>他会計への繰入</t>
  </si>
  <si>
    <t>一般会計への繰入</t>
  </si>
  <si>
    <t>郵政事業特別会計への繰入</t>
  </si>
  <si>
    <t>資産評価差額</t>
  </si>
  <si>
    <t>責任準備金</t>
  </si>
  <si>
    <t>徴収勘定より受入未済金</t>
  </si>
  <si>
    <t>その他未払金</t>
  </si>
  <si>
    <t>雇用勘定へ繰入未済金</t>
  </si>
  <si>
    <t>労災勘定へ繰入未済金</t>
  </si>
  <si>
    <t>＜平成１１年度＞</t>
  </si>
  <si>
    <t>資産・負債差額合計</t>
  </si>
  <si>
    <t>＜平成１２年度＞</t>
  </si>
  <si>
    <t>Ⅰ</t>
  </si>
  <si>
    <t>Ⅱ</t>
  </si>
  <si>
    <t>－</t>
  </si>
  <si>
    <t>＜平成１２年度＞</t>
  </si>
  <si>
    <t>Ⅱ</t>
  </si>
  <si>
    <t>－</t>
  </si>
  <si>
    <t>－</t>
  </si>
  <si>
    <t>本年度収支</t>
  </si>
  <si>
    <t>－</t>
  </si>
  <si>
    <t>－</t>
  </si>
  <si>
    <t>未完成施設</t>
  </si>
  <si>
    <t>出資金評価損</t>
  </si>
  <si>
    <t>次年度繰越未経過保険料</t>
  </si>
  <si>
    <t>前年度繰越未経過保険料</t>
  </si>
  <si>
    <t>検証Ｂ／Ｓ－Ｐ／Ｌ</t>
  </si>
  <si>
    <t>徴収業務対価見合等収入</t>
  </si>
  <si>
    <t>出資金</t>
  </si>
  <si>
    <t>その他現金・預金</t>
  </si>
  <si>
    <t>労災・雇用→徴収繰入未済（未払消費税分）</t>
  </si>
  <si>
    <t>労災・雇用→徴収受入未済（未払消費税分）</t>
  </si>
  <si>
    <t>徴収勘定より受入未済金,△未払消費税分受入未済</t>
  </si>
  <si>
    <t>業　務　費　用　計　算　書</t>
  </si>
  <si>
    <t>（単位：百万円）</t>
  </si>
  <si>
    <t>本年度業務費用合計</t>
  </si>
  <si>
    <t>Ⅱ</t>
  </si>
  <si>
    <t>Ⅲ</t>
  </si>
  <si>
    <t>財源</t>
  </si>
  <si>
    <t>無償所管換等</t>
  </si>
  <si>
    <t>Ⅴ</t>
  </si>
  <si>
    <t>資産評価差額</t>
  </si>
  <si>
    <t>財源合計</t>
  </si>
  <si>
    <t>業務支出</t>
  </si>
  <si>
    <t>その他業務支出</t>
  </si>
  <si>
    <t>施設整備支出</t>
  </si>
  <si>
    <t>施設整備支出合計</t>
  </si>
  <si>
    <t>業務支出合計</t>
  </si>
  <si>
    <t>資金本年度末残額</t>
  </si>
  <si>
    <t>本年度末現金・預金残高</t>
  </si>
  <si>
    <t>労災保険給付費</t>
  </si>
  <si>
    <t>福祉施設給付金</t>
  </si>
  <si>
    <t>庁費等</t>
  </si>
  <si>
    <t>その他の経費</t>
  </si>
  <si>
    <t>貸倒引当金繰入額</t>
  </si>
  <si>
    <t>失業等給付費</t>
  </si>
  <si>
    <t>運用収入</t>
  </si>
  <si>
    <t>建物に係る支出</t>
  </si>
  <si>
    <t>工作物に係る支出</t>
  </si>
  <si>
    <t>建設仮勘定に係る支出</t>
  </si>
  <si>
    <t>庁費等の支出</t>
  </si>
  <si>
    <t>保険料返還金</t>
  </si>
  <si>
    <t>その他の収入</t>
  </si>
  <si>
    <t>他会計からの受入</t>
  </si>
  <si>
    <t>土地に係る支出</t>
  </si>
  <si>
    <t>資金への繰入</t>
  </si>
  <si>
    <t>自己収入</t>
  </si>
  <si>
    <t>貸倒引当金</t>
  </si>
  <si>
    <t>物品</t>
  </si>
  <si>
    <t>資産処分損益</t>
  </si>
  <si>
    <t>資産・負債差額増減計算書</t>
  </si>
  <si>
    <t>賞与引当金繰入額</t>
  </si>
  <si>
    <t>雇用安定等給付費</t>
  </si>
  <si>
    <t>分担金</t>
  </si>
  <si>
    <t>運営費交付金</t>
  </si>
  <si>
    <t>拠出金</t>
  </si>
  <si>
    <t>拠出金</t>
  </si>
  <si>
    <t>(1)</t>
  </si>
  <si>
    <t>業務支出（施設整備支出を除く）</t>
  </si>
  <si>
    <t>(2)</t>
  </si>
  <si>
    <t>前会計年度</t>
  </si>
  <si>
    <t>本会計年度</t>
  </si>
  <si>
    <t>退職給付引当金繰入額</t>
  </si>
  <si>
    <t>立木竹に係る支出</t>
  </si>
  <si>
    <t>（単位：百万円）</t>
  </si>
  <si>
    <t>平成１１年度</t>
  </si>
  <si>
    <t>平成１２年度</t>
  </si>
  <si>
    <t>＜資産の部＞</t>
  </si>
  <si>
    <t>＜負債の部＞</t>
  </si>
  <si>
    <t>現金・預金</t>
  </si>
  <si>
    <t>未払金</t>
  </si>
  <si>
    <t>未収金</t>
  </si>
  <si>
    <t>支払備金</t>
  </si>
  <si>
    <t>未収保険料</t>
  </si>
  <si>
    <t>未経過保険料</t>
  </si>
  <si>
    <t>その他未収金</t>
  </si>
  <si>
    <t>前受金</t>
  </si>
  <si>
    <t>賞与引当金</t>
  </si>
  <si>
    <t>未収収益</t>
  </si>
  <si>
    <t>責任準備金</t>
  </si>
  <si>
    <t>退職給付引当金</t>
  </si>
  <si>
    <t>前払費用</t>
  </si>
  <si>
    <t>有形固定資産</t>
  </si>
  <si>
    <t>土地</t>
  </si>
  <si>
    <t>立木竹</t>
  </si>
  <si>
    <t>建物</t>
  </si>
  <si>
    <t>負債合計</t>
  </si>
  <si>
    <t>工作物</t>
  </si>
  <si>
    <t>＜資産・負債差額の部＞</t>
  </si>
  <si>
    <t>建設仮勘定</t>
  </si>
  <si>
    <t>無形固定資産</t>
  </si>
  <si>
    <t>出資金</t>
  </si>
  <si>
    <t>資産合計</t>
  </si>
  <si>
    <t>福祉施設給付費</t>
  </si>
  <si>
    <t>　保険料収入</t>
  </si>
  <si>
    <t>　運用益</t>
  </si>
  <si>
    <t>一般会計へ繰入</t>
  </si>
  <si>
    <t>　その他の財源</t>
  </si>
  <si>
    <t>本年度末資産・負債差額</t>
  </si>
  <si>
    <t>前年度末資産・負債差額</t>
  </si>
  <si>
    <t>国有財産（公共用財産を除く）</t>
  </si>
  <si>
    <t>資産・負債差額</t>
  </si>
  <si>
    <t>Ⅰ</t>
  </si>
  <si>
    <t>Ⅳ</t>
  </si>
  <si>
    <t>　</t>
  </si>
  <si>
    <t>　</t>
  </si>
  <si>
    <t>自：平成17年4月１日</t>
  </si>
  <si>
    <t>責任準備金戻入益</t>
  </si>
  <si>
    <t>出資金評価損</t>
  </si>
  <si>
    <t>至：平成18年3月31日</t>
  </si>
  <si>
    <t>　</t>
  </si>
  <si>
    <t>業務支出（施設整備支出を除く）合計</t>
  </si>
  <si>
    <t>労働保険特別会計</t>
  </si>
  <si>
    <t>（平成18年3月31日）</t>
  </si>
  <si>
    <t>負債及び資産・負債差額合計</t>
  </si>
  <si>
    <t>至：平成18年3月31日</t>
  </si>
  <si>
    <t>自：平成18年4月１日</t>
  </si>
  <si>
    <t>至：平成19年3月31日</t>
  </si>
  <si>
    <t>（平成19年3月31日）</t>
  </si>
  <si>
    <t>至：平成19年3月31日</t>
  </si>
  <si>
    <t>Ⅵ</t>
  </si>
  <si>
    <t>Ⅶ</t>
  </si>
  <si>
    <t>その他資産負債差額の増減</t>
  </si>
  <si>
    <t>-</t>
  </si>
  <si>
    <t>　環境省からの受入</t>
  </si>
  <si>
    <t>　一般会計からの受入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</si>
</sst>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#,##0_ "/>
    <numFmt numFmtId="180" formatCode="0;&quot;△ &quot;0"/>
    <numFmt numFmtId="181" formatCode="mmm\-yyyy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0.0_ "/>
    <numFmt numFmtId="189" formatCode="#,##0;&quot;▲ &quot;#,##0"/>
    <numFmt numFmtId="190" formatCode="_ * #,##0_ ;_ * &quot;△&quot;#,##0_ ;_ * &quot;-&quot;_ ;_ @_ "/>
    <numFmt numFmtId="191" formatCode="#,##0.0;&quot;△ &quot;#,##0.0"/>
    <numFmt numFmtId="192" formatCode="#,##0.00;&quot;△ &quot;#,##0.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color indexed="60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6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0"/>
      <color indexed="10"/>
      <name val="ＭＳ ゴシック"/>
      <family val="3"/>
    </font>
    <font>
      <i/>
      <sz val="10"/>
      <name val="ＭＳ ゴシック"/>
      <family val="3"/>
    </font>
    <font>
      <i/>
      <sz val="10"/>
      <color indexed="60"/>
      <name val="ＭＳ ゴシック"/>
      <family val="3"/>
    </font>
    <font>
      <b/>
      <i/>
      <sz val="10"/>
      <color indexed="6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gray0625"/>
    </fill>
    <fill>
      <patternFill patternType="gray0625">
        <bgColor indexed="49"/>
      </patternFill>
    </fill>
    <fill>
      <patternFill patternType="gray0625">
        <bgColor indexed="13"/>
      </patternFill>
    </fill>
    <fill>
      <patternFill patternType="gray0625">
        <bgColor indexed="51"/>
      </patternFill>
    </fill>
    <fill>
      <patternFill patternType="gray06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1" xfId="22" applyNumberFormat="1" applyFont="1" applyBorder="1" applyAlignment="1">
      <alignment horizontal="center" vertical="center"/>
      <protection/>
    </xf>
    <xf numFmtId="176" fontId="6" fillId="0" borderId="2" xfId="22" applyNumberFormat="1" applyFont="1" applyBorder="1" applyAlignment="1">
      <alignment horizontal="center" vertical="center"/>
      <protection/>
    </xf>
    <xf numFmtId="176" fontId="7" fillId="0" borderId="1" xfId="22" applyNumberFormat="1" applyFont="1" applyBorder="1" applyAlignment="1">
      <alignment horizontal="center" vertical="center" shrinkToFit="1"/>
      <protection/>
    </xf>
    <xf numFmtId="176" fontId="7" fillId="0" borderId="3" xfId="22" applyNumberFormat="1" applyFont="1" applyBorder="1" applyAlignment="1">
      <alignment horizontal="center" vertical="center" shrinkToFit="1"/>
      <protection/>
    </xf>
    <xf numFmtId="176" fontId="7" fillId="0" borderId="4" xfId="22" applyNumberFormat="1" applyFont="1" applyBorder="1" applyAlignment="1">
      <alignment horizontal="center" vertical="center" shrinkToFit="1"/>
      <protection/>
    </xf>
    <xf numFmtId="176" fontId="7" fillId="0" borderId="3" xfId="22" applyNumberFormat="1" applyFont="1" applyFill="1" applyBorder="1" applyAlignment="1">
      <alignment horizontal="center" vertical="center" shrinkToFit="1"/>
      <protection/>
    </xf>
    <xf numFmtId="176" fontId="8" fillId="0" borderId="5" xfId="22" applyNumberFormat="1" applyFont="1" applyBorder="1" applyAlignment="1">
      <alignment vertical="center"/>
      <protection/>
    </xf>
    <xf numFmtId="176" fontId="6" fillId="0" borderId="1" xfId="23" applyNumberFormat="1" applyFont="1" applyBorder="1">
      <alignment/>
      <protection/>
    </xf>
    <xf numFmtId="176" fontId="6" fillId="0" borderId="2" xfId="23" applyNumberFormat="1" applyFont="1" applyBorder="1">
      <alignment/>
      <protection/>
    </xf>
    <xf numFmtId="176" fontId="8" fillId="0" borderId="0" xfId="23" applyNumberFormat="1" applyFont="1" applyBorder="1">
      <alignment/>
      <protection/>
    </xf>
    <xf numFmtId="176" fontId="8" fillId="0" borderId="0" xfId="23" applyNumberFormat="1" applyFont="1" applyFill="1" applyBorder="1">
      <alignment/>
      <protection/>
    </xf>
    <xf numFmtId="176" fontId="8" fillId="0" borderId="6" xfId="22" applyNumberFormat="1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176" fontId="8" fillId="0" borderId="8" xfId="22" applyNumberFormat="1" applyFont="1" applyBorder="1" applyAlignment="1">
      <alignment horizontal="center" vertical="center"/>
      <protection/>
    </xf>
    <xf numFmtId="176" fontId="8" fillId="0" borderId="5" xfId="17" applyNumberFormat="1" applyFont="1" applyBorder="1" applyAlignment="1">
      <alignment vertical="center"/>
    </xf>
    <xf numFmtId="176" fontId="8" fillId="0" borderId="9" xfId="17" applyNumberFormat="1" applyFont="1" applyBorder="1" applyAlignment="1">
      <alignment vertical="center"/>
    </xf>
    <xf numFmtId="176" fontId="8" fillId="0" borderId="10" xfId="17" applyNumberFormat="1" applyFont="1" applyBorder="1" applyAlignment="1">
      <alignment vertical="center"/>
    </xf>
    <xf numFmtId="176" fontId="8" fillId="0" borderId="9" xfId="22" applyNumberFormat="1" applyFont="1" applyBorder="1" applyAlignment="1">
      <alignment vertical="center"/>
      <protection/>
    </xf>
    <xf numFmtId="176" fontId="8" fillId="0" borderId="11" xfId="22" applyNumberFormat="1" applyFont="1" applyBorder="1" applyAlignment="1">
      <alignment vertical="center"/>
      <protection/>
    </xf>
    <xf numFmtId="176" fontId="8" fillId="0" borderId="5" xfId="17" applyNumberFormat="1" applyFont="1" applyFill="1" applyBorder="1" applyAlignment="1">
      <alignment vertical="center"/>
    </xf>
    <xf numFmtId="176" fontId="8" fillId="0" borderId="9" xfId="17" applyNumberFormat="1" applyFont="1" applyFill="1" applyBorder="1" applyAlignment="1">
      <alignment vertical="center"/>
    </xf>
    <xf numFmtId="176" fontId="8" fillId="0" borderId="11" xfId="17" applyNumberFormat="1" applyFont="1" applyFill="1" applyBorder="1" applyAlignment="1">
      <alignment vertical="center"/>
    </xf>
    <xf numFmtId="176" fontId="8" fillId="0" borderId="12" xfId="17" applyNumberFormat="1" applyFont="1" applyFill="1" applyBorder="1" applyAlignment="1">
      <alignment vertical="center"/>
    </xf>
    <xf numFmtId="176" fontId="8" fillId="0" borderId="7" xfId="17" applyNumberFormat="1" applyFont="1" applyBorder="1" applyAlignment="1">
      <alignment/>
    </xf>
    <xf numFmtId="176" fontId="8" fillId="0" borderId="9" xfId="17" applyNumberFormat="1" applyFont="1" applyBorder="1" applyAlignment="1">
      <alignment/>
    </xf>
    <xf numFmtId="176" fontId="8" fillId="0" borderId="12" xfId="17" applyNumberFormat="1" applyFont="1" applyBorder="1" applyAlignment="1">
      <alignment/>
    </xf>
    <xf numFmtId="0" fontId="8" fillId="0" borderId="12" xfId="0" applyFont="1" applyBorder="1" applyAlignment="1">
      <alignment/>
    </xf>
    <xf numFmtId="176" fontId="8" fillId="0" borderId="6" xfId="23" applyNumberFormat="1" applyFont="1" applyBorder="1">
      <alignment/>
      <protection/>
    </xf>
    <xf numFmtId="176" fontId="8" fillId="0" borderId="13" xfId="23" applyNumberFormat="1" applyFont="1" applyBorder="1">
      <alignment/>
      <protection/>
    </xf>
    <xf numFmtId="176" fontId="8" fillId="0" borderId="5" xfId="23" applyNumberFormat="1" applyFont="1" applyBorder="1">
      <alignment/>
      <protection/>
    </xf>
    <xf numFmtId="176" fontId="8" fillId="0" borderId="11" xfId="23" applyNumberFormat="1" applyFont="1" applyBorder="1">
      <alignment/>
      <protection/>
    </xf>
    <xf numFmtId="176" fontId="8" fillId="0" borderId="14" xfId="23" applyNumberFormat="1" applyFont="1" applyBorder="1">
      <alignment/>
      <protection/>
    </xf>
    <xf numFmtId="0" fontId="8" fillId="0" borderId="5" xfId="23" applyFont="1" applyBorder="1">
      <alignment/>
      <protection/>
    </xf>
    <xf numFmtId="0" fontId="8" fillId="0" borderId="0" xfId="23" applyFont="1" applyBorder="1">
      <alignment/>
      <protection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76" fontId="6" fillId="0" borderId="1" xfId="22" applyNumberFormat="1" applyFont="1" applyBorder="1" applyAlignment="1">
      <alignment horizontal="left" vertical="center"/>
      <protection/>
    </xf>
    <xf numFmtId="176" fontId="6" fillId="0" borderId="0" xfId="24" applyNumberFormat="1" applyFont="1" applyAlignment="1">
      <alignment horizontal="right"/>
      <protection/>
    </xf>
    <xf numFmtId="176" fontId="6" fillId="0" borderId="2" xfId="24" applyNumberFormat="1" applyFont="1" applyBorder="1">
      <alignment/>
      <protection/>
    </xf>
    <xf numFmtId="176" fontId="6" fillId="0" borderId="4" xfId="24" applyNumberFormat="1" applyFont="1" applyBorder="1">
      <alignment/>
      <protection/>
    </xf>
    <xf numFmtId="176" fontId="8" fillId="0" borderId="6" xfId="24" applyNumberFormat="1" applyFont="1" applyBorder="1">
      <alignment/>
      <protection/>
    </xf>
    <xf numFmtId="176" fontId="8" fillId="0" borderId="7" xfId="24" applyNumberFormat="1" applyFont="1" applyBorder="1">
      <alignment/>
      <protection/>
    </xf>
    <xf numFmtId="0" fontId="8" fillId="0" borderId="8" xfId="0" applyFont="1" applyBorder="1" applyAlignment="1">
      <alignment/>
    </xf>
    <xf numFmtId="176" fontId="8" fillId="0" borderId="5" xfId="24" applyNumberFormat="1" applyFont="1" applyBorder="1">
      <alignment/>
      <protection/>
    </xf>
    <xf numFmtId="176" fontId="8" fillId="0" borderId="9" xfId="24" applyNumberFormat="1" applyFont="1" applyBorder="1">
      <alignment/>
      <protection/>
    </xf>
    <xf numFmtId="0" fontId="8" fillId="0" borderId="10" xfId="0" applyFont="1" applyBorder="1" applyAlignment="1">
      <alignment/>
    </xf>
    <xf numFmtId="0" fontId="8" fillId="0" borderId="11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5" xfId="0" applyFont="1" applyBorder="1" applyAlignment="1">
      <alignment/>
    </xf>
    <xf numFmtId="176" fontId="8" fillId="0" borderId="7" xfId="17" applyNumberFormat="1" applyFont="1" applyBorder="1" applyAlignment="1">
      <alignment horizontal="right"/>
    </xf>
    <xf numFmtId="0" fontId="8" fillId="0" borderId="5" xfId="24" applyFont="1" applyBorder="1">
      <alignment/>
      <protection/>
    </xf>
    <xf numFmtId="0" fontId="8" fillId="0" borderId="9" xfId="24" applyFont="1" applyBorder="1">
      <alignment/>
      <protection/>
    </xf>
    <xf numFmtId="176" fontId="8" fillId="0" borderId="13" xfId="24" applyNumberFormat="1" applyFont="1" applyBorder="1">
      <alignment/>
      <protection/>
    </xf>
    <xf numFmtId="176" fontId="8" fillId="0" borderId="8" xfId="24" applyNumberFormat="1" applyFont="1" applyBorder="1">
      <alignment/>
      <protection/>
    </xf>
    <xf numFmtId="176" fontId="8" fillId="0" borderId="0" xfId="24" applyNumberFormat="1" applyFont="1" applyBorder="1">
      <alignment/>
      <protection/>
    </xf>
    <xf numFmtId="176" fontId="8" fillId="0" borderId="10" xfId="24" applyNumberFormat="1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176" fontId="8" fillId="0" borderId="0" xfId="24" applyNumberFormat="1" applyFont="1" applyFill="1" applyBorder="1">
      <alignment/>
      <protection/>
    </xf>
    <xf numFmtId="176" fontId="8" fillId="0" borderId="10" xfId="24" applyNumberFormat="1" applyFont="1" applyFill="1" applyBorder="1">
      <alignment/>
      <protection/>
    </xf>
    <xf numFmtId="0" fontId="8" fillId="0" borderId="0" xfId="24" applyFont="1" applyBorder="1">
      <alignment/>
      <protection/>
    </xf>
    <xf numFmtId="0" fontId="8" fillId="0" borderId="10" xfId="24" applyFont="1" applyBorder="1">
      <alignment/>
      <protection/>
    </xf>
    <xf numFmtId="176" fontId="8" fillId="0" borderId="11" xfId="24" applyNumberFormat="1" applyFont="1" applyBorder="1">
      <alignment/>
      <protection/>
    </xf>
    <xf numFmtId="176" fontId="8" fillId="0" borderId="12" xfId="24" applyNumberFormat="1" applyFont="1" applyBorder="1">
      <alignment/>
      <protection/>
    </xf>
    <xf numFmtId="176" fontId="10" fillId="0" borderId="0" xfId="23" applyNumberFormat="1" applyFont="1" applyBorder="1">
      <alignment/>
      <protection/>
    </xf>
    <xf numFmtId="176" fontId="8" fillId="0" borderId="0" xfId="23" applyNumberFormat="1" applyFont="1" applyBorder="1" applyAlignment="1">
      <alignment horizontal="left"/>
      <protection/>
    </xf>
    <xf numFmtId="176" fontId="8" fillId="0" borderId="9" xfId="17" applyNumberFormat="1" applyFont="1" applyBorder="1" applyAlignment="1">
      <alignment horizontal="right"/>
    </xf>
    <xf numFmtId="176" fontId="8" fillId="0" borderId="9" xfId="17" applyNumberFormat="1" applyFont="1" applyFill="1" applyBorder="1" applyAlignment="1">
      <alignment/>
    </xf>
    <xf numFmtId="0" fontId="8" fillId="0" borderId="0" xfId="0" applyFont="1" applyAlignment="1">
      <alignment/>
    </xf>
    <xf numFmtId="176" fontId="8" fillId="0" borderId="0" xfId="17" applyNumberFormat="1" applyFont="1" applyBorder="1" applyAlignment="1">
      <alignment vertical="center"/>
    </xf>
    <xf numFmtId="176" fontId="8" fillId="0" borderId="5" xfId="0" applyNumberFormat="1" applyFont="1" applyBorder="1" applyAlignment="1">
      <alignment/>
    </xf>
    <xf numFmtId="176" fontId="8" fillId="0" borderId="12" xfId="17" applyNumberFormat="1" applyFont="1" applyBorder="1" applyAlignment="1">
      <alignment vertical="center"/>
    </xf>
    <xf numFmtId="176" fontId="8" fillId="0" borderId="0" xfId="22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vertical="center"/>
      <protection/>
    </xf>
    <xf numFmtId="176" fontId="8" fillId="0" borderId="13" xfId="22" applyNumberFormat="1" applyFont="1" applyBorder="1" applyAlignment="1">
      <alignment vertical="center"/>
      <protection/>
    </xf>
    <xf numFmtId="176" fontId="8" fillId="0" borderId="0" xfId="22" applyNumberFormat="1" applyFont="1" applyBorder="1" applyAlignment="1">
      <alignment vertical="center"/>
      <protection/>
    </xf>
    <xf numFmtId="176" fontId="8" fillId="0" borderId="5" xfId="22" applyNumberFormat="1" applyFont="1" applyFill="1" applyBorder="1" applyAlignment="1">
      <alignment vertical="center"/>
      <protection/>
    </xf>
    <xf numFmtId="176" fontId="8" fillId="0" borderId="0" xfId="22" applyNumberFormat="1" applyFont="1" applyFill="1" applyBorder="1" applyAlignment="1">
      <alignment vertical="center"/>
      <protection/>
    </xf>
    <xf numFmtId="176" fontId="8" fillId="0" borderId="1" xfId="22" applyNumberFormat="1" applyFont="1" applyBorder="1" applyAlignment="1">
      <alignment vertical="center"/>
      <protection/>
    </xf>
    <xf numFmtId="176" fontId="8" fillId="0" borderId="2" xfId="22" applyNumberFormat="1" applyFont="1" applyBorder="1" applyAlignment="1">
      <alignment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17" applyNumberFormat="1" applyFont="1" applyBorder="1" applyAlignment="1">
      <alignment vertical="center"/>
    </xf>
    <xf numFmtId="176" fontId="8" fillId="0" borderId="14" xfId="22" applyNumberFormat="1" applyFont="1" applyBorder="1" applyAlignment="1">
      <alignment vertical="center"/>
      <protection/>
    </xf>
    <xf numFmtId="176" fontId="8" fillId="0" borderId="0" xfId="17" applyNumberFormat="1" applyFont="1" applyFill="1" applyBorder="1" applyAlignment="1">
      <alignment vertical="center"/>
    </xf>
    <xf numFmtId="176" fontId="8" fillId="0" borderId="2" xfId="17" applyNumberFormat="1" applyFont="1" applyBorder="1" applyAlignment="1">
      <alignment vertical="center"/>
    </xf>
    <xf numFmtId="176" fontId="8" fillId="0" borderId="4" xfId="22" applyNumberFormat="1" applyFont="1" applyBorder="1" applyAlignment="1">
      <alignment vertical="center"/>
      <protection/>
    </xf>
    <xf numFmtId="176" fontId="9" fillId="0" borderId="0" xfId="24" applyNumberFormat="1" applyFont="1" applyBorder="1">
      <alignment/>
      <protection/>
    </xf>
    <xf numFmtId="176" fontId="9" fillId="0" borderId="0" xfId="24" applyNumberFormat="1" applyFont="1" applyFill="1" applyBorder="1">
      <alignment/>
      <protection/>
    </xf>
    <xf numFmtId="176" fontId="7" fillId="0" borderId="4" xfId="22" applyNumberFormat="1" applyFont="1" applyFill="1" applyBorder="1" applyAlignment="1">
      <alignment horizontal="center" vertical="center" shrinkToFit="1"/>
      <protection/>
    </xf>
    <xf numFmtId="176" fontId="8" fillId="0" borderId="16" xfId="17" applyNumberFormat="1" applyFont="1" applyBorder="1" applyAlignment="1">
      <alignment/>
    </xf>
    <xf numFmtId="176" fontId="8" fillId="0" borderId="17" xfId="24" applyNumberFormat="1" applyFont="1" applyBorder="1">
      <alignment/>
      <protection/>
    </xf>
    <xf numFmtId="176" fontId="8" fillId="0" borderId="16" xfId="24" applyNumberFormat="1" applyFont="1" applyBorder="1">
      <alignment/>
      <protection/>
    </xf>
    <xf numFmtId="176" fontId="8" fillId="0" borderId="7" xfId="22" applyNumberFormat="1" applyFont="1" applyBorder="1" applyAlignment="1">
      <alignment vertical="center"/>
      <protection/>
    </xf>
    <xf numFmtId="176" fontId="8" fillId="0" borderId="5" xfId="0" applyNumberFormat="1" applyFont="1" applyBorder="1" applyAlignment="1">
      <alignment/>
    </xf>
    <xf numFmtId="176" fontId="8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1" fillId="0" borderId="0" xfId="24" applyNumberFormat="1" applyFont="1" applyAlignment="1">
      <alignment horizontal="centerContinuous"/>
      <protection/>
    </xf>
    <xf numFmtId="176" fontId="11" fillId="0" borderId="0" xfId="17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176" fontId="12" fillId="0" borderId="0" xfId="23" applyNumberFormat="1" applyFont="1">
      <alignment/>
      <protection/>
    </xf>
    <xf numFmtId="176" fontId="12" fillId="0" borderId="0" xfId="24" applyNumberFormat="1" applyFont="1">
      <alignment/>
      <protection/>
    </xf>
    <xf numFmtId="176" fontId="12" fillId="0" borderId="0" xfId="17" applyNumberFormat="1" applyFont="1" applyAlignment="1">
      <alignment/>
    </xf>
    <xf numFmtId="176" fontId="12" fillId="0" borderId="0" xfId="22" applyNumberFormat="1" applyFont="1" applyAlignment="1">
      <alignment horizontal="left" vertical="center"/>
      <protection/>
    </xf>
    <xf numFmtId="176" fontId="12" fillId="0" borderId="0" xfId="24" applyNumberFormat="1" applyFont="1" applyAlignment="1">
      <alignment horizontal="right"/>
      <protection/>
    </xf>
    <xf numFmtId="176" fontId="11" fillId="0" borderId="0" xfId="21" applyNumberFormat="1" applyFont="1" applyAlignment="1">
      <alignment horizontal="centerContinuous"/>
      <protection/>
    </xf>
    <xf numFmtId="176" fontId="11" fillId="0" borderId="0" xfId="23" applyNumberFormat="1" applyFont="1" applyAlignment="1">
      <alignment horizontal="center"/>
      <protection/>
    </xf>
    <xf numFmtId="176" fontId="12" fillId="0" borderId="0" xfId="23" applyNumberFormat="1" applyFont="1" applyAlignment="1">
      <alignment horizontal="right"/>
      <protection/>
    </xf>
    <xf numFmtId="176" fontId="11" fillId="0" borderId="0" xfId="22" applyNumberFormat="1" applyFont="1" applyAlignment="1">
      <alignment horizontal="centerContinuous" vertical="center"/>
      <protection/>
    </xf>
    <xf numFmtId="176" fontId="11" fillId="0" borderId="0" xfId="22" applyNumberFormat="1" applyFont="1" applyAlignment="1">
      <alignment vertical="center"/>
      <protection/>
    </xf>
    <xf numFmtId="176" fontId="12" fillId="0" borderId="0" xfId="22" applyNumberFormat="1" applyFont="1" applyAlignment="1">
      <alignment vertical="center"/>
      <protection/>
    </xf>
    <xf numFmtId="176" fontId="12" fillId="0" borderId="0" xfId="22" applyNumberFormat="1" applyFont="1" applyAlignment="1">
      <alignment horizontal="center" vertical="center"/>
      <protection/>
    </xf>
    <xf numFmtId="176" fontId="12" fillId="0" borderId="0" xfId="22" applyNumberFormat="1" applyFont="1" applyAlignment="1">
      <alignment horizontal="right" vertical="center"/>
      <protection/>
    </xf>
    <xf numFmtId="176" fontId="13" fillId="0" borderId="7" xfId="0" applyNumberFormat="1" applyFont="1" applyBorder="1" applyAlignment="1">
      <alignment/>
    </xf>
    <xf numFmtId="176" fontId="13" fillId="0" borderId="9" xfId="0" applyNumberFormat="1" applyFont="1" applyBorder="1" applyAlignment="1">
      <alignment/>
    </xf>
    <xf numFmtId="176" fontId="13" fillId="0" borderId="9" xfId="17" applyNumberFormat="1" applyFont="1" applyBorder="1" applyAlignment="1">
      <alignment vertical="center"/>
    </xf>
    <xf numFmtId="176" fontId="13" fillId="0" borderId="12" xfId="0" applyNumberFormat="1" applyFont="1" applyBorder="1" applyAlignment="1">
      <alignment/>
    </xf>
    <xf numFmtId="176" fontId="13" fillId="0" borderId="1" xfId="17" applyNumberFormat="1" applyFont="1" applyBorder="1" applyAlignment="1">
      <alignment vertical="center"/>
    </xf>
    <xf numFmtId="176" fontId="13" fillId="0" borderId="10" xfId="17" applyNumberFormat="1" applyFont="1" applyBorder="1" applyAlignment="1">
      <alignment vertical="center"/>
    </xf>
    <xf numFmtId="176" fontId="13" fillId="0" borderId="3" xfId="17" applyNumberFormat="1" applyFont="1" applyBorder="1" applyAlignment="1">
      <alignment/>
    </xf>
    <xf numFmtId="176" fontId="13" fillId="0" borderId="9" xfId="0" applyNumberFormat="1" applyFont="1" applyBorder="1" applyAlignment="1">
      <alignment/>
    </xf>
    <xf numFmtId="176" fontId="13" fillId="0" borderId="9" xfId="17" applyNumberFormat="1" applyFont="1" applyFill="1" applyBorder="1" applyAlignment="1">
      <alignment vertical="center"/>
    </xf>
    <xf numFmtId="176" fontId="13" fillId="0" borderId="5" xfId="22" applyNumberFormat="1" applyFont="1" applyBorder="1" applyAlignment="1">
      <alignment vertical="center"/>
      <protection/>
    </xf>
    <xf numFmtId="176" fontId="13" fillId="0" borderId="1" xfId="17" applyNumberFormat="1" applyFont="1" applyFill="1" applyBorder="1" applyAlignment="1">
      <alignment vertical="center"/>
    </xf>
    <xf numFmtId="176" fontId="13" fillId="0" borderId="3" xfId="17" applyNumberFormat="1" applyFont="1" applyFill="1" applyBorder="1" applyAlignment="1">
      <alignment vertical="center"/>
    </xf>
    <xf numFmtId="176" fontId="7" fillId="0" borderId="1" xfId="22" applyNumberFormat="1" applyFont="1" applyFill="1" applyBorder="1" applyAlignment="1">
      <alignment horizontal="center" vertical="center" shrinkToFit="1"/>
      <protection/>
    </xf>
    <xf numFmtId="176" fontId="8" fillId="0" borderId="6" xfId="0" applyNumberFormat="1" applyFont="1" applyBorder="1" applyAlignment="1">
      <alignment/>
    </xf>
    <xf numFmtId="176" fontId="13" fillId="0" borderId="5" xfId="17" applyNumberFormat="1" applyFont="1" applyBorder="1" applyAlignment="1">
      <alignment vertical="center"/>
    </xf>
    <xf numFmtId="176" fontId="8" fillId="0" borderId="11" xfId="0" applyNumberFormat="1" applyFont="1" applyBorder="1" applyAlignment="1">
      <alignment/>
    </xf>
    <xf numFmtId="176" fontId="13" fillId="0" borderId="1" xfId="17" applyNumberFormat="1" applyFont="1" applyBorder="1" applyAlignment="1">
      <alignment/>
    </xf>
    <xf numFmtId="176" fontId="13" fillId="0" borderId="5" xfId="17" applyNumberFormat="1" applyFont="1" applyFill="1" applyBorder="1" applyAlignment="1">
      <alignment vertic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" xfId="0" applyFont="1" applyBorder="1" applyAlignment="1">
      <alignment/>
    </xf>
    <xf numFmtId="176" fontId="7" fillId="0" borderId="18" xfId="22" applyNumberFormat="1" applyFont="1" applyFill="1" applyBorder="1" applyAlignment="1">
      <alignment horizontal="center" vertical="center" shrinkToFit="1"/>
      <protection/>
    </xf>
    <xf numFmtId="176" fontId="13" fillId="0" borderId="19" xfId="0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20" xfId="17" applyNumberFormat="1" applyFont="1" applyBorder="1" applyAlignment="1">
      <alignment vertical="center"/>
    </xf>
    <xf numFmtId="176" fontId="13" fillId="0" borderId="21" xfId="0" applyNumberFormat="1" applyFont="1" applyBorder="1" applyAlignment="1">
      <alignment/>
    </xf>
    <xf numFmtId="176" fontId="13" fillId="0" borderId="22" xfId="17" applyNumberFormat="1" applyFont="1" applyBorder="1" applyAlignment="1">
      <alignment vertical="center"/>
    </xf>
    <xf numFmtId="176" fontId="13" fillId="0" borderId="22" xfId="17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20" xfId="17" applyNumberFormat="1" applyFont="1" applyFill="1" applyBorder="1" applyAlignment="1">
      <alignment vertical="center"/>
    </xf>
    <xf numFmtId="176" fontId="13" fillId="0" borderId="22" xfId="17" applyNumberFormat="1" applyFont="1" applyFill="1" applyBorder="1" applyAlignment="1">
      <alignment vertical="center"/>
    </xf>
    <xf numFmtId="176" fontId="13" fillId="0" borderId="23" xfId="17" applyNumberFormat="1" applyFont="1" applyFill="1" applyBorder="1" applyAlignment="1">
      <alignment vertical="center"/>
    </xf>
    <xf numFmtId="176" fontId="8" fillId="0" borderId="5" xfId="17" applyNumberFormat="1" applyFont="1" applyBorder="1" applyAlignment="1">
      <alignment/>
    </xf>
    <xf numFmtId="176" fontId="8" fillId="0" borderId="11" xfId="17" applyNumberFormat="1" applyFont="1" applyBorder="1" applyAlignment="1">
      <alignment/>
    </xf>
    <xf numFmtId="176" fontId="8" fillId="0" borderId="6" xfId="24" applyNumberFormat="1" applyFont="1" applyBorder="1" applyAlignment="1">
      <alignment horizontal="right"/>
      <protection/>
    </xf>
    <xf numFmtId="176" fontId="8" fillId="0" borderId="5" xfId="24" applyNumberFormat="1" applyFont="1" applyBorder="1" applyAlignment="1">
      <alignment horizontal="right"/>
      <protection/>
    </xf>
    <xf numFmtId="176" fontId="8" fillId="0" borderId="6" xfId="17" applyNumberFormat="1" applyFont="1" applyBorder="1" applyAlignment="1">
      <alignment horizontal="right"/>
    </xf>
    <xf numFmtId="176" fontId="14" fillId="0" borderId="5" xfId="22" applyNumberFormat="1" applyFont="1" applyFill="1" applyBorder="1" applyAlignment="1">
      <alignment vertical="center"/>
      <protection/>
    </xf>
    <xf numFmtId="176" fontId="15" fillId="0" borderId="1" xfId="17" applyNumberFormat="1" applyFont="1" applyFill="1" applyBorder="1" applyAlignment="1">
      <alignment vertical="center"/>
    </xf>
    <xf numFmtId="176" fontId="13" fillId="0" borderId="9" xfId="17" applyNumberFormat="1" applyFont="1" applyBorder="1" applyAlignment="1">
      <alignment/>
    </xf>
    <xf numFmtId="176" fontId="13" fillId="0" borderId="7" xfId="17" applyNumberFormat="1" applyFont="1" applyBorder="1" applyAlignment="1">
      <alignment/>
    </xf>
    <xf numFmtId="176" fontId="13" fillId="0" borderId="12" xfId="17" applyNumberFormat="1" applyFont="1" applyBorder="1" applyAlignment="1">
      <alignment/>
    </xf>
    <xf numFmtId="176" fontId="13" fillId="0" borderId="19" xfId="17" applyNumberFormat="1" applyFont="1" applyBorder="1" applyAlignment="1">
      <alignment/>
    </xf>
    <xf numFmtId="176" fontId="13" fillId="0" borderId="20" xfId="17" applyNumberFormat="1" applyFont="1" applyBorder="1" applyAlignment="1">
      <alignment/>
    </xf>
    <xf numFmtId="176" fontId="13" fillId="0" borderId="21" xfId="17" applyNumberFormat="1" applyFont="1" applyBorder="1" applyAlignment="1">
      <alignment/>
    </xf>
    <xf numFmtId="176" fontId="13" fillId="0" borderId="24" xfId="17" applyNumberFormat="1" applyFont="1" applyBorder="1" applyAlignment="1">
      <alignment/>
    </xf>
    <xf numFmtId="176" fontId="13" fillId="0" borderId="6" xfId="17" applyNumberFormat="1" applyFont="1" applyBorder="1" applyAlignment="1">
      <alignment/>
    </xf>
    <xf numFmtId="176" fontId="13" fillId="0" borderId="5" xfId="17" applyNumberFormat="1" applyFont="1" applyBorder="1" applyAlignment="1">
      <alignment/>
    </xf>
    <xf numFmtId="176" fontId="15" fillId="0" borderId="5" xfId="17" applyNumberFormat="1" applyFont="1" applyFill="1" applyBorder="1" applyAlignment="1">
      <alignment/>
    </xf>
    <xf numFmtId="176" fontId="15" fillId="0" borderId="5" xfId="17" applyNumberFormat="1" applyFont="1" applyBorder="1" applyAlignment="1">
      <alignment/>
    </xf>
    <xf numFmtId="176" fontId="13" fillId="0" borderId="7" xfId="24" applyNumberFormat="1" applyFont="1" applyBorder="1">
      <alignment/>
      <protection/>
    </xf>
    <xf numFmtId="176" fontId="13" fillId="0" borderId="5" xfId="24" applyNumberFormat="1" applyFont="1" applyBorder="1">
      <alignment/>
      <protection/>
    </xf>
    <xf numFmtId="0" fontId="13" fillId="0" borderId="9" xfId="24" applyFont="1" applyBorder="1">
      <alignment/>
      <protection/>
    </xf>
    <xf numFmtId="176" fontId="13" fillId="0" borderId="16" xfId="17" applyNumberFormat="1" applyFont="1" applyBorder="1" applyAlignment="1">
      <alignment/>
    </xf>
    <xf numFmtId="0" fontId="13" fillId="0" borderId="12" xfId="24" applyFont="1" applyBorder="1">
      <alignment/>
      <protection/>
    </xf>
    <xf numFmtId="176" fontId="13" fillId="0" borderId="7" xfId="17" applyNumberFormat="1" applyFont="1" applyBorder="1" applyAlignment="1">
      <alignment horizontal="right"/>
    </xf>
    <xf numFmtId="176" fontId="13" fillId="0" borderId="9" xfId="24" applyNumberFormat="1" applyFont="1" applyBorder="1">
      <alignment/>
      <protection/>
    </xf>
    <xf numFmtId="0" fontId="13" fillId="0" borderId="12" xfId="0" applyFont="1" applyBorder="1" applyAlignment="1">
      <alignment/>
    </xf>
    <xf numFmtId="0" fontId="13" fillId="0" borderId="19" xfId="0" applyFont="1" applyBorder="1" applyAlignment="1">
      <alignment/>
    </xf>
    <xf numFmtId="176" fontId="13" fillId="0" borderId="20" xfId="24" applyNumberFormat="1" applyFont="1" applyBorder="1">
      <alignment/>
      <protection/>
    </xf>
    <xf numFmtId="0" fontId="13" fillId="0" borderId="20" xfId="0" applyFont="1" applyBorder="1" applyAlignment="1">
      <alignment/>
    </xf>
    <xf numFmtId="176" fontId="13" fillId="0" borderId="25" xfId="0" applyNumberFormat="1" applyFont="1" applyBorder="1" applyAlignment="1">
      <alignment/>
    </xf>
    <xf numFmtId="0" fontId="13" fillId="0" borderId="21" xfId="0" applyFont="1" applyBorder="1" applyAlignment="1">
      <alignment/>
    </xf>
    <xf numFmtId="176" fontId="13" fillId="0" borderId="19" xfId="17" applyNumberFormat="1" applyFont="1" applyBorder="1" applyAlignment="1">
      <alignment horizontal="right"/>
    </xf>
    <xf numFmtId="0" fontId="13" fillId="0" borderId="24" xfId="0" applyFont="1" applyBorder="1" applyAlignment="1">
      <alignment/>
    </xf>
    <xf numFmtId="176" fontId="10" fillId="0" borderId="9" xfId="17" applyNumberFormat="1" applyFont="1" applyBorder="1" applyAlignment="1">
      <alignment/>
    </xf>
    <xf numFmtId="0" fontId="10" fillId="0" borderId="10" xfId="0" applyFont="1" applyBorder="1" applyAlignment="1">
      <alignment/>
    </xf>
    <xf numFmtId="176" fontId="10" fillId="0" borderId="5" xfId="23" applyNumberFormat="1" applyFont="1" applyBorder="1">
      <alignment/>
      <protection/>
    </xf>
    <xf numFmtId="0" fontId="12" fillId="0" borderId="10" xfId="0" applyFont="1" applyBorder="1" applyAlignment="1">
      <alignment/>
    </xf>
    <xf numFmtId="176" fontId="16" fillId="0" borderId="0" xfId="22" applyNumberFormat="1" applyFont="1" applyFill="1" applyBorder="1" applyAlignment="1">
      <alignment vertical="center"/>
      <protection/>
    </xf>
    <xf numFmtId="176" fontId="16" fillId="0" borderId="0" xfId="17" applyNumberFormat="1" applyFont="1" applyFill="1" applyBorder="1" applyAlignment="1">
      <alignment vertical="center"/>
    </xf>
    <xf numFmtId="176" fontId="13" fillId="0" borderId="11" xfId="17" applyNumberFormat="1" applyFont="1" applyBorder="1" applyAlignment="1">
      <alignment/>
    </xf>
    <xf numFmtId="176" fontId="13" fillId="0" borderId="12" xfId="17" applyNumberFormat="1" applyFont="1" applyBorder="1" applyAlignment="1">
      <alignment horizontal="right"/>
    </xf>
    <xf numFmtId="176" fontId="13" fillId="0" borderId="11" xfId="17" applyNumberFormat="1" applyFont="1" applyBorder="1" applyAlignment="1">
      <alignment horizontal="right"/>
    </xf>
    <xf numFmtId="176" fontId="13" fillId="0" borderId="21" xfId="17" applyNumberFormat="1" applyFont="1" applyBorder="1" applyAlignment="1">
      <alignment horizontal="right"/>
    </xf>
    <xf numFmtId="176" fontId="10" fillId="0" borderId="9" xfId="17" applyNumberFormat="1" applyFont="1" applyFill="1" applyBorder="1" applyAlignment="1">
      <alignment/>
    </xf>
    <xf numFmtId="176" fontId="8" fillId="0" borderId="12" xfId="24" applyNumberFormat="1" applyFont="1" applyBorder="1" applyAlignment="1">
      <alignment horizontal="right"/>
      <protection/>
    </xf>
    <xf numFmtId="176" fontId="13" fillId="2" borderId="9" xfId="17" applyNumberFormat="1" applyFont="1" applyFill="1" applyBorder="1" applyAlignment="1">
      <alignment vertic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17" fillId="0" borderId="0" xfId="22" applyNumberFormat="1" applyFont="1" applyFill="1" applyAlignment="1">
      <alignment horizontal="centerContinuous" vertical="center"/>
      <protection/>
    </xf>
    <xf numFmtId="176" fontId="13" fillId="0" borderId="17" xfId="17" applyNumberFormat="1" applyFont="1" applyBorder="1" applyAlignment="1">
      <alignment/>
    </xf>
    <xf numFmtId="176" fontId="10" fillId="3" borderId="5" xfId="24" applyNumberFormat="1" applyFont="1" applyFill="1" applyBorder="1">
      <alignment/>
      <protection/>
    </xf>
    <xf numFmtId="176" fontId="10" fillId="3" borderId="0" xfId="24" applyNumberFormat="1" applyFont="1" applyFill="1" applyBorder="1">
      <alignment/>
      <protection/>
    </xf>
    <xf numFmtId="176" fontId="10" fillId="3" borderId="10" xfId="24" applyNumberFormat="1" applyFont="1" applyFill="1" applyBorder="1">
      <alignment/>
      <protection/>
    </xf>
    <xf numFmtId="176" fontId="15" fillId="3" borderId="9" xfId="17" applyNumberFormat="1" applyFont="1" applyFill="1" applyBorder="1" applyAlignment="1">
      <alignment/>
    </xf>
    <xf numFmtId="176" fontId="15" fillId="3" borderId="5" xfId="17" applyNumberFormat="1" applyFont="1" applyFill="1" applyBorder="1" applyAlignment="1">
      <alignment/>
    </xf>
    <xf numFmtId="176" fontId="15" fillId="3" borderId="20" xfId="17" applyNumberFormat="1" applyFont="1" applyFill="1" applyBorder="1" applyAlignment="1">
      <alignment/>
    </xf>
    <xf numFmtId="176" fontId="10" fillId="3" borderId="0" xfId="23" applyNumberFormat="1" applyFont="1" applyFill="1" applyBorder="1">
      <alignment/>
      <protection/>
    </xf>
    <xf numFmtId="0" fontId="12" fillId="3" borderId="0" xfId="0" applyFont="1" applyFill="1" applyAlignment="1">
      <alignment/>
    </xf>
    <xf numFmtId="176" fontId="10" fillId="3" borderId="9" xfId="17" applyNumberFormat="1" applyFont="1" applyFill="1" applyBorder="1" applyAlignment="1">
      <alignment/>
    </xf>
    <xf numFmtId="176" fontId="10" fillId="4" borderId="9" xfId="17" applyNumberFormat="1" applyFont="1" applyFill="1" applyBorder="1" applyAlignment="1">
      <alignment/>
    </xf>
    <xf numFmtId="176" fontId="15" fillId="3" borderId="20" xfId="0" applyNumberFormat="1" applyFont="1" applyFill="1" applyBorder="1" applyAlignment="1">
      <alignment/>
    </xf>
    <xf numFmtId="176" fontId="10" fillId="5" borderId="9" xfId="17" applyNumberFormat="1" applyFont="1" applyFill="1" applyBorder="1" applyAlignment="1">
      <alignment/>
    </xf>
    <xf numFmtId="176" fontId="10" fillId="3" borderId="0" xfId="0" applyNumberFormat="1" applyFont="1" applyFill="1" applyAlignment="1">
      <alignment vertical="center"/>
    </xf>
    <xf numFmtId="176" fontId="10" fillId="3" borderId="9" xfId="24" applyNumberFormat="1" applyFont="1" applyFill="1" applyBorder="1">
      <alignment/>
      <protection/>
    </xf>
    <xf numFmtId="176" fontId="10" fillId="4" borderId="5" xfId="24" applyNumberFormat="1" applyFont="1" applyFill="1" applyBorder="1">
      <alignment/>
      <protection/>
    </xf>
    <xf numFmtId="176" fontId="10" fillId="4" borderId="9" xfId="24" applyNumberFormat="1" applyFont="1" applyFill="1" applyBorder="1">
      <alignment/>
      <protection/>
    </xf>
    <xf numFmtId="176" fontId="18" fillId="3" borderId="0" xfId="24" applyNumberFormat="1" applyFont="1" applyFill="1" applyBorder="1">
      <alignment/>
      <protection/>
    </xf>
    <xf numFmtId="176" fontId="18" fillId="3" borderId="9" xfId="17" applyNumberFormat="1" applyFont="1" applyFill="1" applyBorder="1" applyAlignment="1">
      <alignment/>
    </xf>
    <xf numFmtId="176" fontId="15" fillId="3" borderId="5" xfId="24" applyNumberFormat="1" applyFont="1" applyFill="1" applyBorder="1">
      <alignment/>
      <protection/>
    </xf>
    <xf numFmtId="176" fontId="15" fillId="4" borderId="9" xfId="17" applyNumberFormat="1" applyFont="1" applyFill="1" applyBorder="1" applyAlignment="1">
      <alignment/>
    </xf>
    <xf numFmtId="176" fontId="15" fillId="5" borderId="9" xfId="17" applyNumberFormat="1" applyFont="1" applyFill="1" applyBorder="1" applyAlignment="1">
      <alignment/>
    </xf>
    <xf numFmtId="176" fontId="10" fillId="3" borderId="5" xfId="22" applyNumberFormat="1" applyFont="1" applyFill="1" applyBorder="1" applyAlignment="1">
      <alignment vertical="center"/>
      <protection/>
    </xf>
    <xf numFmtId="176" fontId="10" fillId="3" borderId="0" xfId="17" applyNumberFormat="1" applyFont="1" applyFill="1" applyBorder="1" applyAlignment="1">
      <alignment vertical="center"/>
    </xf>
    <xf numFmtId="176" fontId="10" fillId="3" borderId="0" xfId="22" applyNumberFormat="1" applyFont="1" applyFill="1" applyBorder="1" applyAlignment="1">
      <alignment vertical="center"/>
      <protection/>
    </xf>
    <xf numFmtId="176" fontId="10" fillId="3" borderId="9" xfId="17" applyNumberFormat="1" applyFont="1" applyFill="1" applyBorder="1" applyAlignment="1">
      <alignment vertical="center"/>
    </xf>
    <xf numFmtId="176" fontId="15" fillId="3" borderId="9" xfId="0" applyNumberFormat="1" applyFont="1" applyFill="1" applyBorder="1" applyAlignment="1">
      <alignment/>
    </xf>
    <xf numFmtId="176" fontId="15" fillId="6" borderId="5" xfId="0" applyNumberFormat="1" applyFont="1" applyFill="1" applyBorder="1" applyAlignment="1">
      <alignment/>
    </xf>
    <xf numFmtId="176" fontId="8" fillId="3" borderId="5" xfId="22" applyNumberFormat="1" applyFont="1" applyFill="1" applyBorder="1" applyAlignment="1">
      <alignment vertical="center"/>
      <protection/>
    </xf>
    <xf numFmtId="176" fontId="8" fillId="3" borderId="0" xfId="17" applyNumberFormat="1" applyFont="1" applyFill="1" applyBorder="1" applyAlignment="1">
      <alignment vertical="center"/>
    </xf>
    <xf numFmtId="176" fontId="8" fillId="3" borderId="0" xfId="22" applyNumberFormat="1" applyFont="1" applyFill="1" applyBorder="1" applyAlignment="1">
      <alignment vertical="center"/>
      <protection/>
    </xf>
    <xf numFmtId="176" fontId="8" fillId="3" borderId="9" xfId="17" applyNumberFormat="1" applyFont="1" applyFill="1" applyBorder="1" applyAlignment="1">
      <alignment vertical="center"/>
    </xf>
    <xf numFmtId="176" fontId="8" fillId="3" borderId="10" xfId="17" applyNumberFormat="1" applyFont="1" applyFill="1" applyBorder="1" applyAlignment="1">
      <alignment vertical="center"/>
    </xf>
    <xf numFmtId="176" fontId="13" fillId="3" borderId="9" xfId="0" applyNumberFormat="1" applyFont="1" applyFill="1" applyBorder="1" applyAlignment="1">
      <alignment/>
    </xf>
    <xf numFmtId="176" fontId="8" fillId="3" borderId="5" xfId="0" applyNumberFormat="1" applyFont="1" applyFill="1" applyBorder="1" applyAlignment="1">
      <alignment/>
    </xf>
    <xf numFmtId="176" fontId="13" fillId="3" borderId="20" xfId="0" applyNumberFormat="1" applyFont="1" applyFill="1" applyBorder="1" applyAlignment="1">
      <alignment/>
    </xf>
    <xf numFmtId="176" fontId="10" fillId="6" borderId="9" xfId="17" applyNumberFormat="1" applyFont="1" applyFill="1" applyBorder="1" applyAlignment="1">
      <alignment vertical="center"/>
    </xf>
    <xf numFmtId="176" fontId="10" fillId="3" borderId="5" xfId="23" applyNumberFormat="1" applyFont="1" applyFill="1" applyBorder="1">
      <alignment/>
      <protection/>
    </xf>
    <xf numFmtId="176" fontId="10" fillId="6" borderId="9" xfId="17" applyNumberFormat="1" applyFont="1" applyFill="1" applyBorder="1" applyAlignment="1">
      <alignment/>
    </xf>
    <xf numFmtId="176" fontId="15" fillId="6" borderId="5" xfId="17" applyNumberFormat="1" applyFont="1" applyFill="1" applyBorder="1" applyAlignment="1">
      <alignment/>
    </xf>
    <xf numFmtId="0" fontId="10" fillId="3" borderId="0" xfId="0" applyFont="1" applyFill="1" applyAlignment="1">
      <alignment/>
    </xf>
    <xf numFmtId="176" fontId="10" fillId="7" borderId="9" xfId="17" applyNumberFormat="1" applyFont="1" applyFill="1" applyBorder="1" applyAlignment="1">
      <alignment/>
    </xf>
    <xf numFmtId="176" fontId="15" fillId="7" borderId="5" xfId="17" applyNumberFormat="1" applyFont="1" applyFill="1" applyBorder="1" applyAlignment="1">
      <alignment/>
    </xf>
    <xf numFmtId="0" fontId="10" fillId="3" borderId="5" xfId="23" applyFont="1" applyFill="1" applyBorder="1">
      <alignment/>
      <protection/>
    </xf>
    <xf numFmtId="0" fontId="10" fillId="3" borderId="0" xfId="23" applyFont="1" applyFill="1" applyBorder="1">
      <alignment/>
      <protection/>
    </xf>
    <xf numFmtId="176" fontId="8" fillId="0" borderId="10" xfId="17" applyNumberFormat="1" applyFont="1" applyBorder="1" applyAlignment="1">
      <alignment/>
    </xf>
    <xf numFmtId="176" fontId="19" fillId="0" borderId="9" xfId="17" applyNumberFormat="1" applyFont="1" applyBorder="1" applyAlignment="1">
      <alignment/>
    </xf>
    <xf numFmtId="176" fontId="20" fillId="0" borderId="9" xfId="17" applyNumberFormat="1" applyFont="1" applyBorder="1" applyAlignment="1">
      <alignment/>
    </xf>
    <xf numFmtId="176" fontId="21" fillId="6" borderId="9" xfId="17" applyNumberFormat="1" applyFont="1" applyFill="1" applyBorder="1" applyAlignment="1">
      <alignment/>
    </xf>
    <xf numFmtId="176" fontId="22" fillId="6" borderId="9" xfId="17" applyNumberFormat="1" applyFont="1" applyFill="1" applyBorder="1" applyAlignment="1">
      <alignment/>
    </xf>
    <xf numFmtId="176" fontId="21" fillId="3" borderId="5" xfId="17" applyNumberFormat="1" applyFont="1" applyFill="1" applyBorder="1" applyAlignment="1">
      <alignment/>
    </xf>
    <xf numFmtId="176" fontId="21" fillId="6" borderId="5" xfId="17" applyNumberFormat="1" applyFont="1" applyFill="1" applyBorder="1" applyAlignment="1">
      <alignment/>
    </xf>
    <xf numFmtId="176" fontId="19" fillId="0" borderId="9" xfId="17" applyNumberFormat="1" applyFont="1" applyBorder="1" applyAlignment="1">
      <alignment vertical="center"/>
    </xf>
    <xf numFmtId="176" fontId="19" fillId="0" borderId="5" xfId="0" applyNumberFormat="1" applyFont="1" applyBorder="1" applyAlignment="1">
      <alignment/>
    </xf>
    <xf numFmtId="176" fontId="21" fillId="6" borderId="5" xfId="0" applyNumberFormat="1" applyFont="1" applyFill="1" applyBorder="1" applyAlignment="1">
      <alignment/>
    </xf>
    <xf numFmtId="176" fontId="22" fillId="6" borderId="10" xfId="17" applyNumberFormat="1" applyFont="1" applyFill="1" applyBorder="1" applyAlignment="1">
      <alignment vertical="center"/>
    </xf>
    <xf numFmtId="176" fontId="20" fillId="0" borderId="10" xfId="17" applyNumberFormat="1" applyFont="1" applyBorder="1" applyAlignment="1">
      <alignment vertical="center"/>
    </xf>
    <xf numFmtId="38" fontId="8" fillId="0" borderId="9" xfId="17" applyFont="1" applyBorder="1" applyAlignment="1">
      <alignment/>
    </xf>
    <xf numFmtId="38" fontId="15" fillId="7" borderId="9" xfId="17" applyFont="1" applyFill="1" applyBorder="1" applyAlignment="1">
      <alignment/>
    </xf>
    <xf numFmtId="38" fontId="10" fillId="7" borderId="9" xfId="17" applyFont="1" applyFill="1" applyBorder="1" applyAlignment="1">
      <alignment/>
    </xf>
    <xf numFmtId="176" fontId="13" fillId="8" borderId="5" xfId="17" applyNumberFormat="1" applyFont="1" applyFill="1" applyBorder="1" applyAlignment="1">
      <alignment vertical="center"/>
    </xf>
    <xf numFmtId="176" fontId="20" fillId="8" borderId="0" xfId="17" applyNumberFormat="1" applyFont="1" applyFill="1" applyBorder="1" applyAlignment="1">
      <alignment vertical="center"/>
    </xf>
    <xf numFmtId="176" fontId="13" fillId="8" borderId="9" xfId="17" applyNumberFormat="1" applyFont="1" applyFill="1" applyBorder="1" applyAlignment="1">
      <alignment vertical="center"/>
    </xf>
    <xf numFmtId="0" fontId="23" fillId="0" borderId="10" xfId="0" applyFont="1" applyBorder="1" applyAlignment="1">
      <alignment/>
    </xf>
    <xf numFmtId="176" fontId="8" fillId="9" borderId="16" xfId="17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6" fontId="16" fillId="0" borderId="0" xfId="17" applyNumberFormat="1" applyFont="1" applyFill="1" applyBorder="1" applyAlignment="1">
      <alignment/>
    </xf>
    <xf numFmtId="176" fontId="16" fillId="0" borderId="6" xfId="0" applyNumberFormat="1" applyFont="1" applyFill="1" applyBorder="1" applyAlignment="1">
      <alignment/>
    </xf>
    <xf numFmtId="176" fontId="16" fillId="0" borderId="11" xfId="0" applyNumberFormat="1" applyFont="1" applyFill="1" applyBorder="1" applyAlignment="1">
      <alignment/>
    </xf>
    <xf numFmtId="176" fontId="16" fillId="0" borderId="2" xfId="17" applyNumberFormat="1" applyFont="1" applyFill="1" applyBorder="1" applyAlignment="1">
      <alignment vertical="center"/>
    </xf>
    <xf numFmtId="176" fontId="16" fillId="0" borderId="0" xfId="17" applyNumberFormat="1" applyFont="1" applyFill="1" applyAlignment="1">
      <alignment/>
    </xf>
    <xf numFmtId="176" fontId="16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176" fontId="16" fillId="0" borderId="0" xfId="0" applyNumberFormat="1" applyFont="1" applyFill="1" applyAlignment="1">
      <alignment horizontal="center"/>
    </xf>
    <xf numFmtId="176" fontId="16" fillId="0" borderId="0" xfId="0" applyNumberFormat="1" applyFont="1" applyAlignment="1">
      <alignment horizontal="right"/>
    </xf>
    <xf numFmtId="176" fontId="16" fillId="0" borderId="13" xfId="0" applyNumberFormat="1" applyFont="1" applyFill="1" applyBorder="1" applyAlignment="1">
      <alignment horizontal="center"/>
    </xf>
    <xf numFmtId="176" fontId="16" fillId="0" borderId="13" xfId="0" applyNumberFormat="1" applyFont="1" applyBorder="1" applyAlignment="1">
      <alignment horizontal="right"/>
    </xf>
    <xf numFmtId="176" fontId="16" fillId="0" borderId="8" xfId="0" applyNumberFormat="1" applyFont="1" applyFill="1" applyBorder="1" applyAlignment="1">
      <alignment/>
    </xf>
    <xf numFmtId="176" fontId="16" fillId="0" borderId="5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 horizontal="center"/>
    </xf>
    <xf numFmtId="176" fontId="16" fillId="0" borderId="10" xfId="0" applyNumberFormat="1" applyFont="1" applyFill="1" applyBorder="1" applyAlignment="1">
      <alignment/>
    </xf>
    <xf numFmtId="176" fontId="16" fillId="0" borderId="0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0" borderId="0" xfId="17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76" fontId="16" fillId="0" borderId="0" xfId="17" applyNumberFormat="1" applyFont="1" applyBorder="1" applyAlignment="1">
      <alignment horizontal="right"/>
    </xf>
    <xf numFmtId="176" fontId="16" fillId="0" borderId="0" xfId="0" applyNumberFormat="1" applyFont="1" applyAlignment="1">
      <alignment horizontal="center"/>
    </xf>
    <xf numFmtId="176" fontId="16" fillId="0" borderId="11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14" xfId="17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6" fillId="0" borderId="0" xfId="17" applyNumberFormat="1" applyFont="1" applyAlignment="1">
      <alignment/>
    </xf>
    <xf numFmtId="176" fontId="25" fillId="0" borderId="0" xfId="0" applyNumberFormat="1" applyFont="1" applyAlignment="1">
      <alignment/>
    </xf>
    <xf numFmtId="176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76" fontId="24" fillId="0" borderId="0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/>
    </xf>
    <xf numFmtId="176" fontId="16" fillId="0" borderId="0" xfId="0" applyNumberFormat="1" applyFont="1" applyFill="1" applyAlignment="1">
      <alignment horizontal="left"/>
    </xf>
    <xf numFmtId="176" fontId="16" fillId="0" borderId="0" xfId="0" applyNumberFormat="1" applyFont="1" applyFill="1" applyAlignment="1">
      <alignment horizontal="right"/>
    </xf>
    <xf numFmtId="176" fontId="16" fillId="0" borderId="13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176" fontId="16" fillId="0" borderId="14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 horizontal="right"/>
    </xf>
    <xf numFmtId="176" fontId="16" fillId="0" borderId="14" xfId="17" applyNumberFormat="1" applyFont="1" applyFill="1" applyBorder="1" applyAlignment="1">
      <alignment/>
    </xf>
    <xf numFmtId="176" fontId="16" fillId="0" borderId="15" xfId="0" applyNumberFormat="1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176" fontId="24" fillId="0" borderId="5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16" fillId="0" borderId="6" xfId="0" applyNumberFormat="1" applyFont="1" applyFill="1" applyBorder="1" applyAlignment="1">
      <alignment horizontal="center"/>
    </xf>
    <xf numFmtId="176" fontId="16" fillId="0" borderId="5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76" fontId="26" fillId="0" borderId="0" xfId="22" applyNumberFormat="1" applyFont="1" applyAlignment="1">
      <alignment vertical="center"/>
      <protection/>
    </xf>
    <xf numFmtId="176" fontId="26" fillId="0" borderId="0" xfId="22" applyNumberFormat="1" applyFont="1" applyAlignment="1">
      <alignment horizontal="center" vertical="center"/>
      <protection/>
    </xf>
    <xf numFmtId="0" fontId="26" fillId="0" borderId="0" xfId="0" applyFont="1" applyFill="1" applyAlignment="1">
      <alignment/>
    </xf>
    <xf numFmtId="176" fontId="16" fillId="0" borderId="0" xfId="22" applyNumberFormat="1" applyFont="1" applyAlignment="1">
      <alignment horizontal="left" vertical="center"/>
      <protection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176" fontId="16" fillId="0" borderId="13" xfId="22" applyNumberFormat="1" applyFont="1" applyBorder="1" applyAlignment="1">
      <alignment horizontal="center" vertical="center"/>
      <protection/>
    </xf>
    <xf numFmtId="176" fontId="16" fillId="0" borderId="13" xfId="22" applyNumberFormat="1" applyFont="1" applyBorder="1" applyAlignment="1">
      <alignment vertical="center"/>
      <protection/>
    </xf>
    <xf numFmtId="176" fontId="16" fillId="0" borderId="8" xfId="22" applyNumberFormat="1" applyFont="1" applyBorder="1" applyAlignment="1">
      <alignment horizontal="center" vertical="center"/>
      <protection/>
    </xf>
    <xf numFmtId="0" fontId="16" fillId="0" borderId="6" xfId="0" applyFont="1" applyBorder="1" applyAlignment="1">
      <alignment/>
    </xf>
    <xf numFmtId="0" fontId="16" fillId="0" borderId="13" xfId="0" applyFont="1" applyBorder="1" applyAlignment="1">
      <alignment/>
    </xf>
    <xf numFmtId="176" fontId="16" fillId="0" borderId="8" xfId="2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176" fontId="16" fillId="0" borderId="0" xfId="22" applyNumberFormat="1" applyFont="1" applyBorder="1" applyAlignment="1">
      <alignment vertical="center"/>
      <protection/>
    </xf>
    <xf numFmtId="176" fontId="16" fillId="0" borderId="0" xfId="22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/>
    </xf>
    <xf numFmtId="176" fontId="16" fillId="0" borderId="0" xfId="17" applyNumberFormat="1" applyFont="1" applyBorder="1" applyAlignment="1">
      <alignment vertical="center"/>
    </xf>
    <xf numFmtId="176" fontId="16" fillId="0" borderId="10" xfId="17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176" fontId="25" fillId="0" borderId="0" xfId="22" applyNumberFormat="1" applyFont="1" applyFill="1" applyAlignment="1">
      <alignment horizontal="centerContinuous" vertical="center"/>
      <protection/>
    </xf>
    <xf numFmtId="176" fontId="27" fillId="0" borderId="0" xfId="22" applyNumberFormat="1" applyFont="1" applyAlignment="1">
      <alignment horizontal="centerContinuous" vertical="center"/>
      <protection/>
    </xf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Alignment="1">
      <alignment/>
    </xf>
    <xf numFmtId="176" fontId="16" fillId="0" borderId="10" xfId="22" applyNumberFormat="1" applyFont="1" applyBorder="1" applyAlignment="1">
      <alignment horizontal="center" vertical="center"/>
      <protection/>
    </xf>
    <xf numFmtId="176" fontId="16" fillId="0" borderId="10" xfId="17" applyNumberFormat="1" applyFont="1" applyBorder="1" applyAlignment="1">
      <alignment vertical="center"/>
    </xf>
    <xf numFmtId="0" fontId="16" fillId="0" borderId="5" xfId="0" applyFont="1" applyBorder="1" applyAlignment="1">
      <alignment/>
    </xf>
    <xf numFmtId="176" fontId="16" fillId="0" borderId="2" xfId="17" applyNumberFormat="1" applyFont="1" applyBorder="1" applyAlignment="1">
      <alignment vertical="center"/>
    </xf>
    <xf numFmtId="176" fontId="16" fillId="0" borderId="4" xfId="17" applyNumberFormat="1" applyFont="1" applyFill="1" applyBorder="1" applyAlignment="1">
      <alignment vertical="center"/>
    </xf>
    <xf numFmtId="176" fontId="16" fillId="0" borderId="4" xfId="17" applyNumberFormat="1" applyFont="1" applyBorder="1" applyAlignment="1">
      <alignment vertical="center"/>
    </xf>
    <xf numFmtId="176" fontId="16" fillId="0" borderId="2" xfId="17" applyNumberFormat="1" applyFont="1" applyBorder="1" applyAlignment="1">
      <alignment vertical="center" shrinkToFit="1"/>
    </xf>
    <xf numFmtId="0" fontId="28" fillId="0" borderId="0" xfId="0" applyFont="1" applyAlignment="1">
      <alignment/>
    </xf>
    <xf numFmtId="176" fontId="16" fillId="0" borderId="13" xfId="22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176" fontId="16" fillId="0" borderId="1" xfId="17" applyNumberFormat="1" applyFont="1" applyBorder="1" applyAlignment="1">
      <alignment vertical="center"/>
    </xf>
    <xf numFmtId="176" fontId="16" fillId="0" borderId="0" xfId="22" applyNumberFormat="1" applyFont="1" applyBorder="1" applyAlignment="1">
      <alignment vertical="center" wrapText="1"/>
      <protection/>
    </xf>
    <xf numFmtId="0" fontId="16" fillId="0" borderId="1" xfId="0" applyFont="1" applyBorder="1" applyAlignment="1">
      <alignment/>
    </xf>
    <xf numFmtId="176" fontId="29" fillId="0" borderId="0" xfId="22" applyNumberFormat="1" applyFont="1" applyAlignment="1">
      <alignment horizontal="centerContinuous" vertical="center"/>
      <protection/>
    </xf>
    <xf numFmtId="58" fontId="16" fillId="0" borderId="0" xfId="22" applyNumberFormat="1" applyFont="1" applyBorder="1" applyAlignment="1">
      <alignment horizontal="center" vertical="center" shrinkToFit="1"/>
      <protection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/>
    </xf>
    <xf numFmtId="176" fontId="16" fillId="0" borderId="0" xfId="0" applyNumberFormat="1" applyFont="1" applyFill="1" applyBorder="1" applyAlignment="1">
      <alignment horizontal="center" vertical="center" shrinkToFit="1"/>
    </xf>
    <xf numFmtId="58" fontId="16" fillId="0" borderId="10" xfId="22" applyNumberFormat="1" applyFont="1" applyBorder="1" applyAlignment="1">
      <alignment horizontal="center" vertical="center"/>
      <protection/>
    </xf>
    <xf numFmtId="58" fontId="16" fillId="0" borderId="0" xfId="22" applyNumberFormat="1" applyFont="1" applyBorder="1" applyAlignment="1">
      <alignment horizontal="center" vertical="center"/>
      <protection/>
    </xf>
    <xf numFmtId="176" fontId="16" fillId="0" borderId="0" xfId="17" applyNumberFormat="1" applyFont="1" applyFill="1" applyBorder="1" applyAlignment="1">
      <alignment horizontal="right"/>
    </xf>
    <xf numFmtId="176" fontId="8" fillId="0" borderId="1" xfId="22" applyNumberFormat="1" applyFont="1" applyBorder="1" applyAlignment="1">
      <alignment horizontal="center" vertical="center"/>
      <protection/>
    </xf>
    <xf numFmtId="176" fontId="8" fillId="0" borderId="2" xfId="22" applyNumberFormat="1" applyFont="1" applyBorder="1" applyAlignment="1">
      <alignment horizontal="center" vertical="center"/>
      <protection/>
    </xf>
    <xf numFmtId="176" fontId="16" fillId="0" borderId="2" xfId="22" applyNumberFormat="1" applyFont="1" applyBorder="1" applyAlignment="1">
      <alignment horizontal="left" vertical="center"/>
      <protection/>
    </xf>
    <xf numFmtId="0" fontId="16" fillId="0" borderId="2" xfId="0" applyFont="1" applyBorder="1" applyAlignment="1">
      <alignment horizontal="left" vertical="center"/>
    </xf>
    <xf numFmtId="176" fontId="16" fillId="0" borderId="2" xfId="22" applyNumberFormat="1" applyFont="1" applyBorder="1" applyAlignment="1">
      <alignment horizontal="center" vertical="center" wrapText="1"/>
      <protection/>
    </xf>
    <xf numFmtId="176" fontId="16" fillId="0" borderId="0" xfId="22" applyNumberFormat="1" applyFont="1" applyBorder="1" applyAlignment="1">
      <alignment horizontal="left" vertical="center" shrinkToFit="1"/>
      <protection/>
    </xf>
    <xf numFmtId="0" fontId="16" fillId="0" borderId="0" xfId="0" applyFont="1" applyBorder="1" applyAlignment="1">
      <alignment horizontal="left" vertical="center" shrinkToFit="1"/>
    </xf>
    <xf numFmtId="176" fontId="16" fillId="0" borderId="0" xfId="0" applyNumberFormat="1" applyFont="1" applyFill="1" applyAlignment="1">
      <alignment horizontal="right"/>
    </xf>
    <xf numFmtId="176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176" fontId="17" fillId="0" borderId="0" xfId="0" applyNumberFormat="1" applyFont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１’業財" xfId="21"/>
    <cellStyle name="標準_Sheet1" xfId="22"/>
    <cellStyle name="標準_Sheet2" xfId="23"/>
    <cellStyle name="標準_Sheet3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266700</xdr:rowOff>
    </xdr:from>
    <xdr:to>
      <xdr:col>8</xdr:col>
      <xdr:colOff>0</xdr:colOff>
      <xdr:row>28</xdr:row>
      <xdr:rowOff>266700</xdr:rowOff>
    </xdr:to>
    <xdr:sp>
      <xdr:nvSpPr>
        <xdr:cNvPr id="1" name="Line 1"/>
        <xdr:cNvSpPr>
          <a:spLocks/>
        </xdr:cNvSpPr>
      </xdr:nvSpPr>
      <xdr:spPr>
        <a:xfrm>
          <a:off x="572452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420052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171450</xdr:rowOff>
    </xdr:from>
    <xdr:to>
      <xdr:col>9</xdr:col>
      <xdr:colOff>0</xdr:colOff>
      <xdr:row>33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6958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171450</xdr:rowOff>
    </xdr:from>
    <xdr:to>
      <xdr:col>9</xdr:col>
      <xdr:colOff>0</xdr:colOff>
      <xdr:row>33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6958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80" zoomScaleNormal="80" workbookViewId="0" topLeftCell="A1">
      <pane xSplit="3" ySplit="4" topLeftCell="D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875" style="1" customWidth="1"/>
    <col min="2" max="2" width="13.00390625" style="1" bestFit="1" customWidth="1"/>
    <col min="3" max="3" width="9.00390625" style="1" customWidth="1"/>
    <col min="4" max="4" width="22.00390625" style="1" customWidth="1"/>
    <col min="5" max="6" width="18.625" style="1" customWidth="1"/>
    <col min="7" max="7" width="19.375" style="1" customWidth="1"/>
    <col min="8" max="8" width="19.75390625" style="1" customWidth="1"/>
    <col min="9" max="9" width="19.375" style="1" customWidth="1"/>
    <col min="10" max="10" width="15.625" style="1" customWidth="1"/>
    <col min="11" max="12" width="10.50390625" style="1" bestFit="1" customWidth="1"/>
    <col min="13" max="13" width="17.25390625" style="1" bestFit="1" customWidth="1"/>
    <col min="14" max="16384" width="9.00390625" style="1" customWidth="1"/>
  </cols>
  <sheetData>
    <row r="1" spans="1:13" s="101" customFormat="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</row>
    <row r="2" spans="1:13" s="101" customFormat="1" ht="13.5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2"/>
    </row>
    <row r="3" spans="1:13" s="101" customFormat="1" ht="14.25" thickBot="1">
      <c r="A3" s="105" t="s">
        <v>23</v>
      </c>
      <c r="B3" s="113"/>
      <c r="C3" s="113"/>
      <c r="D3" s="113"/>
      <c r="E3" s="113"/>
      <c r="F3" s="114"/>
      <c r="G3" s="113"/>
      <c r="H3" s="113"/>
      <c r="I3" s="113"/>
      <c r="J3" s="114" t="s">
        <v>24</v>
      </c>
      <c r="K3" s="113"/>
      <c r="L3" s="113"/>
      <c r="M3" s="114"/>
    </row>
    <row r="4" spans="1:10" ht="13.5">
      <c r="A4" s="2"/>
      <c r="B4" s="3"/>
      <c r="C4" s="3"/>
      <c r="D4" s="4" t="s">
        <v>25</v>
      </c>
      <c r="E4" s="5" t="s">
        <v>26</v>
      </c>
      <c r="F4" s="6" t="s">
        <v>27</v>
      </c>
      <c r="G4" s="7" t="s">
        <v>28</v>
      </c>
      <c r="H4" s="127" t="s">
        <v>29</v>
      </c>
      <c r="I4" s="137" t="s">
        <v>30</v>
      </c>
      <c r="J4" s="90" t="s">
        <v>33</v>
      </c>
    </row>
    <row r="5" spans="1:10" ht="13.5">
      <c r="A5" s="75" t="s">
        <v>1</v>
      </c>
      <c r="B5" s="76"/>
      <c r="C5" s="76"/>
      <c r="D5" s="13"/>
      <c r="E5" s="13"/>
      <c r="F5" s="13"/>
      <c r="G5" s="115"/>
      <c r="H5" s="128"/>
      <c r="I5" s="138"/>
      <c r="J5" s="133"/>
    </row>
    <row r="6" spans="1:10" ht="13.5">
      <c r="A6" s="8" t="s">
        <v>3</v>
      </c>
      <c r="B6" s="77"/>
      <c r="C6" s="77"/>
      <c r="D6" s="17">
        <v>6761912090877</v>
      </c>
      <c r="E6" s="17">
        <v>3315892983113</v>
      </c>
      <c r="F6" s="17">
        <v>642025760</v>
      </c>
      <c r="G6" s="116">
        <f>D6+E6+F6</f>
        <v>10078447099750</v>
      </c>
      <c r="H6" s="72"/>
      <c r="I6" s="139">
        <f>G6+H6</f>
        <v>10078447099750</v>
      </c>
      <c r="J6" s="134"/>
    </row>
    <row r="7" spans="1:10" ht="13.5">
      <c r="A7" s="8" t="s">
        <v>5</v>
      </c>
      <c r="B7" s="77"/>
      <c r="C7" s="77"/>
      <c r="D7" s="117">
        <f aca="true" t="shared" si="0" ref="D7:I7">D8+D9+D10</f>
        <v>53725144702</v>
      </c>
      <c r="E7" s="117">
        <f t="shared" si="0"/>
        <v>42441592719</v>
      </c>
      <c r="F7" s="117">
        <f t="shared" si="0"/>
        <v>2428300</v>
      </c>
      <c r="G7" s="117">
        <f t="shared" si="0"/>
        <v>96169165721</v>
      </c>
      <c r="H7" s="257">
        <f t="shared" si="0"/>
        <v>-2428300</v>
      </c>
      <c r="I7" s="140">
        <f t="shared" si="0"/>
        <v>96166737421</v>
      </c>
      <c r="J7" s="134"/>
    </row>
    <row r="8" spans="1:10" ht="13.5">
      <c r="A8" s="8"/>
      <c r="B8" s="77" t="s">
        <v>7</v>
      </c>
      <c r="C8" s="77"/>
      <c r="D8" s="17">
        <v>0</v>
      </c>
      <c r="E8" s="17">
        <v>0</v>
      </c>
      <c r="F8" s="249">
        <f>71419393876-71419393876</f>
        <v>0</v>
      </c>
      <c r="G8" s="116">
        <f aca="true" t="shared" si="1" ref="G8:G14">D8+E8+F8</f>
        <v>0</v>
      </c>
      <c r="H8" s="249">
        <f>71419393876</f>
        <v>71419393876</v>
      </c>
      <c r="I8" s="139">
        <f aca="true" t="shared" si="2" ref="I8:I26">G8+H8</f>
        <v>71419393876</v>
      </c>
      <c r="J8" s="134"/>
    </row>
    <row r="9" spans="1:10" s="101" customFormat="1" ht="13.5">
      <c r="A9" s="219"/>
      <c r="B9" s="221" t="s">
        <v>120</v>
      </c>
      <c r="C9" s="221"/>
      <c r="D9" s="233">
        <v>37245304724</v>
      </c>
      <c r="E9" s="233">
        <v>34737294441</v>
      </c>
      <c r="F9" s="222">
        <v>0</v>
      </c>
      <c r="G9" s="223">
        <f t="shared" si="1"/>
        <v>71982599165</v>
      </c>
      <c r="H9" s="224">
        <f>-D9-E9</f>
        <v>-71982599165</v>
      </c>
      <c r="I9" s="208">
        <f t="shared" si="2"/>
        <v>0</v>
      </c>
      <c r="J9" s="184"/>
    </row>
    <row r="10" spans="1:10" ht="13.5">
      <c r="A10" s="8"/>
      <c r="B10" s="77" t="s">
        <v>9</v>
      </c>
      <c r="C10" s="77"/>
      <c r="D10" s="17">
        <v>16479839978</v>
      </c>
      <c r="E10" s="17">
        <v>7704298278</v>
      </c>
      <c r="F10" s="249">
        <f>565633589-565633589+1906100+522200</f>
        <v>2428300</v>
      </c>
      <c r="G10" s="116">
        <f t="shared" si="1"/>
        <v>24186566556</v>
      </c>
      <c r="H10" s="250">
        <f>-H9-H8-F10</f>
        <v>560776989</v>
      </c>
      <c r="I10" s="139">
        <f t="shared" si="2"/>
        <v>24747343545</v>
      </c>
      <c r="J10" s="134"/>
    </row>
    <row r="11" spans="1:10" ht="13.5">
      <c r="A11" s="8" t="s">
        <v>96</v>
      </c>
      <c r="B11" s="77"/>
      <c r="C11" s="77"/>
      <c r="D11" s="17"/>
      <c r="E11" s="17"/>
      <c r="F11" s="17"/>
      <c r="G11" s="116">
        <f t="shared" si="1"/>
        <v>0</v>
      </c>
      <c r="H11" s="72"/>
      <c r="I11" s="139">
        <f t="shared" si="2"/>
        <v>0</v>
      </c>
      <c r="J11" s="134"/>
    </row>
    <row r="12" spans="1:10" ht="13.5">
      <c r="A12" s="225" t="s">
        <v>87</v>
      </c>
      <c r="B12" s="227"/>
      <c r="C12" s="227"/>
      <c r="D12" s="228">
        <v>516037328</v>
      </c>
      <c r="E12" s="228">
        <v>125988432</v>
      </c>
      <c r="F12" s="228"/>
      <c r="G12" s="230">
        <f t="shared" si="1"/>
        <v>642025760</v>
      </c>
      <c r="H12" s="231">
        <v>-642025760</v>
      </c>
      <c r="I12" s="232">
        <f t="shared" si="2"/>
        <v>0</v>
      </c>
      <c r="J12" s="134"/>
    </row>
    <row r="13" spans="1:10" ht="13.5">
      <c r="A13" s="78" t="s">
        <v>11</v>
      </c>
      <c r="B13" s="79"/>
      <c r="C13" s="77"/>
      <c r="D13" s="17">
        <v>11095975</v>
      </c>
      <c r="E13" s="17">
        <v>14107150</v>
      </c>
      <c r="F13" s="17">
        <v>14400</v>
      </c>
      <c r="G13" s="116">
        <f t="shared" si="1"/>
        <v>25217525</v>
      </c>
      <c r="H13" s="72"/>
      <c r="I13" s="139">
        <f t="shared" si="2"/>
        <v>25217525</v>
      </c>
      <c r="J13" s="134"/>
    </row>
    <row r="14" spans="1:10" ht="13.5">
      <c r="A14" s="78"/>
      <c r="B14" s="79" t="s">
        <v>88</v>
      </c>
      <c r="C14" s="77"/>
      <c r="D14" s="17">
        <v>-29479112914</v>
      </c>
      <c r="E14" s="17">
        <v>-15877085000</v>
      </c>
      <c r="F14" s="17"/>
      <c r="G14" s="116">
        <f t="shared" si="1"/>
        <v>-45356197914</v>
      </c>
      <c r="H14" s="72"/>
      <c r="I14" s="139">
        <f t="shared" si="2"/>
        <v>-45356197914</v>
      </c>
      <c r="J14" s="134"/>
    </row>
    <row r="15" spans="1:10" ht="13.5">
      <c r="A15" s="8" t="s">
        <v>12</v>
      </c>
      <c r="B15" s="77"/>
      <c r="C15" s="77"/>
      <c r="D15" s="117">
        <f aca="true" t="shared" si="3" ref="D15:I15">D16+D17+D18+D19+D20+D21+D22</f>
        <v>141237872670</v>
      </c>
      <c r="E15" s="117">
        <f t="shared" si="3"/>
        <v>140506071692</v>
      </c>
      <c r="F15" s="117">
        <f t="shared" si="3"/>
        <v>484511356</v>
      </c>
      <c r="G15" s="117">
        <f t="shared" si="3"/>
        <v>282228455718</v>
      </c>
      <c r="H15" s="129">
        <f t="shared" si="3"/>
        <v>0</v>
      </c>
      <c r="I15" s="140">
        <f t="shared" si="3"/>
        <v>282228455718</v>
      </c>
      <c r="J15" s="134"/>
    </row>
    <row r="16" spans="1:10" ht="13.5">
      <c r="A16" s="8"/>
      <c r="B16" s="77" t="s">
        <v>89</v>
      </c>
      <c r="C16" s="77"/>
      <c r="D16" s="17">
        <v>52601872436</v>
      </c>
      <c r="E16" s="17">
        <v>62465560959</v>
      </c>
      <c r="F16" s="17"/>
      <c r="G16" s="116">
        <f aca="true" t="shared" si="4" ref="G16:G22">D16+E16+F16</f>
        <v>115067433395</v>
      </c>
      <c r="H16" s="16"/>
      <c r="I16" s="139">
        <f t="shared" si="2"/>
        <v>115067433395</v>
      </c>
      <c r="J16" s="134"/>
    </row>
    <row r="17" spans="1:10" ht="13.5">
      <c r="A17" s="8"/>
      <c r="B17" s="77" t="s">
        <v>90</v>
      </c>
      <c r="C17" s="77"/>
      <c r="D17" s="17">
        <v>266664946</v>
      </c>
      <c r="E17" s="17">
        <v>229099452</v>
      </c>
      <c r="F17" s="17"/>
      <c r="G17" s="116">
        <f t="shared" si="4"/>
        <v>495764398</v>
      </c>
      <c r="H17" s="16"/>
      <c r="I17" s="139">
        <f t="shared" si="2"/>
        <v>495764398</v>
      </c>
      <c r="J17" s="134"/>
    </row>
    <row r="18" spans="1:10" ht="13.5">
      <c r="A18" s="8"/>
      <c r="B18" s="77" t="s">
        <v>91</v>
      </c>
      <c r="C18" s="77"/>
      <c r="D18" s="17">
        <v>45170529473</v>
      </c>
      <c r="E18" s="17">
        <v>47275908704</v>
      </c>
      <c r="F18" s="17"/>
      <c r="G18" s="116">
        <f t="shared" si="4"/>
        <v>92446438177</v>
      </c>
      <c r="H18" s="16"/>
      <c r="I18" s="139">
        <f t="shared" si="2"/>
        <v>92446438177</v>
      </c>
      <c r="J18" s="134"/>
    </row>
    <row r="19" spans="1:10" ht="13.5">
      <c r="A19" s="8"/>
      <c r="B19" s="77" t="s">
        <v>92</v>
      </c>
      <c r="C19" s="77"/>
      <c r="D19" s="17">
        <v>22481650460</v>
      </c>
      <c r="E19" s="17">
        <v>19503568343</v>
      </c>
      <c r="F19" s="17"/>
      <c r="G19" s="116">
        <f t="shared" si="4"/>
        <v>41985218803</v>
      </c>
      <c r="H19" s="16"/>
      <c r="I19" s="139">
        <f t="shared" si="2"/>
        <v>41985218803</v>
      </c>
      <c r="J19" s="134"/>
    </row>
    <row r="20" spans="1:10" ht="13.5">
      <c r="A20" s="8"/>
      <c r="B20" s="77" t="s">
        <v>13</v>
      </c>
      <c r="C20" s="77"/>
      <c r="D20" s="17">
        <v>12909581937</v>
      </c>
      <c r="E20" s="17">
        <v>7261083234</v>
      </c>
      <c r="F20" s="17">
        <v>484511356</v>
      </c>
      <c r="G20" s="116">
        <f t="shared" si="4"/>
        <v>20655176527</v>
      </c>
      <c r="H20" s="72"/>
      <c r="I20" s="139">
        <f t="shared" si="2"/>
        <v>20655176527</v>
      </c>
      <c r="J20" s="134"/>
    </row>
    <row r="21" spans="1:10" ht="13.5">
      <c r="A21" s="225"/>
      <c r="B21" s="227" t="s">
        <v>137</v>
      </c>
      <c r="C21" s="227"/>
      <c r="D21" s="228"/>
      <c r="E21" s="228"/>
      <c r="F21" s="228"/>
      <c r="G21" s="230">
        <f t="shared" si="4"/>
        <v>0</v>
      </c>
      <c r="H21" s="231"/>
      <c r="I21" s="232">
        <f t="shared" si="2"/>
        <v>0</v>
      </c>
      <c r="J21" s="134"/>
    </row>
    <row r="22" spans="1:10" ht="13.5">
      <c r="A22" s="8"/>
      <c r="B22" s="77" t="s">
        <v>93</v>
      </c>
      <c r="C22" s="77"/>
      <c r="D22" s="17">
        <v>7807573418</v>
      </c>
      <c r="E22" s="17">
        <v>3770851000</v>
      </c>
      <c r="F22" s="17"/>
      <c r="G22" s="116">
        <f t="shared" si="4"/>
        <v>11578424418</v>
      </c>
      <c r="H22" s="72"/>
      <c r="I22" s="139">
        <f t="shared" si="2"/>
        <v>11578424418</v>
      </c>
      <c r="J22" s="134"/>
    </row>
    <row r="23" spans="1:10" ht="13.5">
      <c r="A23" s="8" t="s">
        <v>14</v>
      </c>
      <c r="B23" s="77"/>
      <c r="C23" s="77"/>
      <c r="D23" s="117">
        <f aca="true" t="shared" si="5" ref="D23:I23">D24+D25</f>
        <v>4932773002</v>
      </c>
      <c r="E23" s="117">
        <f t="shared" si="5"/>
        <v>3065671213</v>
      </c>
      <c r="F23" s="117">
        <f t="shared" si="5"/>
        <v>1233845920</v>
      </c>
      <c r="G23" s="117">
        <f t="shared" si="5"/>
        <v>9232290135</v>
      </c>
      <c r="H23" s="129">
        <f t="shared" si="5"/>
        <v>0</v>
      </c>
      <c r="I23" s="140">
        <f t="shared" si="5"/>
        <v>9232290135</v>
      </c>
      <c r="J23" s="134"/>
    </row>
    <row r="24" spans="1:10" ht="13.5">
      <c r="A24" s="8"/>
      <c r="B24" s="79" t="s">
        <v>16</v>
      </c>
      <c r="C24" s="77"/>
      <c r="D24" s="17">
        <v>4932773002</v>
      </c>
      <c r="E24" s="17">
        <v>371952000</v>
      </c>
      <c r="F24" s="17">
        <v>5616000</v>
      </c>
      <c r="G24" s="116">
        <f>D24+E24+F24</f>
        <v>5310341002</v>
      </c>
      <c r="H24" s="72"/>
      <c r="I24" s="139">
        <f t="shared" si="2"/>
        <v>5310341002</v>
      </c>
      <c r="J24" s="134"/>
    </row>
    <row r="25" spans="1:10" ht="13.5">
      <c r="A25" s="8"/>
      <c r="B25" s="79" t="s">
        <v>32</v>
      </c>
      <c r="C25" s="77"/>
      <c r="D25" s="17"/>
      <c r="E25" s="17">
        <v>2693719213</v>
      </c>
      <c r="F25" s="17">
        <v>1228229920</v>
      </c>
      <c r="G25" s="116">
        <f>D25+E25+F25</f>
        <v>3921949133</v>
      </c>
      <c r="H25" s="72"/>
      <c r="I25" s="139">
        <f t="shared" si="2"/>
        <v>3921949133</v>
      </c>
      <c r="J25" s="134"/>
    </row>
    <row r="26" spans="1:10" ht="13.5">
      <c r="A26" s="8" t="s">
        <v>143</v>
      </c>
      <c r="B26" s="79"/>
      <c r="C26" s="77"/>
      <c r="D26" s="17">
        <v>455520554900</v>
      </c>
      <c r="E26" s="17">
        <v>2067892184903</v>
      </c>
      <c r="F26" s="17"/>
      <c r="G26" s="116">
        <f>D26+E26+F26</f>
        <v>2523412739803</v>
      </c>
      <c r="H26" s="72"/>
      <c r="I26" s="139">
        <f t="shared" si="2"/>
        <v>2523412739803</v>
      </c>
      <c r="J26" s="134"/>
    </row>
    <row r="27" spans="1:10" ht="13.5">
      <c r="A27" s="8"/>
      <c r="B27" s="77"/>
      <c r="C27" s="77"/>
      <c r="D27" s="73"/>
      <c r="E27" s="73"/>
      <c r="F27" s="73"/>
      <c r="G27" s="118"/>
      <c r="H27" s="130"/>
      <c r="I27" s="141"/>
      <c r="J27" s="135"/>
    </row>
    <row r="28" spans="1:10" ht="13.5">
      <c r="A28" s="80" t="s">
        <v>21</v>
      </c>
      <c r="B28" s="81"/>
      <c r="C28" s="81"/>
      <c r="D28" s="119">
        <f aca="true" t="shared" si="6" ref="D28:I28">D6+D7+D11+D12+D13+D14+D15+D23+D26</f>
        <v>7388376456540</v>
      </c>
      <c r="E28" s="119">
        <f t="shared" si="6"/>
        <v>5554061514222</v>
      </c>
      <c r="F28" s="119">
        <f t="shared" si="6"/>
        <v>2362825736</v>
      </c>
      <c r="G28" s="119">
        <f t="shared" si="6"/>
        <v>12944800796498</v>
      </c>
      <c r="H28" s="119">
        <f t="shared" si="6"/>
        <v>-644454060</v>
      </c>
      <c r="I28" s="142">
        <f t="shared" si="6"/>
        <v>12944156342438</v>
      </c>
      <c r="J28" s="136"/>
    </row>
    <row r="29" spans="1:10" ht="13.5">
      <c r="A29" s="75" t="s">
        <v>2</v>
      </c>
      <c r="B29" s="82"/>
      <c r="C29" s="82"/>
      <c r="D29" s="14"/>
      <c r="E29" s="14"/>
      <c r="F29" s="15"/>
      <c r="G29" s="116"/>
      <c r="H29" s="72"/>
      <c r="I29" s="139"/>
      <c r="J29" s="134"/>
    </row>
    <row r="30" spans="1:10" ht="13.5">
      <c r="A30" s="8" t="s">
        <v>4</v>
      </c>
      <c r="B30" s="71"/>
      <c r="C30" s="77"/>
      <c r="D30" s="117">
        <f aca="true" t="shared" si="7" ref="D30:I30">D31+D32+D33</f>
        <v>16252529</v>
      </c>
      <c r="E30" s="120">
        <f t="shared" si="7"/>
        <v>4650172</v>
      </c>
      <c r="F30" s="253">
        <f t="shared" si="7"/>
        <v>4465800</v>
      </c>
      <c r="G30" s="120">
        <f t="shared" si="7"/>
        <v>25368501</v>
      </c>
      <c r="H30" s="258">
        <f t="shared" si="7"/>
        <v>-2428300</v>
      </c>
      <c r="I30" s="140">
        <f t="shared" si="7"/>
        <v>22940201</v>
      </c>
      <c r="J30" s="134"/>
    </row>
    <row r="31" spans="1:10" s="101" customFormat="1" ht="13.5">
      <c r="A31" s="219"/>
      <c r="B31" s="220" t="s">
        <v>123</v>
      </c>
      <c r="C31" s="221"/>
      <c r="D31" s="222"/>
      <c r="E31" s="222"/>
      <c r="F31" s="252">
        <f>37245304724-37245304724</f>
        <v>0</v>
      </c>
      <c r="G31" s="223">
        <f aca="true" t="shared" si="8" ref="G31:G38">D31+E31+F31</f>
        <v>0</v>
      </c>
      <c r="H31" s="251">
        <f>-F31</f>
        <v>0</v>
      </c>
      <c r="I31" s="208">
        <f aca="true" t="shared" si="9" ref="I31:I38">G31+H31</f>
        <v>0</v>
      </c>
      <c r="J31" s="184"/>
    </row>
    <row r="32" spans="1:10" s="101" customFormat="1" ht="13.5">
      <c r="A32" s="219"/>
      <c r="B32" s="220" t="s">
        <v>122</v>
      </c>
      <c r="C32" s="221"/>
      <c r="D32" s="222"/>
      <c r="E32" s="222"/>
      <c r="F32" s="252">
        <f>34737294441-34737294441</f>
        <v>0</v>
      </c>
      <c r="G32" s="223">
        <f t="shared" si="8"/>
        <v>0</v>
      </c>
      <c r="H32" s="251">
        <f>-F32</f>
        <v>0</v>
      </c>
      <c r="I32" s="208">
        <f t="shared" si="9"/>
        <v>0</v>
      </c>
      <c r="J32" s="184"/>
    </row>
    <row r="33" spans="1:10" ht="13.5">
      <c r="A33" s="225"/>
      <c r="B33" s="226" t="s">
        <v>121</v>
      </c>
      <c r="C33" s="227"/>
      <c r="D33" s="228">
        <v>16252529</v>
      </c>
      <c r="E33" s="228">
        <v>4650172</v>
      </c>
      <c r="F33" s="229">
        <f>2428300+2037500</f>
        <v>4465800</v>
      </c>
      <c r="G33" s="230">
        <f t="shared" si="8"/>
        <v>25368501</v>
      </c>
      <c r="H33" s="231">
        <f>H7</f>
        <v>-2428300</v>
      </c>
      <c r="I33" s="232">
        <f t="shared" si="9"/>
        <v>22940201</v>
      </c>
      <c r="J33" s="134"/>
    </row>
    <row r="34" spans="1:10" ht="13.5">
      <c r="A34" s="8" t="s">
        <v>94</v>
      </c>
      <c r="B34" s="71"/>
      <c r="C34" s="77"/>
      <c r="D34" s="17">
        <v>199989517000</v>
      </c>
      <c r="E34" s="17">
        <v>453268888000</v>
      </c>
      <c r="F34" s="18"/>
      <c r="G34" s="116">
        <f t="shared" si="8"/>
        <v>653258405000</v>
      </c>
      <c r="H34" s="72"/>
      <c r="I34" s="139">
        <f t="shared" si="9"/>
        <v>653258405000</v>
      </c>
      <c r="J34" s="134"/>
    </row>
    <row r="35" spans="1:10" ht="13.5">
      <c r="A35" s="8" t="s">
        <v>97</v>
      </c>
      <c r="B35" s="71"/>
      <c r="C35" s="77"/>
      <c r="D35" s="17">
        <v>37724175539</v>
      </c>
      <c r="E35" s="17"/>
      <c r="F35" s="18"/>
      <c r="G35" s="116">
        <f t="shared" si="8"/>
        <v>37724175539</v>
      </c>
      <c r="H35" s="72"/>
      <c r="I35" s="139">
        <f t="shared" si="9"/>
        <v>37724175539</v>
      </c>
      <c r="J35" s="134"/>
    </row>
    <row r="36" spans="1:10" ht="13.5">
      <c r="A36" s="8" t="s">
        <v>6</v>
      </c>
      <c r="B36" s="71"/>
      <c r="C36" s="77"/>
      <c r="D36" s="17"/>
      <c r="E36" s="17">
        <v>1775270642</v>
      </c>
      <c r="F36" s="229">
        <v>642025760</v>
      </c>
      <c r="G36" s="116">
        <f t="shared" si="8"/>
        <v>2417296402</v>
      </c>
      <c r="H36" s="231">
        <v>-642025760</v>
      </c>
      <c r="I36" s="139">
        <f t="shared" si="9"/>
        <v>1775270642</v>
      </c>
      <c r="J36" s="134"/>
    </row>
    <row r="37" spans="1:10" ht="13.5">
      <c r="A37" s="8" t="s">
        <v>8</v>
      </c>
      <c r="B37" s="71"/>
      <c r="C37" s="77"/>
      <c r="D37" s="17">
        <v>1199050000</v>
      </c>
      <c r="E37" s="17"/>
      <c r="F37" s="18">
        <v>546633221</v>
      </c>
      <c r="G37" s="116">
        <f t="shared" si="8"/>
        <v>1745683221</v>
      </c>
      <c r="H37" s="72"/>
      <c r="I37" s="139">
        <f t="shared" si="9"/>
        <v>1745683221</v>
      </c>
      <c r="J37" s="134"/>
    </row>
    <row r="38" spans="1:10" ht="13.5">
      <c r="A38" s="8" t="s">
        <v>10</v>
      </c>
      <c r="B38" s="71"/>
      <c r="C38" s="77"/>
      <c r="D38" s="17">
        <v>51434531089</v>
      </c>
      <c r="E38" s="17">
        <v>40781880643</v>
      </c>
      <c r="F38" s="18">
        <v>19873749239</v>
      </c>
      <c r="G38" s="116">
        <f t="shared" si="8"/>
        <v>112090160971</v>
      </c>
      <c r="H38" s="72"/>
      <c r="I38" s="139">
        <f t="shared" si="9"/>
        <v>112090160971</v>
      </c>
      <c r="J38" s="134"/>
    </row>
    <row r="39" spans="1:10" ht="13.5">
      <c r="A39" s="8" t="s">
        <v>119</v>
      </c>
      <c r="B39" s="71"/>
      <c r="C39" s="77"/>
      <c r="D39" s="17">
        <v>8576105000000</v>
      </c>
      <c r="E39" s="17"/>
      <c r="F39" s="18"/>
      <c r="G39" s="116">
        <f>D39+E39+F39</f>
        <v>8576105000000</v>
      </c>
      <c r="H39" s="72"/>
      <c r="I39" s="139">
        <f>G39+H39</f>
        <v>8576105000000</v>
      </c>
      <c r="J39" s="134"/>
    </row>
    <row r="40" spans="1:10" ht="13.5">
      <c r="A40" s="8"/>
      <c r="B40" s="71"/>
      <c r="C40" s="77"/>
      <c r="D40" s="17"/>
      <c r="E40" s="17"/>
      <c r="F40" s="18"/>
      <c r="G40" s="116"/>
      <c r="H40" s="72"/>
      <c r="I40" s="139"/>
      <c r="J40" s="134"/>
    </row>
    <row r="41" spans="1:10" ht="13.5">
      <c r="A41" s="80" t="s">
        <v>15</v>
      </c>
      <c r="B41" s="86"/>
      <c r="C41" s="81"/>
      <c r="D41" s="121">
        <f aca="true" t="shared" si="10" ref="D41:I41">D30+D34+D35+D36+D37+D38+D39</f>
        <v>8866468526157</v>
      </c>
      <c r="E41" s="121">
        <f t="shared" si="10"/>
        <v>495830689457</v>
      </c>
      <c r="F41" s="121">
        <f>F30+F34+F35+F36+F37+F38+F39</f>
        <v>21066874020</v>
      </c>
      <c r="G41" s="121">
        <f t="shared" si="10"/>
        <v>9383366089634</v>
      </c>
      <c r="H41" s="131">
        <f t="shared" si="10"/>
        <v>-644454060</v>
      </c>
      <c r="I41" s="143">
        <f t="shared" si="10"/>
        <v>9382721635574</v>
      </c>
      <c r="J41" s="136"/>
    </row>
    <row r="42" spans="1:10" ht="13.5">
      <c r="A42" s="8" t="s">
        <v>17</v>
      </c>
      <c r="B42" s="71"/>
      <c r="C42" s="77"/>
      <c r="D42" s="8"/>
      <c r="E42" s="8"/>
      <c r="F42" s="94"/>
      <c r="G42" s="122"/>
      <c r="H42" s="95"/>
      <c r="I42" s="144"/>
      <c r="J42" s="134"/>
    </row>
    <row r="43" spans="1:10" ht="13.5">
      <c r="A43" s="78" t="s">
        <v>18</v>
      </c>
      <c r="B43" s="85"/>
      <c r="C43" s="77"/>
      <c r="D43" s="123">
        <f>-9295580444147+1083141125016</f>
        <v>-8212439319131</v>
      </c>
      <c r="E43" s="123">
        <v>1745307381019</v>
      </c>
      <c r="F43" s="123">
        <f>F28-F41-F44-F47</f>
        <v>-18704048284</v>
      </c>
      <c r="G43" s="116">
        <f>D43+E43+F43</f>
        <v>-6485835986396</v>
      </c>
      <c r="H43" s="132">
        <f>H28-H41-H44-H47</f>
        <v>0</v>
      </c>
      <c r="I43" s="139">
        <f>G43+H43</f>
        <v>-6485835986396</v>
      </c>
      <c r="J43" s="134"/>
    </row>
    <row r="44" spans="1:10" ht="13.5">
      <c r="A44" s="8" t="s">
        <v>95</v>
      </c>
      <c r="B44" s="71"/>
      <c r="C44" s="77"/>
      <c r="D44" s="124">
        <f>D45+D46</f>
        <v>6519791290519</v>
      </c>
      <c r="E44" s="124">
        <f>E45+E46</f>
        <v>3313923443745</v>
      </c>
      <c r="F44" s="124">
        <f>F45+F46</f>
        <v>0</v>
      </c>
      <c r="G44" s="116">
        <f>D44+E44+F44</f>
        <v>9833714734264</v>
      </c>
      <c r="H44" s="124">
        <f>H45+H46</f>
        <v>0</v>
      </c>
      <c r="I44" s="139">
        <f>G44+H44</f>
        <v>9833714734264</v>
      </c>
      <c r="J44" s="134"/>
    </row>
    <row r="45" spans="1:10" ht="13.5">
      <c r="A45" s="8"/>
      <c r="B45" s="71" t="s">
        <v>80</v>
      </c>
      <c r="C45" s="77"/>
      <c r="D45" s="8">
        <v>6519791290519</v>
      </c>
      <c r="E45" s="8">
        <v>2935371726905</v>
      </c>
      <c r="F45" s="19"/>
      <c r="G45" s="116">
        <f>D45+E45+F45</f>
        <v>9455163017424</v>
      </c>
      <c r="H45" s="95"/>
      <c r="I45" s="139">
        <f>G45+H45</f>
        <v>9455163017424</v>
      </c>
      <c r="J45" s="134"/>
    </row>
    <row r="46" spans="1:10" ht="13.5">
      <c r="A46" s="8"/>
      <c r="B46" s="71" t="s">
        <v>81</v>
      </c>
      <c r="C46" s="77"/>
      <c r="D46" s="8"/>
      <c r="E46" s="8">
        <v>378551716840</v>
      </c>
      <c r="F46" s="19"/>
      <c r="G46" s="116">
        <f>D46+E46+F46</f>
        <v>378551716840</v>
      </c>
      <c r="H46" s="95"/>
      <c r="I46" s="139">
        <f>G46+H46</f>
        <v>378551716840</v>
      </c>
      <c r="J46" s="134"/>
    </row>
    <row r="47" spans="1:10" ht="13.5">
      <c r="A47" s="78" t="s">
        <v>118</v>
      </c>
      <c r="B47" s="85"/>
      <c r="C47" s="77"/>
      <c r="D47" s="21">
        <v>214555958995</v>
      </c>
      <c r="E47" s="21">
        <v>-999999999</v>
      </c>
      <c r="F47" s="22"/>
      <c r="G47" s="116">
        <f>D47+E47+F47</f>
        <v>213555958996</v>
      </c>
      <c r="H47" s="21"/>
      <c r="I47" s="139">
        <f>G47+H47</f>
        <v>213555958996</v>
      </c>
      <c r="J47" s="134"/>
    </row>
    <row r="48" spans="1:10" ht="13.5">
      <c r="A48" s="153" t="s">
        <v>19</v>
      </c>
      <c r="B48" s="85"/>
      <c r="C48" s="77"/>
      <c r="D48" s="21"/>
      <c r="E48" s="21"/>
      <c r="F48" s="22"/>
      <c r="G48" s="122"/>
      <c r="H48" s="95"/>
      <c r="I48" s="144"/>
      <c r="J48" s="134"/>
    </row>
    <row r="49" spans="1:10" ht="13.5">
      <c r="A49" s="20"/>
      <c r="B49" s="83"/>
      <c r="C49" s="84"/>
      <c r="D49" s="23"/>
      <c r="E49" s="23"/>
      <c r="F49" s="24"/>
      <c r="G49" s="122"/>
      <c r="H49" s="95"/>
      <c r="I49" s="144"/>
      <c r="J49" s="134"/>
    </row>
    <row r="50" spans="1:10" ht="13.5">
      <c r="A50" s="20" t="s">
        <v>20</v>
      </c>
      <c r="B50" s="83"/>
      <c r="C50" s="84"/>
      <c r="D50" s="125">
        <f aca="true" t="shared" si="11" ref="D50:I50">D44+D43+D47</f>
        <v>-1478092069617</v>
      </c>
      <c r="E50" s="125">
        <f t="shared" si="11"/>
        <v>5058230824765</v>
      </c>
      <c r="F50" s="125">
        <f t="shared" si="11"/>
        <v>-18704048284</v>
      </c>
      <c r="G50" s="125">
        <f t="shared" si="11"/>
        <v>3561434706864</v>
      </c>
      <c r="H50" s="154">
        <f t="shared" si="11"/>
        <v>0</v>
      </c>
      <c r="I50" s="146">
        <f t="shared" si="11"/>
        <v>3561434706864</v>
      </c>
      <c r="J50" s="136"/>
    </row>
    <row r="51" spans="1:10" ht="14.25" thickBot="1">
      <c r="A51" s="361" t="s">
        <v>22</v>
      </c>
      <c r="B51" s="362"/>
      <c r="C51" s="362"/>
      <c r="D51" s="125">
        <f aca="true" t="shared" si="12" ref="D51:I51">D41+D50</f>
        <v>7388376456540</v>
      </c>
      <c r="E51" s="125">
        <f t="shared" si="12"/>
        <v>5554061514222</v>
      </c>
      <c r="F51" s="126">
        <f t="shared" si="12"/>
        <v>2362825736</v>
      </c>
      <c r="G51" s="125">
        <f t="shared" si="12"/>
        <v>12944800796498</v>
      </c>
      <c r="H51" s="125">
        <f t="shared" si="12"/>
        <v>-644454060</v>
      </c>
      <c r="I51" s="147">
        <f t="shared" si="12"/>
        <v>12944156342438</v>
      </c>
      <c r="J51" s="136"/>
    </row>
    <row r="55" ht="13.5">
      <c r="D55" s="194"/>
    </row>
    <row r="56" ht="13.5">
      <c r="D56" s="194"/>
    </row>
  </sheetData>
  <mergeCells count="1">
    <mergeCell ref="A51:C5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workbookViewId="0" topLeftCell="A1">
      <pane xSplit="8" ySplit="4" topLeftCell="I41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E48" sqref="E48"/>
    </sheetView>
  </sheetViews>
  <sheetFormatPr defaultColWidth="9.00390625" defaultRowHeight="12.75" customHeight="1"/>
  <cols>
    <col min="1" max="1" width="2.625" style="1" customWidth="1"/>
    <col min="2" max="6" width="1.625" style="1" customWidth="1"/>
    <col min="7" max="7" width="9.00390625" style="1" customWidth="1"/>
    <col min="8" max="10" width="19.75390625" style="1" customWidth="1"/>
    <col min="11" max="13" width="21.00390625" style="1" customWidth="1"/>
    <col min="14" max="14" width="19.75390625" style="1" customWidth="1"/>
    <col min="15" max="15" width="19.375" style="1" customWidth="1"/>
    <col min="16" max="16384" width="9.00390625" style="1" customWidth="1"/>
  </cols>
  <sheetData>
    <row r="1" spans="1:15" s="101" customFormat="1" ht="18.7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100"/>
      <c r="O1" s="100"/>
    </row>
    <row r="2" spans="1:13" s="101" customFormat="1" ht="12.75" customHeight="1">
      <c r="A2" s="102" t="s">
        <v>67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3"/>
      <c r="M2" s="103"/>
    </row>
    <row r="3" spans="1:15" s="101" customFormat="1" ht="12.75" customHeight="1" thickBot="1">
      <c r="A3" s="105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103"/>
      <c r="M3" s="103"/>
      <c r="O3" s="106" t="s">
        <v>24</v>
      </c>
    </row>
    <row r="4" spans="1:16" ht="12.75" customHeight="1">
      <c r="A4" s="38"/>
      <c r="B4" s="40"/>
      <c r="C4" s="40"/>
      <c r="D4" s="40"/>
      <c r="E4" s="40"/>
      <c r="F4" s="40"/>
      <c r="G4" s="40"/>
      <c r="H4" s="41"/>
      <c r="I4" s="4" t="s">
        <v>25</v>
      </c>
      <c r="J4" s="5" t="s">
        <v>26</v>
      </c>
      <c r="K4" s="6" t="s">
        <v>27</v>
      </c>
      <c r="L4" s="7" t="s">
        <v>28</v>
      </c>
      <c r="M4" s="127" t="s">
        <v>29</v>
      </c>
      <c r="N4" s="137" t="s">
        <v>30</v>
      </c>
      <c r="O4" s="90" t="s">
        <v>33</v>
      </c>
      <c r="P4" s="39"/>
    </row>
    <row r="5" spans="1:15" ht="12.75" customHeight="1">
      <c r="A5" s="42" t="s">
        <v>83</v>
      </c>
      <c r="B5" s="54"/>
      <c r="C5" s="54" t="s">
        <v>54</v>
      </c>
      <c r="D5" s="54"/>
      <c r="E5" s="54"/>
      <c r="F5" s="54"/>
      <c r="G5" s="54"/>
      <c r="H5" s="55"/>
      <c r="I5" s="42"/>
      <c r="J5" s="43"/>
      <c r="K5" s="25"/>
      <c r="L5" s="166"/>
      <c r="M5" s="150"/>
      <c r="N5" s="174"/>
      <c r="O5" s="44"/>
    </row>
    <row r="6" spans="1:15" ht="12.75" customHeight="1">
      <c r="A6" s="45"/>
      <c r="B6" s="56"/>
      <c r="C6" s="56"/>
      <c r="D6" s="56" t="s">
        <v>108</v>
      </c>
      <c r="F6" s="56"/>
      <c r="G6" s="56"/>
      <c r="H6" s="57"/>
      <c r="I6" s="167">
        <f aca="true" t="shared" si="0" ref="I6:N6">I7+I8+I9+I10+I11+I12+I13+I14+I15</f>
        <v>-1149750299566</v>
      </c>
      <c r="J6" s="167">
        <f t="shared" si="0"/>
        <v>-3269910959212</v>
      </c>
      <c r="K6" s="167">
        <f t="shared" si="0"/>
        <v>-99922032067</v>
      </c>
      <c r="L6" s="167">
        <f t="shared" si="0"/>
        <v>-4519583290845</v>
      </c>
      <c r="M6" s="167">
        <f t="shared" si="0"/>
        <v>0</v>
      </c>
      <c r="N6" s="175">
        <f t="shared" si="0"/>
        <v>-4519583290845</v>
      </c>
      <c r="O6" s="47"/>
    </row>
    <row r="7" spans="1:15" ht="12.75" customHeight="1">
      <c r="A7" s="45"/>
      <c r="B7" s="56"/>
      <c r="C7" s="56"/>
      <c r="D7" s="56"/>
      <c r="E7" s="56" t="s">
        <v>84</v>
      </c>
      <c r="F7" s="56"/>
      <c r="H7" s="57"/>
      <c r="I7" s="45">
        <v>-825025164105</v>
      </c>
      <c r="J7" s="46"/>
      <c r="K7" s="26"/>
      <c r="L7" s="155">
        <f aca="true" t="shared" si="1" ref="L7:L14">I7+J7+K7</f>
        <v>-825025164105</v>
      </c>
      <c r="M7" s="151"/>
      <c r="N7" s="139">
        <f aca="true" t="shared" si="2" ref="N7:N14">L7+M7</f>
        <v>-825025164105</v>
      </c>
      <c r="O7" s="47"/>
    </row>
    <row r="8" spans="1:15" ht="12.75" customHeight="1">
      <c r="A8" s="45"/>
      <c r="B8" s="56"/>
      <c r="C8" s="56"/>
      <c r="D8" s="56"/>
      <c r="E8" s="56" t="s">
        <v>85</v>
      </c>
      <c r="F8" s="56"/>
      <c r="H8" s="57"/>
      <c r="I8" s="45">
        <v>-145132831683</v>
      </c>
      <c r="J8" s="46"/>
      <c r="K8" s="26"/>
      <c r="L8" s="155">
        <f t="shared" si="1"/>
        <v>-145132831683</v>
      </c>
      <c r="M8" s="151"/>
      <c r="N8" s="139">
        <f t="shared" si="2"/>
        <v>-145132831683</v>
      </c>
      <c r="O8" s="47"/>
    </row>
    <row r="9" spans="1:15" ht="12.75" customHeight="1">
      <c r="A9" s="45"/>
      <c r="B9" s="56"/>
      <c r="C9" s="56"/>
      <c r="D9" s="56"/>
      <c r="E9" s="56" t="s">
        <v>70</v>
      </c>
      <c r="F9" s="56"/>
      <c r="H9" s="57"/>
      <c r="I9" s="45"/>
      <c r="J9" s="46">
        <v>-2654979834721</v>
      </c>
      <c r="K9" s="26"/>
      <c r="L9" s="155">
        <f t="shared" si="1"/>
        <v>-2654979834721</v>
      </c>
      <c r="M9" s="151"/>
      <c r="N9" s="139">
        <f t="shared" si="2"/>
        <v>-2654979834721</v>
      </c>
      <c r="O9" s="47"/>
    </row>
    <row r="10" spans="1:15" ht="12.75" customHeight="1">
      <c r="A10" s="45"/>
      <c r="B10" s="56"/>
      <c r="C10" s="56"/>
      <c r="D10" s="56"/>
      <c r="E10" s="56" t="s">
        <v>98</v>
      </c>
      <c r="F10" s="56"/>
      <c r="H10" s="57"/>
      <c r="I10" s="45"/>
      <c r="J10" s="46">
        <v>-193568365272</v>
      </c>
      <c r="K10" s="26"/>
      <c r="L10" s="155">
        <f t="shared" si="1"/>
        <v>-193568365272</v>
      </c>
      <c r="M10" s="151"/>
      <c r="N10" s="139">
        <f t="shared" si="2"/>
        <v>-193568365272</v>
      </c>
      <c r="O10" s="47"/>
    </row>
    <row r="11" spans="1:15" ht="12.75" customHeight="1">
      <c r="A11" s="45"/>
      <c r="B11" s="56"/>
      <c r="C11" s="56"/>
      <c r="D11" s="56"/>
      <c r="E11" s="56" t="s">
        <v>36</v>
      </c>
      <c r="F11" s="56"/>
      <c r="H11" s="57"/>
      <c r="I11" s="45">
        <v>-30705836754</v>
      </c>
      <c r="J11" s="46">
        <v>-42848801853</v>
      </c>
      <c r="K11" s="26">
        <v>-12845789979</v>
      </c>
      <c r="L11" s="155">
        <f t="shared" si="1"/>
        <v>-86400428586</v>
      </c>
      <c r="M11" s="151"/>
      <c r="N11" s="139">
        <f t="shared" si="2"/>
        <v>-86400428586</v>
      </c>
      <c r="O11" s="47"/>
    </row>
    <row r="12" spans="1:15" ht="12.75" customHeight="1">
      <c r="A12" s="45"/>
      <c r="B12" s="56"/>
      <c r="C12" s="56"/>
      <c r="D12" s="56"/>
      <c r="E12" s="56" t="s">
        <v>74</v>
      </c>
      <c r="F12" s="56"/>
      <c r="H12" s="57"/>
      <c r="I12" s="45">
        <v>-599497952</v>
      </c>
      <c r="J12" s="46">
        <v>-1057684654</v>
      </c>
      <c r="K12" s="26"/>
      <c r="L12" s="155">
        <f t="shared" si="1"/>
        <v>-1657182606</v>
      </c>
      <c r="M12" s="151"/>
      <c r="N12" s="139">
        <f t="shared" si="2"/>
        <v>-1657182606</v>
      </c>
      <c r="O12" s="47"/>
    </row>
    <row r="13" spans="1:15" ht="12.75" customHeight="1">
      <c r="A13" s="45"/>
      <c r="B13" s="56"/>
      <c r="C13" s="56"/>
      <c r="D13" s="56"/>
      <c r="E13" s="56" t="s">
        <v>39</v>
      </c>
      <c r="F13" s="56"/>
      <c r="H13" s="57"/>
      <c r="I13" s="45">
        <v>-57474741231</v>
      </c>
      <c r="J13" s="46">
        <v>-32821797916</v>
      </c>
      <c r="K13" s="26">
        <v>-863414000</v>
      </c>
      <c r="L13" s="155">
        <f t="shared" si="1"/>
        <v>-91159953147</v>
      </c>
      <c r="M13" s="151"/>
      <c r="N13" s="139">
        <f t="shared" si="2"/>
        <v>-91159953147</v>
      </c>
      <c r="O13" s="47"/>
    </row>
    <row r="14" spans="1:15" ht="12.75" customHeight="1">
      <c r="A14" s="45"/>
      <c r="B14" s="56"/>
      <c r="C14" s="56"/>
      <c r="D14" s="56"/>
      <c r="E14" s="56" t="s">
        <v>73</v>
      </c>
      <c r="F14" s="56"/>
      <c r="H14" s="57"/>
      <c r="I14" s="45">
        <v>-48012339154</v>
      </c>
      <c r="J14" s="46">
        <v>-267543298600</v>
      </c>
      <c r="K14" s="26"/>
      <c r="L14" s="155">
        <f t="shared" si="1"/>
        <v>-315555637754</v>
      </c>
      <c r="M14" s="151"/>
      <c r="N14" s="139">
        <f t="shared" si="2"/>
        <v>-315555637754</v>
      </c>
      <c r="O14" s="47"/>
    </row>
    <row r="15" spans="1:15" ht="12.75" customHeight="1">
      <c r="A15" s="45"/>
      <c r="B15" s="56"/>
      <c r="C15" s="56"/>
      <c r="D15" s="56"/>
      <c r="E15" s="56" t="s">
        <v>55</v>
      </c>
      <c r="F15" s="56"/>
      <c r="H15" s="57"/>
      <c r="I15" s="155">
        <f aca="true" t="shared" si="3" ref="I15:N15">I16+I17</f>
        <v>-42799888687</v>
      </c>
      <c r="J15" s="155">
        <f t="shared" si="3"/>
        <v>-77091176196</v>
      </c>
      <c r="K15" s="155">
        <f t="shared" si="3"/>
        <v>-86212828088</v>
      </c>
      <c r="L15" s="155">
        <f t="shared" si="3"/>
        <v>-206103892971</v>
      </c>
      <c r="M15" s="163">
        <f t="shared" si="3"/>
        <v>0</v>
      </c>
      <c r="N15" s="159">
        <f t="shared" si="3"/>
        <v>-206103892971</v>
      </c>
      <c r="O15" s="47"/>
    </row>
    <row r="16" spans="1:15" ht="12.75" customHeight="1">
      <c r="A16" s="45"/>
      <c r="B16" s="56"/>
      <c r="C16" s="56"/>
      <c r="D16" s="56"/>
      <c r="E16" s="56"/>
      <c r="F16" s="56" t="s">
        <v>41</v>
      </c>
      <c r="H16" s="57"/>
      <c r="I16" s="45"/>
      <c r="J16" s="46"/>
      <c r="K16" s="26">
        <v>-60960221395</v>
      </c>
      <c r="L16" s="155">
        <f>I16+J16+K16</f>
        <v>-60960221395</v>
      </c>
      <c r="M16" s="45"/>
      <c r="N16" s="139">
        <f>L16+M16</f>
        <v>-60960221395</v>
      </c>
      <c r="O16" s="47"/>
    </row>
    <row r="17" spans="1:15" ht="12.75" customHeight="1">
      <c r="A17" s="45"/>
      <c r="B17" s="56"/>
      <c r="C17" s="56"/>
      <c r="D17" s="56"/>
      <c r="E17" s="56"/>
      <c r="F17" s="56" t="s">
        <v>56</v>
      </c>
      <c r="H17" s="57"/>
      <c r="I17" s="45">
        <v>-42799888687</v>
      </c>
      <c r="J17" s="46">
        <v>-77091176196</v>
      </c>
      <c r="K17" s="26">
        <f>-25378606693-K33</f>
        <v>-25252606693</v>
      </c>
      <c r="L17" s="155">
        <f>I17+J17+K17</f>
        <v>-145143671576</v>
      </c>
      <c r="M17" s="45"/>
      <c r="N17" s="139">
        <f>L17+M17</f>
        <v>-145143671576</v>
      </c>
      <c r="O17" s="47"/>
    </row>
    <row r="18" spans="1:15" ht="12.75" customHeight="1">
      <c r="A18" s="52"/>
      <c r="B18" s="62"/>
      <c r="C18" s="62"/>
      <c r="D18" s="62"/>
      <c r="E18" s="62"/>
      <c r="F18" s="62"/>
      <c r="G18" s="62"/>
      <c r="H18" s="63"/>
      <c r="I18" s="52"/>
      <c r="J18" s="53"/>
      <c r="K18" s="53"/>
      <c r="L18" s="168"/>
      <c r="M18" s="52"/>
      <c r="N18" s="176"/>
      <c r="O18" s="47"/>
    </row>
    <row r="19" spans="1:15" ht="12.75" customHeight="1">
      <c r="A19" s="45"/>
      <c r="B19" s="56"/>
      <c r="C19" s="56"/>
      <c r="D19" s="60" t="s">
        <v>109</v>
      </c>
      <c r="F19" s="60"/>
      <c r="G19" s="60"/>
      <c r="H19" s="61"/>
      <c r="I19" s="155">
        <f aca="true" t="shared" si="4" ref="I19:N19">I21+I22+I23+I24+I27+I31+I34+I38+I39+I40+I41</f>
        <v>1499591481274</v>
      </c>
      <c r="J19" s="155">
        <f t="shared" si="4"/>
        <v>3210740303869</v>
      </c>
      <c r="K19" s="155">
        <f t="shared" si="4"/>
        <v>100806624028</v>
      </c>
      <c r="L19" s="155">
        <f t="shared" si="4"/>
        <v>4811138409171</v>
      </c>
      <c r="M19" s="163">
        <f t="shared" si="4"/>
        <v>-1073422949</v>
      </c>
      <c r="N19" s="159">
        <f t="shared" si="4"/>
        <v>4810064986222</v>
      </c>
      <c r="O19" s="47"/>
    </row>
    <row r="20" spans="1:15" s="101" customFormat="1" ht="12.75" customHeight="1">
      <c r="A20" s="198"/>
      <c r="B20" s="199"/>
      <c r="C20" s="199"/>
      <c r="D20" s="199"/>
      <c r="E20" s="199" t="s">
        <v>142</v>
      </c>
      <c r="F20" s="199"/>
      <c r="G20" s="199"/>
      <c r="H20" s="200"/>
      <c r="I20" s="201">
        <f>I21+I22+I23</f>
        <v>0</v>
      </c>
      <c r="J20" s="201">
        <f>J21+J22+J23</f>
        <v>0</v>
      </c>
      <c r="K20" s="201">
        <f>K21+K22+K23</f>
        <v>3108387114381</v>
      </c>
      <c r="L20" s="201">
        <f aca="true" t="shared" si="5" ref="L20:L47">I20+J20+K20</f>
        <v>3108387114381</v>
      </c>
      <c r="M20" s="202"/>
      <c r="N20" s="208">
        <f>L20+M20</f>
        <v>3108387114381</v>
      </c>
      <c r="O20" s="182"/>
    </row>
    <row r="21" spans="1:15" ht="12.75" customHeight="1">
      <c r="A21" s="45"/>
      <c r="B21" s="56"/>
      <c r="C21" s="56"/>
      <c r="D21" s="56"/>
      <c r="F21" s="56" t="s">
        <v>46</v>
      </c>
      <c r="G21" s="56"/>
      <c r="H21" s="57"/>
      <c r="I21" s="45"/>
      <c r="J21" s="46"/>
      <c r="K21" s="26">
        <v>3106480328216</v>
      </c>
      <c r="L21" s="155">
        <f t="shared" si="5"/>
        <v>3106480328216</v>
      </c>
      <c r="M21" s="45"/>
      <c r="N21" s="139">
        <f>L21+M21</f>
        <v>3106480328216</v>
      </c>
      <c r="O21" s="47"/>
    </row>
    <row r="22" spans="1:15" s="101" customFormat="1" ht="12.75" customHeight="1">
      <c r="A22" s="198"/>
      <c r="B22" s="199"/>
      <c r="C22" s="199"/>
      <c r="D22" s="199"/>
      <c r="E22" s="205"/>
      <c r="F22" s="214" t="s">
        <v>57</v>
      </c>
      <c r="G22" s="199"/>
      <c r="H22" s="200"/>
      <c r="I22" s="198"/>
      <c r="J22" s="211"/>
      <c r="K22" s="215">
        <v>833363216</v>
      </c>
      <c r="L22" s="201">
        <f>I22+J22+K22</f>
        <v>833363216</v>
      </c>
      <c r="M22" s="216">
        <f>-L22</f>
        <v>-833363216</v>
      </c>
      <c r="N22" s="208">
        <f>L22+M22</f>
        <v>0</v>
      </c>
      <c r="O22" s="182"/>
    </row>
    <row r="23" spans="1:15" s="101" customFormat="1" ht="12.75" customHeight="1">
      <c r="A23" s="198"/>
      <c r="B23" s="199"/>
      <c r="C23" s="199"/>
      <c r="D23" s="199"/>
      <c r="E23" s="205"/>
      <c r="F23" s="214" t="s">
        <v>58</v>
      </c>
      <c r="G23" s="199"/>
      <c r="H23" s="200"/>
      <c r="I23" s="198"/>
      <c r="J23" s="211"/>
      <c r="K23" s="215">
        <v>1073422949</v>
      </c>
      <c r="L23" s="201">
        <f t="shared" si="5"/>
        <v>1073422949</v>
      </c>
      <c r="M23" s="216">
        <f>-L23</f>
        <v>-1073422949</v>
      </c>
      <c r="N23" s="208">
        <f>L23+M23</f>
        <v>0</v>
      </c>
      <c r="O23" s="182"/>
    </row>
    <row r="24" spans="1:15" ht="12.75" customHeight="1">
      <c r="A24" s="45"/>
      <c r="B24" s="56"/>
      <c r="C24" s="56"/>
      <c r="D24" s="56"/>
      <c r="E24" s="88" t="s">
        <v>99</v>
      </c>
      <c r="F24" s="60"/>
      <c r="G24" s="60"/>
      <c r="H24" s="61"/>
      <c r="I24" s="155">
        <f aca="true" t="shared" si="6" ref="I24:N24">I25+I26</f>
        <v>1307000000</v>
      </c>
      <c r="J24" s="155">
        <f t="shared" si="6"/>
        <v>402003605000</v>
      </c>
      <c r="K24" s="155">
        <f>K25+K26</f>
        <v>0</v>
      </c>
      <c r="L24" s="155">
        <f t="shared" si="6"/>
        <v>403310605000</v>
      </c>
      <c r="M24" s="163">
        <f t="shared" si="6"/>
        <v>833363216</v>
      </c>
      <c r="N24" s="159">
        <f t="shared" si="6"/>
        <v>404143968216</v>
      </c>
      <c r="O24" s="47"/>
    </row>
    <row r="25" spans="1:15" ht="12.75" customHeight="1">
      <c r="A25" s="45"/>
      <c r="B25" s="56"/>
      <c r="C25" s="56"/>
      <c r="D25" s="56"/>
      <c r="E25" s="56"/>
      <c r="F25" s="60" t="s">
        <v>100</v>
      </c>
      <c r="G25" s="60"/>
      <c r="H25" s="61"/>
      <c r="I25" s="26">
        <v>1307000000</v>
      </c>
      <c r="J25" s="26">
        <v>402003605000</v>
      </c>
      <c r="K25" s="26"/>
      <c r="L25" s="155">
        <f>I25+J25+K25</f>
        <v>403310605000</v>
      </c>
      <c r="M25" s="148"/>
      <c r="N25" s="139">
        <f aca="true" t="shared" si="7" ref="N25:N39">L25+M25</f>
        <v>403310605000</v>
      </c>
      <c r="O25" s="47"/>
    </row>
    <row r="26" spans="1:15" ht="12.75" customHeight="1">
      <c r="A26" s="45"/>
      <c r="B26" s="56"/>
      <c r="C26" s="56"/>
      <c r="D26" s="56"/>
      <c r="E26" s="56"/>
      <c r="F26" s="60" t="s">
        <v>101</v>
      </c>
      <c r="G26" s="60"/>
      <c r="H26" s="61"/>
      <c r="I26" s="26"/>
      <c r="J26" s="26"/>
      <c r="K26" s="26"/>
      <c r="L26" s="155">
        <f>I26+J26+K26</f>
        <v>0</v>
      </c>
      <c r="M26" s="163">
        <f>-M22</f>
        <v>833363216</v>
      </c>
      <c r="N26" s="139">
        <f t="shared" si="7"/>
        <v>833363216</v>
      </c>
      <c r="O26" s="47"/>
    </row>
    <row r="27" spans="1:15" s="101" customFormat="1" ht="12.75" customHeight="1">
      <c r="A27" s="198"/>
      <c r="B27" s="199"/>
      <c r="C27" s="199"/>
      <c r="D27" s="199"/>
      <c r="E27" s="199" t="s">
        <v>48</v>
      </c>
      <c r="F27" s="199"/>
      <c r="G27" s="199"/>
      <c r="H27" s="200"/>
      <c r="I27" s="201">
        <f aca="true" t="shared" si="8" ref="I27:N27">I28+I29+I30</f>
        <v>1334363352916</v>
      </c>
      <c r="J27" s="201">
        <f t="shared" si="8"/>
        <v>1774025062197</v>
      </c>
      <c r="K27" s="217">
        <f t="shared" si="8"/>
        <v>100291899000</v>
      </c>
      <c r="L27" s="201">
        <f t="shared" si="8"/>
        <v>3208680314113</v>
      </c>
      <c r="M27" s="202">
        <f t="shared" si="8"/>
        <v>-3208680314113</v>
      </c>
      <c r="N27" s="203">
        <f t="shared" si="8"/>
        <v>0</v>
      </c>
      <c r="O27" s="182"/>
    </row>
    <row r="28" spans="1:15" s="101" customFormat="1" ht="12.75" customHeight="1">
      <c r="A28" s="198"/>
      <c r="B28" s="199"/>
      <c r="C28" s="199"/>
      <c r="D28" s="199"/>
      <c r="E28" s="199"/>
      <c r="F28" s="204" t="s">
        <v>102</v>
      </c>
      <c r="G28" s="205"/>
      <c r="H28" s="200"/>
      <c r="I28" s="206"/>
      <c r="J28" s="206"/>
      <c r="K28" s="207">
        <v>77893982000</v>
      </c>
      <c r="L28" s="201">
        <f t="shared" si="5"/>
        <v>77893982000</v>
      </c>
      <c r="M28" s="202">
        <f>-K28</f>
        <v>-77893982000</v>
      </c>
      <c r="N28" s="208">
        <f t="shared" si="7"/>
        <v>0</v>
      </c>
      <c r="O28" s="182"/>
    </row>
    <row r="29" spans="1:15" s="101" customFormat="1" ht="12.75" customHeight="1">
      <c r="A29" s="198"/>
      <c r="B29" s="199"/>
      <c r="C29" s="199"/>
      <c r="D29" s="199"/>
      <c r="E29" s="199"/>
      <c r="F29" s="204" t="s">
        <v>103</v>
      </c>
      <c r="G29" s="205"/>
      <c r="H29" s="200"/>
      <c r="I29" s="206"/>
      <c r="J29" s="206"/>
      <c r="K29" s="207">
        <v>22397917000</v>
      </c>
      <c r="L29" s="201">
        <f t="shared" si="5"/>
        <v>22397917000</v>
      </c>
      <c r="M29" s="202">
        <f>-K29</f>
        <v>-22397917000</v>
      </c>
      <c r="N29" s="208">
        <f t="shared" si="7"/>
        <v>0</v>
      </c>
      <c r="O29" s="182"/>
    </row>
    <row r="30" spans="1:15" s="101" customFormat="1" ht="12.75" customHeight="1">
      <c r="A30" s="198"/>
      <c r="B30" s="199"/>
      <c r="C30" s="199"/>
      <c r="D30" s="199"/>
      <c r="E30" s="199"/>
      <c r="F30" s="204" t="s">
        <v>104</v>
      </c>
      <c r="G30" s="205"/>
      <c r="H30" s="200"/>
      <c r="I30" s="209">
        <v>1334363352916</v>
      </c>
      <c r="J30" s="209">
        <v>1774025062197</v>
      </c>
      <c r="K30" s="206"/>
      <c r="L30" s="218">
        <f t="shared" si="5"/>
        <v>3108388415113</v>
      </c>
      <c r="M30" s="202">
        <f>-I30-J30</f>
        <v>-3108388415113</v>
      </c>
      <c r="N30" s="208">
        <f t="shared" si="7"/>
        <v>0</v>
      </c>
      <c r="O30" s="182"/>
    </row>
    <row r="31" spans="1:15" ht="12.75" customHeight="1">
      <c r="A31" s="45"/>
      <c r="B31" s="56"/>
      <c r="C31" s="56"/>
      <c r="D31" s="56"/>
      <c r="E31" s="56" t="s">
        <v>115</v>
      </c>
      <c r="F31" s="11"/>
      <c r="H31" s="57"/>
      <c r="I31" s="155">
        <f aca="true" t="shared" si="9" ref="I31:N31">I32+I33</f>
        <v>-305690000</v>
      </c>
      <c r="J31" s="155">
        <f t="shared" si="9"/>
        <v>-146135000</v>
      </c>
      <c r="K31" s="155">
        <f t="shared" si="9"/>
        <v>-126000000</v>
      </c>
      <c r="L31" s="155">
        <f t="shared" si="9"/>
        <v>-577825000</v>
      </c>
      <c r="M31" s="163">
        <f t="shared" si="9"/>
        <v>0</v>
      </c>
      <c r="N31" s="159">
        <f t="shared" si="9"/>
        <v>-577825000</v>
      </c>
      <c r="O31" s="47"/>
    </row>
    <row r="32" spans="1:15" ht="12.75" customHeight="1">
      <c r="A32" s="45"/>
      <c r="B32" s="56"/>
      <c r="C32" s="56"/>
      <c r="D32" s="56"/>
      <c r="E32" s="56"/>
      <c r="F32" s="60" t="s">
        <v>116</v>
      </c>
      <c r="H32" s="57"/>
      <c r="I32" s="26">
        <v>-298140000</v>
      </c>
      <c r="J32" s="26">
        <v>-145631000</v>
      </c>
      <c r="K32" s="26"/>
      <c r="L32" s="155">
        <f t="shared" si="5"/>
        <v>-443771000</v>
      </c>
      <c r="M32" s="148"/>
      <c r="N32" s="139">
        <f t="shared" si="7"/>
        <v>-443771000</v>
      </c>
      <c r="O32" s="47"/>
    </row>
    <row r="33" spans="1:15" ht="12.75" customHeight="1">
      <c r="A33" s="45"/>
      <c r="B33" s="56"/>
      <c r="C33" s="56"/>
      <c r="D33" s="56"/>
      <c r="E33" s="56"/>
      <c r="F33" s="60" t="s">
        <v>117</v>
      </c>
      <c r="H33" s="57"/>
      <c r="I33" s="26">
        <v>-7550000</v>
      </c>
      <c r="J33" s="26">
        <v>-504000</v>
      </c>
      <c r="K33" s="26">
        <v>-126000000</v>
      </c>
      <c r="L33" s="155">
        <f t="shared" si="5"/>
        <v>-134054000</v>
      </c>
      <c r="M33" s="148"/>
      <c r="N33" s="139">
        <f t="shared" si="7"/>
        <v>-134054000</v>
      </c>
      <c r="O33" s="47"/>
    </row>
    <row r="34" spans="1:15" s="101" customFormat="1" ht="12.75" customHeight="1">
      <c r="A34" s="198"/>
      <c r="B34" s="199"/>
      <c r="C34" s="199"/>
      <c r="D34" s="199"/>
      <c r="E34" s="199" t="s">
        <v>42</v>
      </c>
      <c r="F34" s="199"/>
      <c r="G34" s="199"/>
      <c r="H34" s="200"/>
      <c r="I34" s="201">
        <f aca="true" t="shared" si="10" ref="I34:N34">I35+I36+I37</f>
        <v>-77893982000</v>
      </c>
      <c r="J34" s="201">
        <f t="shared" si="10"/>
        <v>-22397917000</v>
      </c>
      <c r="K34" s="218">
        <f t="shared" si="10"/>
        <v>-3108388415113</v>
      </c>
      <c r="L34" s="201">
        <f t="shared" si="10"/>
        <v>-3208680314113</v>
      </c>
      <c r="M34" s="202">
        <f t="shared" si="10"/>
        <v>3208680314113</v>
      </c>
      <c r="N34" s="203">
        <f t="shared" si="10"/>
        <v>0</v>
      </c>
      <c r="O34" s="182"/>
    </row>
    <row r="35" spans="1:15" s="101" customFormat="1" ht="12.75" customHeight="1">
      <c r="A35" s="198"/>
      <c r="B35" s="199"/>
      <c r="C35" s="199"/>
      <c r="D35" s="199"/>
      <c r="E35" s="199"/>
      <c r="F35" s="210" t="s">
        <v>105</v>
      </c>
      <c r="G35" s="204"/>
      <c r="H35" s="200"/>
      <c r="I35" s="198"/>
      <c r="J35" s="211"/>
      <c r="K35" s="209">
        <v>-1334363352916</v>
      </c>
      <c r="L35" s="201">
        <f t="shared" si="5"/>
        <v>-1334363352916</v>
      </c>
      <c r="M35" s="202">
        <f>-K35</f>
        <v>1334363352916</v>
      </c>
      <c r="N35" s="208">
        <f t="shared" si="7"/>
        <v>0</v>
      </c>
      <c r="O35" s="182"/>
    </row>
    <row r="36" spans="1:15" s="101" customFormat="1" ht="12.75" customHeight="1">
      <c r="A36" s="198"/>
      <c r="B36" s="199"/>
      <c r="C36" s="199"/>
      <c r="D36" s="199"/>
      <c r="E36" s="199"/>
      <c r="F36" s="210" t="s">
        <v>106</v>
      </c>
      <c r="G36" s="204"/>
      <c r="H36" s="200"/>
      <c r="I36" s="198"/>
      <c r="J36" s="211"/>
      <c r="K36" s="209">
        <v>-1774025062197</v>
      </c>
      <c r="L36" s="201">
        <f t="shared" si="5"/>
        <v>-1774025062197</v>
      </c>
      <c r="M36" s="202">
        <f>-K36</f>
        <v>1774025062197</v>
      </c>
      <c r="N36" s="208">
        <f t="shared" si="7"/>
        <v>0</v>
      </c>
      <c r="O36" s="182"/>
    </row>
    <row r="37" spans="1:15" s="101" customFormat="1" ht="12.75" customHeight="1">
      <c r="A37" s="198"/>
      <c r="B37" s="199"/>
      <c r="C37" s="199"/>
      <c r="D37" s="199"/>
      <c r="E37" s="199"/>
      <c r="F37" s="210" t="s">
        <v>107</v>
      </c>
      <c r="G37" s="204"/>
      <c r="H37" s="200"/>
      <c r="I37" s="212">
        <v>-77893982000</v>
      </c>
      <c r="J37" s="213">
        <v>-22397917000</v>
      </c>
      <c r="K37" s="206"/>
      <c r="L37" s="217">
        <f t="shared" si="5"/>
        <v>-100291899000</v>
      </c>
      <c r="M37" s="202">
        <f>-I37-J37</f>
        <v>100291899000</v>
      </c>
      <c r="N37" s="208">
        <f t="shared" si="7"/>
        <v>0</v>
      </c>
      <c r="O37" s="182"/>
    </row>
    <row r="38" spans="1:15" ht="12.75" customHeight="1">
      <c r="A38" s="45"/>
      <c r="B38" s="56"/>
      <c r="C38" s="56"/>
      <c r="D38" s="56"/>
      <c r="E38" s="56" t="s">
        <v>110</v>
      </c>
      <c r="F38" s="96"/>
      <c r="G38" s="11"/>
      <c r="H38" s="57"/>
      <c r="I38" s="45">
        <v>37190436060</v>
      </c>
      <c r="J38" s="46"/>
      <c r="K38" s="26"/>
      <c r="L38" s="155">
        <f t="shared" si="5"/>
        <v>37190436060</v>
      </c>
      <c r="M38" s="45"/>
      <c r="N38" s="139">
        <f t="shared" si="7"/>
        <v>37190436060</v>
      </c>
      <c r="O38" s="47"/>
    </row>
    <row r="39" spans="1:15" ht="12.75" customHeight="1">
      <c r="A39" s="45"/>
      <c r="B39" s="56"/>
      <c r="C39" s="56"/>
      <c r="D39" s="56"/>
      <c r="E39" s="56" t="s">
        <v>111</v>
      </c>
      <c r="F39" s="96"/>
      <c r="G39" s="11"/>
      <c r="H39" s="57"/>
      <c r="I39" s="45">
        <v>199989517000</v>
      </c>
      <c r="J39" s="46"/>
      <c r="K39" s="26"/>
      <c r="L39" s="155">
        <f t="shared" si="5"/>
        <v>199989517000</v>
      </c>
      <c r="M39" s="45"/>
      <c r="N39" s="139">
        <f t="shared" si="7"/>
        <v>199989517000</v>
      </c>
      <c r="O39" s="47"/>
    </row>
    <row r="40" spans="1:15" ht="12.75" customHeight="1">
      <c r="A40" s="45"/>
      <c r="B40" s="56"/>
      <c r="C40" s="56"/>
      <c r="D40" s="56"/>
      <c r="E40" s="56" t="s">
        <v>59</v>
      </c>
      <c r="F40" s="56"/>
      <c r="G40" s="56"/>
      <c r="H40" s="57"/>
      <c r="I40" s="45">
        <v>4940847298</v>
      </c>
      <c r="J40" s="46">
        <v>1969539368</v>
      </c>
      <c r="K40" s="26">
        <v>642025760</v>
      </c>
      <c r="L40" s="155">
        <f t="shared" si="5"/>
        <v>7552412426</v>
      </c>
      <c r="M40" s="45"/>
      <c r="N40" s="139">
        <f>L40+M40</f>
        <v>7552412426</v>
      </c>
      <c r="O40" s="47"/>
    </row>
    <row r="41" spans="1:15" ht="12.75" customHeight="1">
      <c r="A41" s="45"/>
      <c r="B41" s="56"/>
      <c r="C41" s="56"/>
      <c r="D41" s="56"/>
      <c r="E41" s="56" t="s">
        <v>79</v>
      </c>
      <c r="F41" s="56"/>
      <c r="G41" s="56"/>
      <c r="H41" s="57"/>
      <c r="I41" s="155">
        <f aca="true" t="shared" si="11" ref="I41:N41">I42+I43</f>
        <v>0</v>
      </c>
      <c r="J41" s="155">
        <f t="shared" si="11"/>
        <v>1055286149304</v>
      </c>
      <c r="K41" s="155">
        <f t="shared" si="11"/>
        <v>0</v>
      </c>
      <c r="L41" s="155">
        <f t="shared" si="11"/>
        <v>1055286149304</v>
      </c>
      <c r="M41" s="163">
        <f t="shared" si="11"/>
        <v>0</v>
      </c>
      <c r="N41" s="159">
        <f t="shared" si="11"/>
        <v>1055286149304</v>
      </c>
      <c r="O41" s="47"/>
    </row>
    <row r="42" spans="1:15" ht="12.75" customHeight="1">
      <c r="A42" s="45"/>
      <c r="B42" s="56"/>
      <c r="C42" s="56"/>
      <c r="D42" s="56"/>
      <c r="E42" s="56"/>
      <c r="F42" s="56" t="s">
        <v>112</v>
      </c>
      <c r="G42" s="56"/>
      <c r="H42" s="57"/>
      <c r="I42" s="45"/>
      <c r="J42" s="46">
        <v>1055286149304</v>
      </c>
      <c r="K42" s="26"/>
      <c r="L42" s="155">
        <f t="shared" si="5"/>
        <v>1055286149304</v>
      </c>
      <c r="M42" s="45"/>
      <c r="N42" s="139">
        <f>L42+M42</f>
        <v>1055286149304</v>
      </c>
      <c r="O42" s="47"/>
    </row>
    <row r="43" spans="1:15" ht="12.75" customHeight="1">
      <c r="A43" s="45"/>
      <c r="B43" s="56"/>
      <c r="C43" s="56"/>
      <c r="D43" s="56"/>
      <c r="E43" s="56"/>
      <c r="F43" s="56" t="s">
        <v>113</v>
      </c>
      <c r="G43" s="56"/>
      <c r="H43" s="57"/>
      <c r="I43" s="64"/>
      <c r="J43" s="65"/>
      <c r="K43" s="27"/>
      <c r="L43" s="157">
        <f t="shared" si="5"/>
        <v>0</v>
      </c>
      <c r="M43" s="64"/>
      <c r="N43" s="141">
        <f>L43+M43</f>
        <v>0</v>
      </c>
      <c r="O43" s="47"/>
    </row>
    <row r="44" spans="1:15" ht="12.75" customHeight="1">
      <c r="A44" s="45"/>
      <c r="B44" s="56"/>
      <c r="C44" s="56"/>
      <c r="D44" s="56"/>
      <c r="E44" s="56"/>
      <c r="F44" s="56" t="s">
        <v>60</v>
      </c>
      <c r="G44" s="56"/>
      <c r="H44" s="57"/>
      <c r="I44" s="155">
        <f aca="true" t="shared" si="12" ref="I44:N44">I6+I21+I22+I23+I24+I27+I31+I34+I38+I39+I40+I41</f>
        <v>349841181708</v>
      </c>
      <c r="J44" s="155">
        <f t="shared" si="12"/>
        <v>-59170655343</v>
      </c>
      <c r="K44" s="155">
        <f t="shared" si="12"/>
        <v>884591961</v>
      </c>
      <c r="L44" s="155">
        <f t="shared" si="12"/>
        <v>291555118326</v>
      </c>
      <c r="M44" s="163">
        <f t="shared" si="12"/>
        <v>-1073422949</v>
      </c>
      <c r="N44" s="159">
        <f t="shared" si="12"/>
        <v>290481695377</v>
      </c>
      <c r="O44" s="47"/>
    </row>
    <row r="45" spans="1:15" ht="12.75" customHeight="1">
      <c r="A45" s="45"/>
      <c r="B45" s="56"/>
      <c r="C45" s="56"/>
      <c r="D45" s="56"/>
      <c r="E45" s="56" t="s">
        <v>61</v>
      </c>
      <c r="F45" s="56"/>
      <c r="G45" s="56"/>
      <c r="H45" s="57"/>
      <c r="I45" s="26">
        <v>203268026602</v>
      </c>
      <c r="J45" s="26">
        <v>79860856951</v>
      </c>
      <c r="K45" s="26">
        <v>1300732</v>
      </c>
      <c r="L45" s="155">
        <f t="shared" si="5"/>
        <v>283130184285</v>
      </c>
      <c r="M45" s="148"/>
      <c r="N45" s="139">
        <f>L45+M45</f>
        <v>283130184285</v>
      </c>
      <c r="O45" s="47"/>
    </row>
    <row r="46" spans="1:15" ht="12.75" customHeight="1">
      <c r="A46" s="45"/>
      <c r="B46" s="56"/>
      <c r="C46" s="56"/>
      <c r="D46" s="56"/>
      <c r="E46" s="88" t="s">
        <v>76</v>
      </c>
      <c r="F46" s="56"/>
      <c r="G46" s="56"/>
      <c r="H46" s="57"/>
      <c r="I46" s="26">
        <v>30110006585</v>
      </c>
      <c r="J46" s="26">
        <v>14292046146</v>
      </c>
      <c r="K46" s="26"/>
      <c r="L46" s="155">
        <f t="shared" si="5"/>
        <v>44402052731</v>
      </c>
      <c r="M46" s="163">
        <f>-M23</f>
        <v>1073422949</v>
      </c>
      <c r="N46" s="139">
        <f>L46+M46</f>
        <v>45475475680</v>
      </c>
      <c r="O46" s="47"/>
    </row>
    <row r="47" spans="1:15" ht="12.75" customHeight="1" thickBot="1">
      <c r="A47" s="45"/>
      <c r="B47" s="56"/>
      <c r="C47" s="56"/>
      <c r="D47" s="56"/>
      <c r="E47" s="88" t="s">
        <v>144</v>
      </c>
      <c r="F47" s="56"/>
      <c r="G47" s="56"/>
      <c r="H47" s="57"/>
      <c r="I47" s="91">
        <v>6519791290519</v>
      </c>
      <c r="J47" s="91">
        <v>2258637294441</v>
      </c>
      <c r="K47" s="91"/>
      <c r="L47" s="169">
        <f t="shared" si="5"/>
        <v>8778428584960</v>
      </c>
      <c r="M47" s="197"/>
      <c r="N47" s="177">
        <f>L47+M47</f>
        <v>8778428584960</v>
      </c>
      <c r="O47" s="47"/>
    </row>
    <row r="48" spans="1:15" ht="12.75" customHeight="1" thickTop="1">
      <c r="A48" s="45"/>
      <c r="B48" s="56"/>
      <c r="C48" s="56" t="s">
        <v>54</v>
      </c>
      <c r="D48" s="56"/>
      <c r="E48" s="56"/>
      <c r="F48" s="56"/>
      <c r="G48" s="56"/>
      <c r="H48" s="57"/>
      <c r="I48" s="155">
        <f aca="true" t="shared" si="13" ref="I48:N48">I44+I45+I46+I47</f>
        <v>7103010505414</v>
      </c>
      <c r="J48" s="155">
        <f t="shared" si="13"/>
        <v>2293619542195</v>
      </c>
      <c r="K48" s="155">
        <f t="shared" si="13"/>
        <v>885892693</v>
      </c>
      <c r="L48" s="155">
        <f t="shared" si="13"/>
        <v>9397515940302</v>
      </c>
      <c r="M48" s="163">
        <f t="shared" si="13"/>
        <v>0</v>
      </c>
      <c r="N48" s="159">
        <f t="shared" si="13"/>
        <v>9397515940302</v>
      </c>
      <c r="O48" s="47"/>
    </row>
    <row r="49" spans="1:15" ht="12.75" customHeight="1">
      <c r="A49" s="48"/>
      <c r="B49" s="58"/>
      <c r="C49" s="58"/>
      <c r="D49" s="58"/>
      <c r="E49" s="58"/>
      <c r="F49" s="58"/>
      <c r="G49" s="58"/>
      <c r="H49" s="59"/>
      <c r="I49" s="48"/>
      <c r="J49" s="49"/>
      <c r="K49" s="49"/>
      <c r="L49" s="170"/>
      <c r="M49" s="48"/>
      <c r="N49" s="178"/>
      <c r="O49" s="50"/>
    </row>
    <row r="50" spans="1:15" ht="12.75" customHeight="1">
      <c r="A50" s="42" t="s">
        <v>68</v>
      </c>
      <c r="B50" s="54"/>
      <c r="C50" s="54" t="s">
        <v>62</v>
      </c>
      <c r="D50" s="54"/>
      <c r="E50" s="54"/>
      <c r="F50" s="54"/>
      <c r="G50" s="54"/>
      <c r="H50" s="55"/>
      <c r="I50" s="42"/>
      <c r="J50" s="43"/>
      <c r="K50" s="25"/>
      <c r="L50" s="166"/>
      <c r="M50" s="42"/>
      <c r="N50" s="174"/>
      <c r="O50" s="44"/>
    </row>
    <row r="51" spans="1:15" ht="12.75" customHeight="1">
      <c r="A51" s="45"/>
      <c r="B51" s="56"/>
      <c r="C51" s="56"/>
      <c r="D51" s="56"/>
      <c r="E51" s="56" t="s">
        <v>63</v>
      </c>
      <c r="F51" s="56"/>
      <c r="G51" s="56"/>
      <c r="H51" s="57"/>
      <c r="I51" s="45">
        <v>-16854493470</v>
      </c>
      <c r="J51" s="46">
        <v>-15682432668</v>
      </c>
      <c r="K51" s="26">
        <v>-257054765</v>
      </c>
      <c r="L51" s="155">
        <f>I51+J51+K51</f>
        <v>-32793980903</v>
      </c>
      <c r="M51" s="45"/>
      <c r="N51" s="139">
        <f>L51+M51</f>
        <v>-32793980903</v>
      </c>
      <c r="O51" s="47"/>
    </row>
    <row r="52" spans="1:15" ht="12.75" customHeight="1" thickBot="1">
      <c r="A52" s="45"/>
      <c r="B52" s="56"/>
      <c r="C52" s="56"/>
      <c r="D52" s="56"/>
      <c r="E52" s="56" t="s">
        <v>114</v>
      </c>
      <c r="F52" s="56"/>
      <c r="G52" s="56"/>
      <c r="H52" s="57"/>
      <c r="I52" s="92">
        <v>209277580</v>
      </c>
      <c r="J52" s="93">
        <v>146370860</v>
      </c>
      <c r="K52" s="91"/>
      <c r="L52" s="169">
        <f>I52+J52+K52</f>
        <v>355648440</v>
      </c>
      <c r="M52" s="92"/>
      <c r="N52" s="177">
        <f>L52+M52</f>
        <v>355648440</v>
      </c>
      <c r="O52" s="47"/>
    </row>
    <row r="53" spans="1:15" ht="12.75" customHeight="1" thickTop="1">
      <c r="A53" s="45"/>
      <c r="B53" s="56"/>
      <c r="C53" s="56" t="s">
        <v>62</v>
      </c>
      <c r="D53" s="56"/>
      <c r="E53" s="56"/>
      <c r="F53" s="56"/>
      <c r="G53" s="56"/>
      <c r="H53" s="57"/>
      <c r="I53" s="155">
        <f aca="true" t="shared" si="14" ref="I53:N53">I51+I52</f>
        <v>-16645215890</v>
      </c>
      <c r="J53" s="155">
        <f t="shared" si="14"/>
        <v>-15536061808</v>
      </c>
      <c r="K53" s="155">
        <f t="shared" si="14"/>
        <v>-257054765</v>
      </c>
      <c r="L53" s="155">
        <f t="shared" si="14"/>
        <v>-32438332463</v>
      </c>
      <c r="M53" s="163">
        <f t="shared" si="14"/>
        <v>0</v>
      </c>
      <c r="N53" s="159">
        <f t="shared" si="14"/>
        <v>-32438332463</v>
      </c>
      <c r="O53" s="47"/>
    </row>
    <row r="54" spans="1:15" ht="12.75" customHeight="1">
      <c r="A54" s="48"/>
      <c r="B54" s="58"/>
      <c r="C54" s="58"/>
      <c r="D54" s="58"/>
      <c r="E54" s="58"/>
      <c r="F54" s="58"/>
      <c r="G54" s="58"/>
      <c r="H54" s="59"/>
      <c r="I54" s="48"/>
      <c r="J54" s="49"/>
      <c r="K54" s="49"/>
      <c r="L54" s="170"/>
      <c r="M54" s="48"/>
      <c r="N54" s="178"/>
      <c r="O54" s="50"/>
    </row>
    <row r="55" spans="1:15" ht="12.75" customHeight="1">
      <c r="A55" s="42" t="s">
        <v>64</v>
      </c>
      <c r="B55" s="54"/>
      <c r="C55" s="54" t="s">
        <v>65</v>
      </c>
      <c r="D55" s="54"/>
      <c r="E55" s="54"/>
      <c r="F55" s="54"/>
      <c r="G55" s="54"/>
      <c r="H55" s="55"/>
      <c r="I55" s="51" t="s">
        <v>69</v>
      </c>
      <c r="J55" s="51" t="s">
        <v>136</v>
      </c>
      <c r="K55" s="51" t="s">
        <v>69</v>
      </c>
      <c r="L55" s="171" t="s">
        <v>129</v>
      </c>
      <c r="M55" s="152" t="s">
        <v>69</v>
      </c>
      <c r="N55" s="179" t="s">
        <v>129</v>
      </c>
      <c r="O55" s="44"/>
    </row>
    <row r="56" spans="1:15" ht="12.75" customHeight="1">
      <c r="A56" s="48"/>
      <c r="B56" s="58"/>
      <c r="C56" s="58"/>
      <c r="D56" s="58"/>
      <c r="E56" s="58"/>
      <c r="F56" s="58"/>
      <c r="G56" s="58"/>
      <c r="H56" s="59"/>
      <c r="I56" s="48"/>
      <c r="J56" s="49"/>
      <c r="K56" s="49"/>
      <c r="L56" s="170"/>
      <c r="M56" s="48"/>
      <c r="N56" s="178"/>
      <c r="O56" s="50"/>
    </row>
    <row r="57" spans="1:15" ht="12.75" customHeight="1">
      <c r="A57" s="45"/>
      <c r="B57" s="56" t="s">
        <v>134</v>
      </c>
      <c r="C57" s="56"/>
      <c r="D57" s="56"/>
      <c r="E57" s="56"/>
      <c r="F57" s="56"/>
      <c r="G57" s="56"/>
      <c r="H57" s="57"/>
      <c r="I57" s="167">
        <f aca="true" t="shared" si="15" ref="I57:N57">I48+I53</f>
        <v>7086365289524</v>
      </c>
      <c r="J57" s="167">
        <f t="shared" si="15"/>
        <v>2278083480387</v>
      </c>
      <c r="K57" s="167">
        <f t="shared" si="15"/>
        <v>628837928</v>
      </c>
      <c r="L57" s="167">
        <f t="shared" si="15"/>
        <v>9365077607839</v>
      </c>
      <c r="M57" s="167">
        <f t="shared" si="15"/>
        <v>0</v>
      </c>
      <c r="N57" s="175">
        <f t="shared" si="15"/>
        <v>9365077607839</v>
      </c>
      <c r="O57" s="47"/>
    </row>
    <row r="58" spans="1:15" ht="12.75" customHeight="1">
      <c r="A58" s="45"/>
      <c r="B58" s="56"/>
      <c r="C58" s="56"/>
      <c r="D58" s="56"/>
      <c r="E58" s="56"/>
      <c r="F58" s="56"/>
      <c r="G58" s="56"/>
      <c r="H58" s="57"/>
      <c r="I58" s="45"/>
      <c r="J58" s="46"/>
      <c r="K58" s="26"/>
      <c r="L58" s="172"/>
      <c r="M58" s="45"/>
      <c r="N58" s="176"/>
      <c r="O58" s="47"/>
    </row>
    <row r="59" spans="1:15" ht="12.75" customHeight="1">
      <c r="A59" s="45"/>
      <c r="B59" s="96" t="s">
        <v>79</v>
      </c>
      <c r="E59" s="96"/>
      <c r="F59" s="96"/>
      <c r="G59" s="56"/>
      <c r="H59" s="57"/>
      <c r="I59" s="167">
        <f aca="true" t="shared" si="16" ref="I59:N59">I60+I61</f>
        <v>0</v>
      </c>
      <c r="J59" s="167">
        <f t="shared" si="16"/>
        <v>0</v>
      </c>
      <c r="K59" s="167">
        <f t="shared" si="16"/>
        <v>0</v>
      </c>
      <c r="L59" s="167">
        <f t="shared" si="16"/>
        <v>0</v>
      </c>
      <c r="M59" s="167">
        <f t="shared" si="16"/>
        <v>0</v>
      </c>
      <c r="N59" s="175">
        <f t="shared" si="16"/>
        <v>0</v>
      </c>
      <c r="O59" s="47"/>
    </row>
    <row r="60" spans="1:15" ht="12.75" customHeight="1">
      <c r="A60" s="45"/>
      <c r="B60" s="96"/>
      <c r="C60" s="96" t="s">
        <v>80</v>
      </c>
      <c r="D60" s="96"/>
      <c r="E60" s="96"/>
      <c r="F60" s="96"/>
      <c r="G60" s="56"/>
      <c r="H60" s="57"/>
      <c r="I60" s="45"/>
      <c r="J60" s="45"/>
      <c r="K60" s="45"/>
      <c r="L60" s="155">
        <f>I60+J60+K60</f>
        <v>0</v>
      </c>
      <c r="M60" s="45"/>
      <c r="N60" s="139">
        <f>L60+M60</f>
        <v>0</v>
      </c>
      <c r="O60" s="47"/>
    </row>
    <row r="61" spans="1:15" ht="12.75" customHeight="1">
      <c r="A61" s="45"/>
      <c r="B61" s="96"/>
      <c r="C61" s="96" t="s">
        <v>81</v>
      </c>
      <c r="D61" s="96"/>
      <c r="E61" s="96"/>
      <c r="F61" s="96"/>
      <c r="G61" s="56"/>
      <c r="H61" s="57"/>
      <c r="I61" s="45"/>
      <c r="J61" s="45"/>
      <c r="K61" s="45"/>
      <c r="L61" s="155">
        <f>I61+J61+K61</f>
        <v>0</v>
      </c>
      <c r="M61" s="45"/>
      <c r="N61" s="139">
        <f>L61+M61</f>
        <v>0</v>
      </c>
      <c r="O61" s="47"/>
    </row>
    <row r="62" spans="1:15" ht="12.75" customHeight="1">
      <c r="A62" s="45"/>
      <c r="B62" s="96" t="s">
        <v>82</v>
      </c>
      <c r="C62" s="96"/>
      <c r="D62" s="96"/>
      <c r="E62" s="96"/>
      <c r="F62" s="96"/>
      <c r="G62" s="56"/>
      <c r="H62" s="57"/>
      <c r="I62" s="167">
        <f aca="true" t="shared" si="17" ref="I62:N62">I63+I64</f>
        <v>-333826142591</v>
      </c>
      <c r="J62" s="167">
        <f t="shared" si="17"/>
        <v>-7078686381</v>
      </c>
      <c r="K62" s="167">
        <f t="shared" si="17"/>
        <v>0</v>
      </c>
      <c r="L62" s="167">
        <f t="shared" si="17"/>
        <v>-340904828972</v>
      </c>
      <c r="M62" s="167">
        <f t="shared" si="17"/>
        <v>0</v>
      </c>
      <c r="N62" s="175">
        <f t="shared" si="17"/>
        <v>-340904828972</v>
      </c>
      <c r="O62" s="47"/>
    </row>
    <row r="63" spans="1:15" ht="12.75" customHeight="1">
      <c r="A63" s="45"/>
      <c r="B63" s="96"/>
      <c r="C63" s="96" t="s">
        <v>80</v>
      </c>
      <c r="D63" s="96"/>
      <c r="E63" s="96"/>
      <c r="F63" s="96"/>
      <c r="G63" s="56"/>
      <c r="H63" s="57"/>
      <c r="I63" s="45">
        <v>-333826142591</v>
      </c>
      <c r="J63" s="46">
        <v>-6384205109</v>
      </c>
      <c r="K63" s="26"/>
      <c r="L63" s="155">
        <f>I63+J63+K63</f>
        <v>-340210347700</v>
      </c>
      <c r="M63" s="45"/>
      <c r="N63" s="139">
        <f>L63+M63</f>
        <v>-340210347700</v>
      </c>
      <c r="O63" s="47"/>
    </row>
    <row r="64" spans="1:15" ht="12.75" customHeight="1">
      <c r="A64" s="45"/>
      <c r="B64" s="96"/>
      <c r="C64" s="96" t="s">
        <v>81</v>
      </c>
      <c r="D64" s="96"/>
      <c r="E64" s="96"/>
      <c r="F64" s="96"/>
      <c r="G64" s="56"/>
      <c r="H64" s="57"/>
      <c r="I64" s="45"/>
      <c r="J64" s="46">
        <v>-694481272</v>
      </c>
      <c r="K64" s="26"/>
      <c r="L64" s="155">
        <f>I64+J64+K64</f>
        <v>-694481272</v>
      </c>
      <c r="M64" s="45"/>
      <c r="N64" s="139">
        <f>L64+M64</f>
        <v>-694481272</v>
      </c>
      <c r="O64" s="47"/>
    </row>
    <row r="65" spans="1:15" ht="12.75" customHeight="1">
      <c r="A65" s="45"/>
      <c r="B65" s="56"/>
      <c r="C65" s="56"/>
      <c r="D65" s="56"/>
      <c r="E65" s="56"/>
      <c r="F65" s="56"/>
      <c r="G65" s="56"/>
      <c r="H65" s="57"/>
      <c r="I65" s="45"/>
      <c r="J65" s="46"/>
      <c r="K65" s="26"/>
      <c r="L65" s="172"/>
      <c r="M65" s="45"/>
      <c r="N65" s="176"/>
      <c r="O65" s="47"/>
    </row>
    <row r="66" spans="1:15" ht="12.75" customHeight="1">
      <c r="A66" s="45"/>
      <c r="B66" s="88" t="s">
        <v>144</v>
      </c>
      <c r="C66" s="56"/>
      <c r="D66" s="56"/>
      <c r="E66" s="56"/>
      <c r="F66" s="56"/>
      <c r="G66" s="56"/>
      <c r="H66" s="57"/>
      <c r="I66" s="167">
        <f>-I47</f>
        <v>-6519791290519</v>
      </c>
      <c r="J66" s="167">
        <f>-J47</f>
        <v>-2258637294441</v>
      </c>
      <c r="K66" s="167">
        <f>-K47</f>
        <v>0</v>
      </c>
      <c r="L66" s="167">
        <f>-L47</f>
        <v>-8778428584960</v>
      </c>
      <c r="M66" s="167">
        <f>M67+M68</f>
        <v>0</v>
      </c>
      <c r="N66" s="139">
        <f>L66+M66</f>
        <v>-8778428584960</v>
      </c>
      <c r="O66" s="47"/>
    </row>
    <row r="67" spans="1:15" ht="12.75" customHeight="1">
      <c r="A67" s="45"/>
      <c r="B67" s="56"/>
      <c r="C67" s="56"/>
      <c r="D67" s="56"/>
      <c r="E67" s="56"/>
      <c r="F67" s="56"/>
      <c r="G67" s="56"/>
      <c r="H67" s="57"/>
      <c r="I67" s="45"/>
      <c r="J67" s="46"/>
      <c r="K67" s="26"/>
      <c r="L67" s="172"/>
      <c r="M67" s="45"/>
      <c r="N67" s="176"/>
      <c r="O67" s="47"/>
    </row>
    <row r="68" spans="1:15" ht="12.75" customHeight="1">
      <c r="A68" s="45"/>
      <c r="B68" s="56" t="s">
        <v>66</v>
      </c>
      <c r="C68" s="56"/>
      <c r="D68" s="56"/>
      <c r="E68" s="56"/>
      <c r="F68" s="56"/>
      <c r="G68" s="56"/>
      <c r="H68" s="57"/>
      <c r="I68" s="155">
        <f>I57+I59+I62+I66</f>
        <v>232747856414</v>
      </c>
      <c r="J68" s="155">
        <f>J57+J59+J62+J66</f>
        <v>12367499565</v>
      </c>
      <c r="K68" s="155">
        <f>K57+K59+K62+K66</f>
        <v>628837928</v>
      </c>
      <c r="L68" s="155">
        <f>L57+L59+L62+L66</f>
        <v>245744193907</v>
      </c>
      <c r="M68" s="167">
        <f>M69+M70</f>
        <v>0</v>
      </c>
      <c r="N68" s="159">
        <f>N57+N59+N62+N66</f>
        <v>245744193907</v>
      </c>
      <c r="O68" s="47"/>
    </row>
    <row r="69" spans="1:15" ht="12.75" customHeight="1" thickBot="1">
      <c r="A69" s="36"/>
      <c r="B69" s="37"/>
      <c r="C69" s="37"/>
      <c r="D69" s="37"/>
      <c r="E69" s="37"/>
      <c r="F69" s="37"/>
      <c r="G69" s="37"/>
      <c r="H69" s="50"/>
      <c r="I69" s="36"/>
      <c r="J69" s="28"/>
      <c r="K69" s="28"/>
      <c r="L69" s="173"/>
      <c r="M69" s="36"/>
      <c r="N69" s="180"/>
      <c r="O69" s="50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  <headerFooter alignWithMargins="0">
    <oddHeader>&amp;R&amp;D　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workbookViewId="0" topLeftCell="A1">
      <pane xSplit="8" ySplit="4" topLeftCell="I5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E48" sqref="E48"/>
    </sheetView>
  </sheetViews>
  <sheetFormatPr defaultColWidth="9.00390625" defaultRowHeight="12.75" customHeight="1"/>
  <cols>
    <col min="1" max="1" width="2.625" style="1" customWidth="1"/>
    <col min="2" max="6" width="1.625" style="1" customWidth="1"/>
    <col min="7" max="7" width="9.00390625" style="1" customWidth="1"/>
    <col min="8" max="10" width="19.75390625" style="1" customWidth="1"/>
    <col min="11" max="13" width="21.125" style="1" customWidth="1"/>
    <col min="14" max="14" width="19.75390625" style="1" customWidth="1"/>
    <col min="15" max="15" width="19.375" style="1" customWidth="1"/>
    <col min="16" max="16384" width="9.00390625" style="1" customWidth="1"/>
  </cols>
  <sheetData>
    <row r="1" spans="1:15" s="101" customFormat="1" ht="18.7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100"/>
      <c r="O1" s="100"/>
    </row>
    <row r="2" spans="1:13" s="101" customFormat="1" ht="12.75" customHeight="1">
      <c r="A2" s="102" t="s">
        <v>130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3"/>
      <c r="M2" s="103"/>
    </row>
    <row r="3" spans="1:15" s="101" customFormat="1" ht="12.75" customHeight="1" thickBot="1">
      <c r="A3" s="105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103"/>
      <c r="M3" s="103"/>
      <c r="O3" s="106" t="s">
        <v>24</v>
      </c>
    </row>
    <row r="4" spans="1:16" ht="12.75" customHeight="1">
      <c r="A4" s="38"/>
      <c r="B4" s="40"/>
      <c r="C4" s="40"/>
      <c r="D4" s="40"/>
      <c r="E4" s="40"/>
      <c r="F4" s="40"/>
      <c r="G4" s="40"/>
      <c r="H4" s="41"/>
      <c r="I4" s="4" t="s">
        <v>25</v>
      </c>
      <c r="J4" s="5" t="s">
        <v>26</v>
      </c>
      <c r="K4" s="6" t="s">
        <v>27</v>
      </c>
      <c r="L4" s="7" t="s">
        <v>28</v>
      </c>
      <c r="M4" s="127" t="s">
        <v>29</v>
      </c>
      <c r="N4" s="137" t="s">
        <v>30</v>
      </c>
      <c r="O4" s="90" t="s">
        <v>33</v>
      </c>
      <c r="P4" s="39"/>
    </row>
    <row r="5" spans="1:15" ht="12.75" customHeight="1">
      <c r="A5" s="42" t="s">
        <v>127</v>
      </c>
      <c r="B5" s="54"/>
      <c r="C5" s="54" t="str">
        <f>'１１’区分別'!C5</f>
        <v>業務収支</v>
      </c>
      <c r="D5" s="54"/>
      <c r="E5" s="54"/>
      <c r="F5" s="54"/>
      <c r="G5" s="54"/>
      <c r="H5" s="55"/>
      <c r="I5" s="42"/>
      <c r="J5" s="43"/>
      <c r="K5" s="25"/>
      <c r="L5" s="166"/>
      <c r="M5" s="150"/>
      <c r="N5" s="174"/>
      <c r="O5" s="44"/>
    </row>
    <row r="6" spans="1:15" ht="12.75" customHeight="1">
      <c r="A6" s="45"/>
      <c r="B6" s="56"/>
      <c r="C6" s="56"/>
      <c r="D6" s="56" t="str">
        <f>'１１’区分別'!D6</f>
        <v>労働保険特別会計業務支出</v>
      </c>
      <c r="F6" s="56"/>
      <c r="G6" s="56"/>
      <c r="H6" s="57"/>
      <c r="I6" s="167">
        <f aca="true" t="shared" si="0" ref="I6:N6">I7+I8+I9+I10+I11+I12+I13+I14+I15</f>
        <v>-1142442189518</v>
      </c>
      <c r="J6" s="167">
        <f t="shared" si="0"/>
        <v>-3195314484807</v>
      </c>
      <c r="K6" s="167">
        <f t="shared" si="0"/>
        <v>-109631443995</v>
      </c>
      <c r="L6" s="167">
        <f t="shared" si="0"/>
        <v>-4447388118320</v>
      </c>
      <c r="M6" s="167">
        <f t="shared" si="0"/>
        <v>0</v>
      </c>
      <c r="N6" s="175">
        <f t="shared" si="0"/>
        <v>-4447388118320</v>
      </c>
      <c r="O6" s="47"/>
    </row>
    <row r="7" spans="1:15" ht="12.75" customHeight="1">
      <c r="A7" s="45"/>
      <c r="B7" s="56"/>
      <c r="C7" s="56"/>
      <c r="D7" s="56"/>
      <c r="E7" s="56" t="str">
        <f>'１１’区分別'!E7</f>
        <v>保険給付費</v>
      </c>
      <c r="F7" s="56"/>
      <c r="H7" s="57"/>
      <c r="I7" s="45">
        <v>-820227361152</v>
      </c>
      <c r="J7" s="46"/>
      <c r="K7" s="26"/>
      <c r="L7" s="155">
        <f aca="true" t="shared" si="1" ref="L7:L14">I7+J7+K7</f>
        <v>-820227361152</v>
      </c>
      <c r="M7" s="151"/>
      <c r="N7" s="139">
        <f aca="true" t="shared" si="2" ref="N7:N14">L7+M7</f>
        <v>-820227361152</v>
      </c>
      <c r="O7" s="47"/>
    </row>
    <row r="8" spans="1:15" ht="12.75" customHeight="1">
      <c r="A8" s="45"/>
      <c r="B8" s="56"/>
      <c r="C8" s="56"/>
      <c r="D8" s="56"/>
      <c r="E8" s="56" t="str">
        <f>'１１’区分別'!E8</f>
        <v>労働福祉事業費</v>
      </c>
      <c r="F8" s="56"/>
      <c r="H8" s="57"/>
      <c r="I8" s="45">
        <v>-142176391409</v>
      </c>
      <c r="J8" s="46"/>
      <c r="K8" s="26"/>
      <c r="L8" s="155">
        <f t="shared" si="1"/>
        <v>-142176391409</v>
      </c>
      <c r="M8" s="151"/>
      <c r="N8" s="139">
        <f t="shared" si="2"/>
        <v>-142176391409</v>
      </c>
      <c r="O8" s="47"/>
    </row>
    <row r="9" spans="1:15" ht="12.75" customHeight="1">
      <c r="A9" s="45"/>
      <c r="B9" s="56"/>
      <c r="C9" s="56"/>
      <c r="D9" s="56"/>
      <c r="E9" s="56" t="str">
        <f>'１１’区分別'!E9</f>
        <v>失業等給付費</v>
      </c>
      <c r="F9" s="56"/>
      <c r="H9" s="57"/>
      <c r="I9" s="45"/>
      <c r="J9" s="46">
        <v>-2513835032542</v>
      </c>
      <c r="K9" s="26"/>
      <c r="L9" s="155">
        <f t="shared" si="1"/>
        <v>-2513835032542</v>
      </c>
      <c r="M9" s="151"/>
      <c r="N9" s="139">
        <f t="shared" si="2"/>
        <v>-2513835032542</v>
      </c>
      <c r="O9" s="47"/>
    </row>
    <row r="10" spans="1:15" ht="12.75" customHeight="1">
      <c r="A10" s="45"/>
      <c r="B10" s="56"/>
      <c r="C10" s="56"/>
      <c r="D10" s="56"/>
      <c r="E10" s="56" t="str">
        <f>'１１’区分別'!E10</f>
        <v>雇用安定等事業費</v>
      </c>
      <c r="F10" s="56"/>
      <c r="H10" s="57"/>
      <c r="I10" s="45"/>
      <c r="J10" s="46">
        <v>-169036075325</v>
      </c>
      <c r="K10" s="26"/>
      <c r="L10" s="155">
        <f t="shared" si="1"/>
        <v>-169036075325</v>
      </c>
      <c r="M10" s="151"/>
      <c r="N10" s="139">
        <f t="shared" si="2"/>
        <v>-169036075325</v>
      </c>
      <c r="O10" s="47"/>
    </row>
    <row r="11" spans="1:15" ht="12.75" customHeight="1">
      <c r="A11" s="45"/>
      <c r="B11" s="56"/>
      <c r="C11" s="56"/>
      <c r="D11" s="56"/>
      <c r="E11" s="56" t="str">
        <f>'１１’区分別'!E11</f>
        <v>人件費</v>
      </c>
      <c r="F11" s="56"/>
      <c r="H11" s="57"/>
      <c r="I11" s="45">
        <v>-29498061407</v>
      </c>
      <c r="J11" s="46">
        <v>-43303399090</v>
      </c>
      <c r="K11" s="26">
        <v>-13304037898</v>
      </c>
      <c r="L11" s="155">
        <f t="shared" si="1"/>
        <v>-86105498395</v>
      </c>
      <c r="M11" s="151"/>
      <c r="N11" s="139">
        <f t="shared" si="2"/>
        <v>-86105498395</v>
      </c>
      <c r="O11" s="47"/>
    </row>
    <row r="12" spans="1:15" ht="12.75" customHeight="1">
      <c r="A12" s="45"/>
      <c r="B12" s="56"/>
      <c r="C12" s="56"/>
      <c r="D12" s="56"/>
      <c r="E12" s="56" t="str">
        <f>'１１’区分別'!E12</f>
        <v>施設整備費</v>
      </c>
      <c r="F12" s="56"/>
      <c r="H12" s="57"/>
      <c r="I12" s="45">
        <v>-1646023838</v>
      </c>
      <c r="J12" s="46">
        <v>-1977471497</v>
      </c>
      <c r="K12" s="26"/>
      <c r="L12" s="155">
        <f t="shared" si="1"/>
        <v>-3623495335</v>
      </c>
      <c r="M12" s="151"/>
      <c r="N12" s="139">
        <f t="shared" si="2"/>
        <v>-3623495335</v>
      </c>
      <c r="O12" s="47"/>
    </row>
    <row r="13" spans="1:15" ht="12.75" customHeight="1">
      <c r="A13" s="45"/>
      <c r="B13" s="56"/>
      <c r="C13" s="56"/>
      <c r="D13" s="56"/>
      <c r="E13" s="56" t="str">
        <f>'１１’区分別'!E13</f>
        <v>委託費</v>
      </c>
      <c r="F13" s="56"/>
      <c r="H13" s="57"/>
      <c r="I13" s="45">
        <v>-57653922016</v>
      </c>
      <c r="J13" s="46">
        <v>-38210742633</v>
      </c>
      <c r="K13" s="26">
        <f>-874264000</f>
        <v>-874264000</v>
      </c>
      <c r="L13" s="155">
        <f t="shared" si="1"/>
        <v>-96738928649</v>
      </c>
      <c r="M13" s="151"/>
      <c r="N13" s="139">
        <f t="shared" si="2"/>
        <v>-96738928649</v>
      </c>
      <c r="O13" s="47"/>
    </row>
    <row r="14" spans="1:15" ht="12.75" customHeight="1">
      <c r="A14" s="45"/>
      <c r="B14" s="56"/>
      <c r="C14" s="56"/>
      <c r="D14" s="56"/>
      <c r="E14" s="56" t="str">
        <f>'１１’区分別'!E14</f>
        <v>補助金等</v>
      </c>
      <c r="F14" s="56"/>
      <c r="H14" s="57"/>
      <c r="I14" s="45">
        <v>-49171870928</v>
      </c>
      <c r="J14" s="46">
        <v>-350014375334</v>
      </c>
      <c r="K14" s="26"/>
      <c r="L14" s="155">
        <f t="shared" si="1"/>
        <v>-399186246262</v>
      </c>
      <c r="M14" s="151"/>
      <c r="N14" s="139">
        <f t="shared" si="2"/>
        <v>-399186246262</v>
      </c>
      <c r="O14" s="47"/>
    </row>
    <row r="15" spans="1:15" ht="12.75" customHeight="1">
      <c r="A15" s="45"/>
      <c r="B15" s="56"/>
      <c r="C15" s="56"/>
      <c r="D15" s="56"/>
      <c r="E15" s="56" t="str">
        <f>'１１’区分別'!E15</f>
        <v>その他業務支出</v>
      </c>
      <c r="F15" s="56"/>
      <c r="H15" s="57"/>
      <c r="I15" s="155">
        <f aca="true" t="shared" si="3" ref="I15:N15">I16+I17</f>
        <v>-42068558768</v>
      </c>
      <c r="J15" s="155">
        <f t="shared" si="3"/>
        <v>-78937388386</v>
      </c>
      <c r="K15" s="155">
        <f t="shared" si="3"/>
        <v>-95453142097</v>
      </c>
      <c r="L15" s="155">
        <f t="shared" si="3"/>
        <v>-216459089251</v>
      </c>
      <c r="M15" s="163">
        <f t="shared" si="3"/>
        <v>0</v>
      </c>
      <c r="N15" s="159">
        <f t="shared" si="3"/>
        <v>-216459089251</v>
      </c>
      <c r="O15" s="47"/>
    </row>
    <row r="16" spans="1:15" ht="12.75" customHeight="1">
      <c r="A16" s="45"/>
      <c r="B16" s="56"/>
      <c r="C16" s="56"/>
      <c r="D16" s="56"/>
      <c r="E16" s="56"/>
      <c r="F16" s="56" t="str">
        <f>'１１’区分別'!F16</f>
        <v>保険料返還金</v>
      </c>
      <c r="H16" s="57"/>
      <c r="I16" s="45"/>
      <c r="J16" s="46"/>
      <c r="K16" s="26">
        <v>-70510170468</v>
      </c>
      <c r="L16" s="155">
        <f>I16+J16+K16</f>
        <v>-70510170468</v>
      </c>
      <c r="M16" s="45"/>
      <c r="N16" s="139">
        <f>L16+M16</f>
        <v>-70510170468</v>
      </c>
      <c r="O16" s="47"/>
    </row>
    <row r="17" spans="1:15" ht="12.75" customHeight="1">
      <c r="A17" s="45"/>
      <c r="B17" s="56"/>
      <c r="C17" s="56"/>
      <c r="D17" s="56"/>
      <c r="E17" s="56"/>
      <c r="F17" s="56" t="str">
        <f>'１１’区分別'!F17</f>
        <v>業務取扱費</v>
      </c>
      <c r="H17" s="57"/>
      <c r="I17" s="45">
        <v>-42068558768</v>
      </c>
      <c r="J17" s="46">
        <v>-78937388386</v>
      </c>
      <c r="K17" s="26">
        <f>-25065611629-K33</f>
        <v>-24942971629</v>
      </c>
      <c r="L17" s="155">
        <f>I17+J17+K17</f>
        <v>-145948918783</v>
      </c>
      <c r="M17" s="45"/>
      <c r="N17" s="139">
        <f>L17+M17</f>
        <v>-145948918783</v>
      </c>
      <c r="O17" s="47"/>
    </row>
    <row r="18" spans="1:15" ht="12.75" customHeight="1">
      <c r="A18" s="52"/>
      <c r="B18" s="62"/>
      <c r="C18" s="62"/>
      <c r="D18" s="62"/>
      <c r="E18" s="62"/>
      <c r="F18" s="62"/>
      <c r="G18" s="62"/>
      <c r="H18" s="63"/>
      <c r="I18" s="52"/>
      <c r="J18" s="53"/>
      <c r="K18" s="53"/>
      <c r="L18" s="168"/>
      <c r="M18" s="52"/>
      <c r="N18" s="176"/>
      <c r="O18" s="47"/>
    </row>
    <row r="19" spans="1:15" ht="12.75" customHeight="1">
      <c r="A19" s="45"/>
      <c r="B19" s="56"/>
      <c r="C19" s="56"/>
      <c r="D19" s="56" t="str">
        <f>'１１’区分別'!D19</f>
        <v>労働保険特別会計業務対価見合等収入</v>
      </c>
      <c r="F19" s="60"/>
      <c r="G19" s="60"/>
      <c r="H19" s="61"/>
      <c r="I19" s="155">
        <f aca="true" t="shared" si="4" ref="I19:N19">I21+I22+I23+I24+I27+I31+I34+I38+I39+I40+I41</f>
        <v>1477202749152</v>
      </c>
      <c r="J19" s="155">
        <f t="shared" si="4"/>
        <v>3261240833669</v>
      </c>
      <c r="K19" s="155">
        <f t="shared" si="4"/>
        <v>110671759960</v>
      </c>
      <c r="L19" s="155">
        <f t="shared" si="4"/>
        <v>4849115342781</v>
      </c>
      <c r="M19" s="163">
        <f t="shared" si="4"/>
        <v>-1021129235</v>
      </c>
      <c r="N19" s="159">
        <f t="shared" si="4"/>
        <v>4848094213546</v>
      </c>
      <c r="O19" s="47"/>
    </row>
    <row r="20" spans="1:15" s="101" customFormat="1" ht="12.75" customHeight="1">
      <c r="A20" s="198"/>
      <c r="B20" s="199"/>
      <c r="C20" s="199"/>
      <c r="D20" s="199"/>
      <c r="E20" s="199" t="s">
        <v>142</v>
      </c>
      <c r="F20" s="199"/>
      <c r="G20" s="199"/>
      <c r="H20" s="200"/>
      <c r="I20" s="201">
        <f>I21+I22+I23</f>
        <v>0</v>
      </c>
      <c r="J20" s="201">
        <f>J21+J22+J23</f>
        <v>0</v>
      </c>
      <c r="K20" s="201">
        <f>K21+K22+K23</f>
        <v>3079893411164</v>
      </c>
      <c r="L20" s="201">
        <f>I20+J20+K20</f>
        <v>3079893411164</v>
      </c>
      <c r="M20" s="202"/>
      <c r="N20" s="208">
        <f>L20+M20</f>
        <v>3079893411164</v>
      </c>
      <c r="O20" s="182"/>
    </row>
    <row r="21" spans="1:15" ht="12.75" customHeight="1">
      <c r="A21" s="45"/>
      <c r="B21" s="56"/>
      <c r="C21" s="56"/>
      <c r="D21" s="56"/>
      <c r="F21" s="56" t="s">
        <v>46</v>
      </c>
      <c r="G21" s="56"/>
      <c r="H21" s="57"/>
      <c r="I21" s="45"/>
      <c r="J21" s="46"/>
      <c r="K21" s="26">
        <v>3078031934765</v>
      </c>
      <c r="L21" s="155">
        <f>I21+J21+K21</f>
        <v>3078031934765</v>
      </c>
      <c r="M21" s="45"/>
      <c r="N21" s="139">
        <f>L21+M21</f>
        <v>3078031934765</v>
      </c>
      <c r="O21" s="47"/>
    </row>
    <row r="22" spans="1:15" s="101" customFormat="1" ht="12.75" customHeight="1">
      <c r="A22" s="198"/>
      <c r="B22" s="199"/>
      <c r="C22" s="199"/>
      <c r="D22" s="199"/>
      <c r="E22" s="205"/>
      <c r="F22" s="214" t="s">
        <v>57</v>
      </c>
      <c r="G22" s="199"/>
      <c r="H22" s="200"/>
      <c r="I22" s="198"/>
      <c r="J22" s="211"/>
      <c r="K22" s="215">
        <v>840347164</v>
      </c>
      <c r="L22" s="201">
        <f>I22+J22+K22</f>
        <v>840347164</v>
      </c>
      <c r="M22" s="216">
        <f>-L22</f>
        <v>-840347164</v>
      </c>
      <c r="N22" s="208">
        <f>L22+M22</f>
        <v>0</v>
      </c>
      <c r="O22" s="182"/>
    </row>
    <row r="23" spans="1:15" s="101" customFormat="1" ht="12.75" customHeight="1">
      <c r="A23" s="198"/>
      <c r="B23" s="199"/>
      <c r="C23" s="199"/>
      <c r="D23" s="199"/>
      <c r="E23" s="205"/>
      <c r="F23" s="214" t="s">
        <v>58</v>
      </c>
      <c r="G23" s="199"/>
      <c r="H23" s="200"/>
      <c r="I23" s="198"/>
      <c r="J23" s="211"/>
      <c r="K23" s="215">
        <v>1021129235</v>
      </c>
      <c r="L23" s="201">
        <f>I23+J23+K23</f>
        <v>1021129235</v>
      </c>
      <c r="M23" s="216">
        <f>-L23</f>
        <v>-1021129235</v>
      </c>
      <c r="N23" s="208">
        <f>L23+M23</f>
        <v>0</v>
      </c>
      <c r="O23" s="182"/>
    </row>
    <row r="24" spans="1:15" ht="12.75" customHeight="1">
      <c r="A24" s="45"/>
      <c r="B24" s="56"/>
      <c r="C24" s="56"/>
      <c r="D24" s="56"/>
      <c r="E24" s="88" t="str">
        <f>'１１’区分別'!E24</f>
        <v>他会計からの受入</v>
      </c>
      <c r="F24" s="89"/>
      <c r="G24" s="60"/>
      <c r="H24" s="61"/>
      <c r="I24" s="155">
        <f aca="true" t="shared" si="5" ref="I24:N24">I25+I26</f>
        <v>1307000000</v>
      </c>
      <c r="J24" s="155">
        <f t="shared" si="5"/>
        <v>336279000000</v>
      </c>
      <c r="K24" s="155">
        <f>K25+K26</f>
        <v>0</v>
      </c>
      <c r="L24" s="155">
        <f t="shared" si="5"/>
        <v>337586000000</v>
      </c>
      <c r="M24" s="163">
        <f t="shared" si="5"/>
        <v>840347164</v>
      </c>
      <c r="N24" s="159">
        <f t="shared" si="5"/>
        <v>338426347164</v>
      </c>
      <c r="O24" s="47"/>
    </row>
    <row r="25" spans="1:15" ht="12.75" customHeight="1">
      <c r="A25" s="45"/>
      <c r="B25" s="56"/>
      <c r="C25" s="56"/>
      <c r="D25" s="56"/>
      <c r="E25" s="56"/>
      <c r="F25" s="56" t="str">
        <f>'１１’区分別'!F25</f>
        <v>一般会計からの受入</v>
      </c>
      <c r="G25" s="60"/>
      <c r="H25" s="61"/>
      <c r="I25" s="26">
        <v>1307000000</v>
      </c>
      <c r="J25" s="26">
        <v>336279000000</v>
      </c>
      <c r="K25" s="26"/>
      <c r="L25" s="155">
        <f>I25+J25+K25</f>
        <v>337586000000</v>
      </c>
      <c r="M25" s="148"/>
      <c r="N25" s="139">
        <f>L25+M25</f>
        <v>337586000000</v>
      </c>
      <c r="O25" s="47"/>
    </row>
    <row r="26" spans="1:15" ht="12.75" customHeight="1">
      <c r="A26" s="45"/>
      <c r="B26" s="56"/>
      <c r="C26" s="56"/>
      <c r="D26" s="56"/>
      <c r="E26" s="56"/>
      <c r="F26" s="56" t="str">
        <f>'１１’区分別'!F26</f>
        <v>郵政事業特別会計からの受入</v>
      </c>
      <c r="G26" s="60"/>
      <c r="H26" s="61"/>
      <c r="I26" s="26"/>
      <c r="J26" s="26"/>
      <c r="K26" s="26"/>
      <c r="L26" s="155">
        <f>I26+J26+K26</f>
        <v>0</v>
      </c>
      <c r="M26" s="163">
        <f>-M22</f>
        <v>840347164</v>
      </c>
      <c r="N26" s="139">
        <f>L26+M26</f>
        <v>840347164</v>
      </c>
      <c r="O26" s="47"/>
    </row>
    <row r="27" spans="1:15" s="101" customFormat="1" ht="12.75" customHeight="1">
      <c r="A27" s="198"/>
      <c r="B27" s="199"/>
      <c r="C27" s="199"/>
      <c r="D27" s="199"/>
      <c r="E27" s="199" t="str">
        <f>'１１’区分別'!E27</f>
        <v>他勘定からの受入</v>
      </c>
      <c r="F27" s="199"/>
      <c r="G27" s="199"/>
      <c r="H27" s="200"/>
      <c r="I27" s="201">
        <f aca="true" t="shared" si="6" ref="I27:N27">I28+I29+I30</f>
        <v>1330590269738</v>
      </c>
      <c r="J27" s="201">
        <f t="shared" si="6"/>
        <v>1749303412394</v>
      </c>
      <c r="K27" s="217">
        <f t="shared" si="6"/>
        <v>110165833000</v>
      </c>
      <c r="L27" s="201">
        <f t="shared" si="6"/>
        <v>3190059515132</v>
      </c>
      <c r="M27" s="202">
        <f t="shared" si="6"/>
        <v>-3190059515132</v>
      </c>
      <c r="N27" s="203">
        <f t="shared" si="6"/>
        <v>0</v>
      </c>
      <c r="O27" s="182"/>
    </row>
    <row r="28" spans="1:15" s="101" customFormat="1" ht="12.75" customHeight="1">
      <c r="A28" s="198"/>
      <c r="B28" s="199"/>
      <c r="C28" s="199"/>
      <c r="D28" s="199"/>
      <c r="E28" s="199"/>
      <c r="F28" s="199" t="str">
        <f>'１１’区分別'!F28</f>
        <v>労災勘定からの受入</v>
      </c>
      <c r="G28" s="205"/>
      <c r="H28" s="200"/>
      <c r="I28" s="206"/>
      <c r="J28" s="206"/>
      <c r="K28" s="207">
        <v>87134645000</v>
      </c>
      <c r="L28" s="201">
        <f>I28+J28+K28</f>
        <v>87134645000</v>
      </c>
      <c r="M28" s="202">
        <f>-K28</f>
        <v>-87134645000</v>
      </c>
      <c r="N28" s="208">
        <f>L28+M28</f>
        <v>0</v>
      </c>
      <c r="O28" s="182"/>
    </row>
    <row r="29" spans="1:15" s="101" customFormat="1" ht="12.75" customHeight="1">
      <c r="A29" s="198"/>
      <c r="B29" s="199"/>
      <c r="C29" s="199"/>
      <c r="D29" s="199"/>
      <c r="E29" s="199"/>
      <c r="F29" s="199" t="str">
        <f>'１１’区分別'!F29</f>
        <v>雇用勘定からの受入</v>
      </c>
      <c r="G29" s="205"/>
      <c r="H29" s="200"/>
      <c r="I29" s="206"/>
      <c r="J29" s="206"/>
      <c r="K29" s="207">
        <v>23031188000</v>
      </c>
      <c r="L29" s="201">
        <f>I29+J29+K29</f>
        <v>23031188000</v>
      </c>
      <c r="M29" s="202">
        <f>-K29</f>
        <v>-23031188000</v>
      </c>
      <c r="N29" s="208">
        <f>L29+M29</f>
        <v>0</v>
      </c>
      <c r="O29" s="182"/>
    </row>
    <row r="30" spans="1:15" s="101" customFormat="1" ht="12.75" customHeight="1">
      <c r="A30" s="198"/>
      <c r="B30" s="199"/>
      <c r="C30" s="199"/>
      <c r="D30" s="199"/>
      <c r="E30" s="199"/>
      <c r="F30" s="199" t="str">
        <f>'１１’区分別'!F30</f>
        <v>徴収勘定からの受入</v>
      </c>
      <c r="G30" s="205"/>
      <c r="H30" s="200"/>
      <c r="I30" s="209">
        <v>1330590269738</v>
      </c>
      <c r="J30" s="209">
        <v>1749303412394</v>
      </c>
      <c r="K30" s="206"/>
      <c r="L30" s="218">
        <f>I30+J30+K30</f>
        <v>3079893682132</v>
      </c>
      <c r="M30" s="202">
        <f>-I30-J30</f>
        <v>-3079893682132</v>
      </c>
      <c r="N30" s="208">
        <f>L30+M30</f>
        <v>0</v>
      </c>
      <c r="O30" s="182"/>
    </row>
    <row r="31" spans="1:15" ht="12.75" customHeight="1">
      <c r="A31" s="45"/>
      <c r="B31" s="56"/>
      <c r="C31" s="56"/>
      <c r="D31" s="56"/>
      <c r="E31" s="56" t="str">
        <f>'１１’区分別'!E31</f>
        <v>他会計への繰入</v>
      </c>
      <c r="F31" s="11"/>
      <c r="H31" s="57"/>
      <c r="I31" s="155">
        <f aca="true" t="shared" si="7" ref="I31:N31">I32+I33</f>
        <v>-307732000</v>
      </c>
      <c r="J31" s="155">
        <f t="shared" si="7"/>
        <v>-147673000</v>
      </c>
      <c r="K31" s="155">
        <f t="shared" si="7"/>
        <v>-122640000</v>
      </c>
      <c r="L31" s="155">
        <f t="shared" si="7"/>
        <v>-578045000</v>
      </c>
      <c r="M31" s="163">
        <f t="shared" si="7"/>
        <v>0</v>
      </c>
      <c r="N31" s="159">
        <f t="shared" si="7"/>
        <v>-578045000</v>
      </c>
      <c r="O31" s="47"/>
    </row>
    <row r="32" spans="1:15" ht="12.75" customHeight="1">
      <c r="A32" s="45"/>
      <c r="B32" s="56"/>
      <c r="C32" s="56"/>
      <c r="D32" s="56"/>
      <c r="E32" s="56"/>
      <c r="F32" s="56" t="str">
        <f>'１１’区分別'!F32</f>
        <v>一般会計への繰入</v>
      </c>
      <c r="H32" s="57"/>
      <c r="I32" s="26">
        <v>-300140000</v>
      </c>
      <c r="J32" s="26">
        <v>-147185000</v>
      </c>
      <c r="K32" s="26"/>
      <c r="L32" s="155">
        <f>I32+J32+K32</f>
        <v>-447325000</v>
      </c>
      <c r="M32" s="148"/>
      <c r="N32" s="139">
        <f>L32+M32</f>
        <v>-447325000</v>
      </c>
      <c r="O32" s="47"/>
    </row>
    <row r="33" spans="1:15" ht="12.75" customHeight="1">
      <c r="A33" s="45"/>
      <c r="B33" s="56"/>
      <c r="C33" s="56"/>
      <c r="D33" s="56"/>
      <c r="E33" s="56"/>
      <c r="F33" s="56" t="str">
        <f>'１１’区分別'!F33</f>
        <v>郵政事業特別会計への繰入</v>
      </c>
      <c r="H33" s="57"/>
      <c r="I33" s="26">
        <v>-7592000</v>
      </c>
      <c r="J33" s="26">
        <v>-488000</v>
      </c>
      <c r="K33" s="26">
        <v>-122640000</v>
      </c>
      <c r="L33" s="155">
        <f>I33+J33+K33</f>
        <v>-130720000</v>
      </c>
      <c r="M33" s="148"/>
      <c r="N33" s="139">
        <f>L33+M33</f>
        <v>-130720000</v>
      </c>
      <c r="O33" s="47"/>
    </row>
    <row r="34" spans="1:15" s="101" customFormat="1" ht="12.75" customHeight="1">
      <c r="A34" s="198"/>
      <c r="B34" s="199"/>
      <c r="C34" s="199"/>
      <c r="D34" s="199"/>
      <c r="E34" s="199" t="str">
        <f>'１１’区分別'!E34</f>
        <v>他勘定への繰入</v>
      </c>
      <c r="F34" s="199"/>
      <c r="G34" s="199"/>
      <c r="H34" s="200"/>
      <c r="I34" s="201">
        <f aca="true" t="shared" si="8" ref="I34:N34">I35+I36+I37</f>
        <v>-87134645000</v>
      </c>
      <c r="J34" s="201">
        <f t="shared" si="8"/>
        <v>-23031188000</v>
      </c>
      <c r="K34" s="218">
        <f t="shared" si="8"/>
        <v>-3079893682132</v>
      </c>
      <c r="L34" s="201">
        <f t="shared" si="8"/>
        <v>-3190059515132</v>
      </c>
      <c r="M34" s="202">
        <f t="shared" si="8"/>
        <v>3190059515132</v>
      </c>
      <c r="N34" s="203">
        <f t="shared" si="8"/>
        <v>0</v>
      </c>
      <c r="O34" s="182"/>
    </row>
    <row r="35" spans="1:15" s="101" customFormat="1" ht="12.75" customHeight="1">
      <c r="A35" s="198"/>
      <c r="B35" s="199"/>
      <c r="C35" s="199"/>
      <c r="D35" s="199"/>
      <c r="E35" s="199"/>
      <c r="F35" s="199" t="str">
        <f>'１１’区分別'!F35</f>
        <v>労災勘定への繰入</v>
      </c>
      <c r="G35" s="204"/>
      <c r="H35" s="200"/>
      <c r="I35" s="198"/>
      <c r="J35" s="211"/>
      <c r="K35" s="209">
        <v>-1330590269738</v>
      </c>
      <c r="L35" s="201">
        <f aca="true" t="shared" si="9" ref="L35:L40">I35+J35+K35</f>
        <v>-1330590269738</v>
      </c>
      <c r="M35" s="202">
        <f>-K35</f>
        <v>1330590269738</v>
      </c>
      <c r="N35" s="208">
        <f aca="true" t="shared" si="10" ref="N35:N40">L35+M35</f>
        <v>0</v>
      </c>
      <c r="O35" s="182"/>
    </row>
    <row r="36" spans="1:15" s="101" customFormat="1" ht="12.75" customHeight="1">
      <c r="A36" s="198"/>
      <c r="B36" s="199"/>
      <c r="C36" s="199"/>
      <c r="D36" s="199"/>
      <c r="E36" s="199"/>
      <c r="F36" s="199" t="str">
        <f>'１１’区分別'!F36</f>
        <v>雇用勘定への繰入</v>
      </c>
      <c r="G36" s="204"/>
      <c r="H36" s="200"/>
      <c r="I36" s="198"/>
      <c r="J36" s="211"/>
      <c r="K36" s="209">
        <v>-1749303412394</v>
      </c>
      <c r="L36" s="201">
        <f t="shared" si="9"/>
        <v>-1749303412394</v>
      </c>
      <c r="M36" s="202">
        <f>-K36</f>
        <v>1749303412394</v>
      </c>
      <c r="N36" s="208">
        <f t="shared" si="10"/>
        <v>0</v>
      </c>
      <c r="O36" s="182"/>
    </row>
    <row r="37" spans="1:15" s="101" customFormat="1" ht="12.75" customHeight="1">
      <c r="A37" s="198"/>
      <c r="B37" s="199"/>
      <c r="C37" s="199"/>
      <c r="D37" s="199"/>
      <c r="E37" s="199"/>
      <c r="F37" s="199" t="str">
        <f>'１１’区分別'!F37</f>
        <v>徴収勘定への繰入</v>
      </c>
      <c r="G37" s="204"/>
      <c r="H37" s="200"/>
      <c r="I37" s="212">
        <v>-87134645000</v>
      </c>
      <c r="J37" s="213">
        <v>-23031188000</v>
      </c>
      <c r="K37" s="206"/>
      <c r="L37" s="217">
        <f t="shared" si="9"/>
        <v>-110165833000</v>
      </c>
      <c r="M37" s="202">
        <f>-I37-J37</f>
        <v>110165833000</v>
      </c>
      <c r="N37" s="208">
        <f t="shared" si="10"/>
        <v>0</v>
      </c>
      <c r="O37" s="182"/>
    </row>
    <row r="38" spans="1:15" ht="12.75" customHeight="1">
      <c r="A38" s="45"/>
      <c r="B38" s="56"/>
      <c r="C38" s="56"/>
      <c r="D38" s="56"/>
      <c r="E38" s="56" t="str">
        <f>'１１’区分別'!E38</f>
        <v>未経過保険料受入</v>
      </c>
      <c r="F38" s="96"/>
      <c r="G38" s="11"/>
      <c r="H38" s="57"/>
      <c r="I38" s="45">
        <v>33211011214</v>
      </c>
      <c r="J38" s="46"/>
      <c r="K38" s="26"/>
      <c r="L38" s="155">
        <f t="shared" si="9"/>
        <v>33211011214</v>
      </c>
      <c r="M38" s="45"/>
      <c r="N38" s="139">
        <f t="shared" si="10"/>
        <v>33211011214</v>
      </c>
      <c r="O38" s="47"/>
    </row>
    <row r="39" spans="1:15" ht="12.75" customHeight="1">
      <c r="A39" s="45"/>
      <c r="B39" s="56"/>
      <c r="C39" s="56"/>
      <c r="D39" s="56"/>
      <c r="E39" s="56" t="str">
        <f>'１１’区分別'!E39</f>
        <v>支払備金受入</v>
      </c>
      <c r="F39" s="96"/>
      <c r="G39" s="11"/>
      <c r="H39" s="57"/>
      <c r="I39" s="45">
        <v>197377155000</v>
      </c>
      <c r="J39" s="46"/>
      <c r="K39" s="26"/>
      <c r="L39" s="155">
        <f t="shared" si="9"/>
        <v>197377155000</v>
      </c>
      <c r="M39" s="45"/>
      <c r="N39" s="139">
        <f t="shared" si="10"/>
        <v>197377155000</v>
      </c>
      <c r="O39" s="47"/>
    </row>
    <row r="40" spans="1:15" ht="12.75" customHeight="1">
      <c r="A40" s="45"/>
      <c r="B40" s="56"/>
      <c r="C40" s="56"/>
      <c r="D40" s="56"/>
      <c r="E40" s="56" t="str">
        <f>'１１’区分別'!E40</f>
        <v>前年度剰余金受入</v>
      </c>
      <c r="F40" s="56"/>
      <c r="G40" s="56"/>
      <c r="H40" s="57"/>
      <c r="I40" s="45">
        <v>2159690200</v>
      </c>
      <c r="J40" s="46">
        <v>12367499565</v>
      </c>
      <c r="K40" s="26">
        <v>628837928</v>
      </c>
      <c r="L40" s="155">
        <f t="shared" si="9"/>
        <v>15156027693</v>
      </c>
      <c r="M40" s="45"/>
      <c r="N40" s="139">
        <f t="shared" si="10"/>
        <v>15156027693</v>
      </c>
      <c r="O40" s="47"/>
    </row>
    <row r="41" spans="1:15" ht="12.75" customHeight="1">
      <c r="A41" s="45"/>
      <c r="B41" s="56"/>
      <c r="C41" s="56"/>
      <c r="D41" s="56"/>
      <c r="E41" s="56" t="str">
        <f>'１１’区分別'!E41</f>
        <v>資金（積立金）からの受入</v>
      </c>
      <c r="F41" s="56"/>
      <c r="G41" s="56"/>
      <c r="H41" s="57"/>
      <c r="I41" s="155">
        <f aca="true" t="shared" si="11" ref="I41:N41">I42+I43</f>
        <v>0</v>
      </c>
      <c r="J41" s="155">
        <f t="shared" si="11"/>
        <v>1186469782710</v>
      </c>
      <c r="K41" s="155">
        <f t="shared" si="11"/>
        <v>0</v>
      </c>
      <c r="L41" s="155">
        <f t="shared" si="11"/>
        <v>1186469782710</v>
      </c>
      <c r="M41" s="163">
        <f t="shared" si="11"/>
        <v>0</v>
      </c>
      <c r="N41" s="159">
        <f t="shared" si="11"/>
        <v>1186469782710</v>
      </c>
      <c r="O41" s="47"/>
    </row>
    <row r="42" spans="1:15" ht="12.75" customHeight="1">
      <c r="A42" s="45"/>
      <c r="B42" s="56"/>
      <c r="C42" s="56"/>
      <c r="D42" s="56"/>
      <c r="E42" s="56"/>
      <c r="F42" s="56" t="str">
        <f>'１１’区分別'!F42</f>
        <v>積立金から受入</v>
      </c>
      <c r="G42" s="56"/>
      <c r="H42" s="57"/>
      <c r="I42" s="45"/>
      <c r="J42" s="46">
        <v>1186469782710</v>
      </c>
      <c r="K42" s="26"/>
      <c r="L42" s="155">
        <f>I42+J42+K42</f>
        <v>1186469782710</v>
      </c>
      <c r="M42" s="45"/>
      <c r="N42" s="139">
        <f>L42+M42</f>
        <v>1186469782710</v>
      </c>
      <c r="O42" s="47"/>
    </row>
    <row r="43" spans="1:15" ht="12.75" customHeight="1">
      <c r="A43" s="45"/>
      <c r="B43" s="56"/>
      <c r="C43" s="56"/>
      <c r="D43" s="56"/>
      <c r="E43" s="56"/>
      <c r="F43" s="56" t="str">
        <f>'１１’区分別'!F43</f>
        <v>雇用安定資金から受入</v>
      </c>
      <c r="G43" s="56"/>
      <c r="H43" s="57"/>
      <c r="I43" s="64"/>
      <c r="J43" s="192">
        <v>0</v>
      </c>
      <c r="K43" s="27"/>
      <c r="L43" s="157">
        <f>I43+J43+K43</f>
        <v>0</v>
      </c>
      <c r="M43" s="64"/>
      <c r="N43" s="141">
        <f>L43+M43</f>
        <v>0</v>
      </c>
      <c r="O43" s="47"/>
    </row>
    <row r="44" spans="1:15" ht="12.75" customHeight="1">
      <c r="A44" s="45"/>
      <c r="B44" s="56"/>
      <c r="C44" s="56"/>
      <c r="D44" s="56"/>
      <c r="E44" s="56"/>
      <c r="F44" s="56" t="str">
        <f>'１１’区分別'!F44</f>
        <v>小計</v>
      </c>
      <c r="G44" s="56"/>
      <c r="H44" s="57"/>
      <c r="I44" s="155">
        <f aca="true" t="shared" si="12" ref="I44:N44">I6+I21+I22+I23+I24+I27+I31+I34+I38+I39+I40+I41</f>
        <v>334760559634</v>
      </c>
      <c r="J44" s="155">
        <f t="shared" si="12"/>
        <v>65926348862</v>
      </c>
      <c r="K44" s="155">
        <f t="shared" si="12"/>
        <v>1040315965</v>
      </c>
      <c r="L44" s="155">
        <f t="shared" si="12"/>
        <v>401727224461</v>
      </c>
      <c r="M44" s="163">
        <f t="shared" si="12"/>
        <v>-1021129235</v>
      </c>
      <c r="N44" s="159">
        <f t="shared" si="12"/>
        <v>400706095226</v>
      </c>
      <c r="O44" s="47"/>
    </row>
    <row r="45" spans="1:15" ht="12.75" customHeight="1">
      <c r="A45" s="45"/>
      <c r="B45" s="56"/>
      <c r="C45" s="56"/>
      <c r="D45" s="56"/>
      <c r="E45" s="56" t="str">
        <f>'１１’区分別'!E45</f>
        <v>利息及び配当の受取額</v>
      </c>
      <c r="F45" s="56"/>
      <c r="G45" s="56"/>
      <c r="H45" s="57"/>
      <c r="I45" s="26">
        <v>183585606137</v>
      </c>
      <c r="J45" s="26">
        <v>38359387746</v>
      </c>
      <c r="K45" s="26">
        <v>270968</v>
      </c>
      <c r="L45" s="155">
        <f>I45+J45+K45</f>
        <v>221945264851</v>
      </c>
      <c r="M45" s="148"/>
      <c r="N45" s="139">
        <f>L45+M45</f>
        <v>221945264851</v>
      </c>
      <c r="O45" s="47"/>
    </row>
    <row r="46" spans="1:15" ht="12.75" customHeight="1">
      <c r="A46" s="45"/>
      <c r="B46" s="56"/>
      <c r="C46" s="56"/>
      <c r="D46" s="56"/>
      <c r="E46" s="88" t="str">
        <f>'１１’区分別'!E46</f>
        <v>その他収入</v>
      </c>
      <c r="F46" s="88"/>
      <c r="G46" s="56"/>
      <c r="H46" s="57"/>
      <c r="I46" s="26">
        <v>26974362149</v>
      </c>
      <c r="J46" s="26">
        <v>29637535328</v>
      </c>
      <c r="K46" s="26"/>
      <c r="L46" s="155">
        <f>I46+J46+K46</f>
        <v>56611897477</v>
      </c>
      <c r="M46" s="163">
        <f>-M23</f>
        <v>1021129235</v>
      </c>
      <c r="N46" s="139">
        <f>L46+M46</f>
        <v>57633026712</v>
      </c>
      <c r="O46" s="47"/>
    </row>
    <row r="47" spans="1:15" ht="12.75" customHeight="1" thickBot="1">
      <c r="A47" s="45"/>
      <c r="B47" s="56"/>
      <c r="C47" s="56"/>
      <c r="D47" s="56"/>
      <c r="E47" s="88" t="str">
        <f>'１１’区分別'!E47</f>
        <v>その他現金・預金</v>
      </c>
      <c r="F47" s="88"/>
      <c r="G47" s="56"/>
      <c r="H47" s="57"/>
      <c r="I47" s="91">
        <v>6853617433110</v>
      </c>
      <c r="J47" s="261">
        <f>1079246198112-69083933872</f>
        <v>1010162264240</v>
      </c>
      <c r="K47" s="91"/>
      <c r="L47" s="169">
        <f>I47+J47+K47</f>
        <v>7863779697350</v>
      </c>
      <c r="M47" s="197"/>
      <c r="N47" s="177">
        <f>L47+M47</f>
        <v>7863779697350</v>
      </c>
      <c r="O47" s="47"/>
    </row>
    <row r="48" spans="1:15" ht="12.75" customHeight="1" thickTop="1">
      <c r="A48" s="45"/>
      <c r="B48" s="56"/>
      <c r="C48" s="56" t="str">
        <f>'１１’区分別'!C48</f>
        <v>業務収支</v>
      </c>
      <c r="D48" s="56"/>
      <c r="E48" s="56"/>
      <c r="F48" s="56"/>
      <c r="G48" s="56"/>
      <c r="H48" s="57"/>
      <c r="I48" s="155">
        <f aca="true" t="shared" si="13" ref="I48:N48">I44+I45+I46+I47</f>
        <v>7398937961030</v>
      </c>
      <c r="J48" s="155">
        <f t="shared" si="13"/>
        <v>1144085536176</v>
      </c>
      <c r="K48" s="155">
        <f t="shared" si="13"/>
        <v>1040586933</v>
      </c>
      <c r="L48" s="155">
        <f t="shared" si="13"/>
        <v>8544064084139</v>
      </c>
      <c r="M48" s="163">
        <f t="shared" si="13"/>
        <v>0</v>
      </c>
      <c r="N48" s="159">
        <f t="shared" si="13"/>
        <v>8544064084139</v>
      </c>
      <c r="O48" s="47"/>
    </row>
    <row r="49" spans="1:15" ht="12.75" customHeight="1">
      <c r="A49" s="48"/>
      <c r="B49" s="58"/>
      <c r="C49" s="58"/>
      <c r="D49" s="58"/>
      <c r="E49" s="58"/>
      <c r="F49" s="58"/>
      <c r="G49" s="58"/>
      <c r="H49" s="59"/>
      <c r="I49" s="48"/>
      <c r="J49" s="49"/>
      <c r="K49" s="49"/>
      <c r="L49" s="170"/>
      <c r="M49" s="48"/>
      <c r="N49" s="178"/>
      <c r="O49" s="50"/>
    </row>
    <row r="50" spans="1:15" ht="12.75" customHeight="1">
      <c r="A50" s="42" t="s">
        <v>131</v>
      </c>
      <c r="B50" s="54"/>
      <c r="C50" s="54" t="str">
        <f>'１１’区分別'!C50</f>
        <v>施設整備収支</v>
      </c>
      <c r="D50" s="54"/>
      <c r="E50" s="54"/>
      <c r="F50" s="54"/>
      <c r="G50" s="54"/>
      <c r="H50" s="55"/>
      <c r="I50" s="42"/>
      <c r="J50" s="43"/>
      <c r="K50" s="25"/>
      <c r="L50" s="166"/>
      <c r="M50" s="42"/>
      <c r="N50" s="174"/>
      <c r="O50" s="44"/>
    </row>
    <row r="51" spans="1:15" ht="12.75" customHeight="1">
      <c r="A51" s="45"/>
      <c r="B51" s="56"/>
      <c r="C51" s="56"/>
      <c r="D51" s="56"/>
      <c r="E51" s="56" t="str">
        <f>'１１’区分別'!E51</f>
        <v>施設整備による支出</v>
      </c>
      <c r="F51" s="56"/>
      <c r="G51" s="56"/>
      <c r="H51" s="57"/>
      <c r="I51" s="45">
        <v>-10733834886</v>
      </c>
      <c r="J51" s="46">
        <v>-13113836351</v>
      </c>
      <c r="K51" s="26">
        <v>-272054170</v>
      </c>
      <c r="L51" s="155">
        <f>I51+J51+K51</f>
        <v>-24119725407</v>
      </c>
      <c r="M51" s="45"/>
      <c r="N51" s="139">
        <f>L51+M51</f>
        <v>-24119725407</v>
      </c>
      <c r="O51" s="47"/>
    </row>
    <row r="52" spans="1:15" ht="12.75" customHeight="1" thickBot="1">
      <c r="A52" s="45"/>
      <c r="B52" s="56"/>
      <c r="C52" s="56"/>
      <c r="D52" s="56"/>
      <c r="E52" s="56" t="str">
        <f>'１１’区分別'!E52</f>
        <v>資産売却収入</v>
      </c>
      <c r="F52" s="56"/>
      <c r="G52" s="56"/>
      <c r="H52" s="57"/>
      <c r="I52" s="92">
        <v>83506900</v>
      </c>
      <c r="J52" s="93">
        <v>324085005</v>
      </c>
      <c r="K52" s="91"/>
      <c r="L52" s="169">
        <f>I52+J52+K52</f>
        <v>407591905</v>
      </c>
      <c r="M52" s="92"/>
      <c r="N52" s="177">
        <f>L52+M52</f>
        <v>407591905</v>
      </c>
      <c r="O52" s="47"/>
    </row>
    <row r="53" spans="1:15" ht="12.75" customHeight="1" thickTop="1">
      <c r="A53" s="45"/>
      <c r="B53" s="56"/>
      <c r="C53" s="56" t="str">
        <f>'１１’区分別'!C53</f>
        <v>施設整備収支</v>
      </c>
      <c r="D53" s="56"/>
      <c r="E53" s="56"/>
      <c r="F53" s="56"/>
      <c r="G53" s="56"/>
      <c r="H53" s="57"/>
      <c r="I53" s="155">
        <f aca="true" t="shared" si="14" ref="I53:N53">I51+I52</f>
        <v>-10650327986</v>
      </c>
      <c r="J53" s="155">
        <f t="shared" si="14"/>
        <v>-12789751346</v>
      </c>
      <c r="K53" s="155">
        <f t="shared" si="14"/>
        <v>-272054170</v>
      </c>
      <c r="L53" s="155">
        <f t="shared" si="14"/>
        <v>-23712133502</v>
      </c>
      <c r="M53" s="163">
        <f t="shared" si="14"/>
        <v>0</v>
      </c>
      <c r="N53" s="159">
        <f t="shared" si="14"/>
        <v>-23712133502</v>
      </c>
      <c r="O53" s="47"/>
    </row>
    <row r="54" spans="1:15" ht="12.75" customHeight="1">
      <c r="A54" s="48"/>
      <c r="B54" s="58"/>
      <c r="C54" s="58"/>
      <c r="D54" s="58"/>
      <c r="E54" s="58"/>
      <c r="F54" s="58"/>
      <c r="G54" s="58"/>
      <c r="H54" s="59"/>
      <c r="I54" s="48"/>
      <c r="J54" s="49"/>
      <c r="K54" s="49"/>
      <c r="L54" s="170"/>
      <c r="M54" s="48"/>
      <c r="N54" s="178"/>
      <c r="O54" s="50"/>
    </row>
    <row r="55" spans="1:15" ht="12.75" customHeight="1">
      <c r="A55" s="42" t="s">
        <v>64</v>
      </c>
      <c r="B55" s="54"/>
      <c r="C55" s="54" t="str">
        <f>'１１’区分別'!C55</f>
        <v>財務収支</v>
      </c>
      <c r="D55" s="54"/>
      <c r="E55" s="54"/>
      <c r="F55" s="54"/>
      <c r="G55" s="54"/>
      <c r="H55" s="55"/>
      <c r="I55" s="51" t="s">
        <v>69</v>
      </c>
      <c r="J55" s="51" t="s">
        <v>136</v>
      </c>
      <c r="K55" s="51" t="s">
        <v>132</v>
      </c>
      <c r="L55" s="171" t="s">
        <v>132</v>
      </c>
      <c r="M55" s="152" t="s">
        <v>132</v>
      </c>
      <c r="N55" s="179" t="s">
        <v>133</v>
      </c>
      <c r="O55" s="44"/>
    </row>
    <row r="56" spans="1:15" ht="12.75" customHeight="1">
      <c r="A56" s="48"/>
      <c r="B56" s="58"/>
      <c r="C56" s="58"/>
      <c r="D56" s="58"/>
      <c r="E56" s="58"/>
      <c r="F56" s="58"/>
      <c r="G56" s="58"/>
      <c r="H56" s="59"/>
      <c r="I56" s="48"/>
      <c r="J56" s="49"/>
      <c r="K56" s="49"/>
      <c r="L56" s="170"/>
      <c r="M56" s="48"/>
      <c r="N56" s="178"/>
      <c r="O56" s="50"/>
    </row>
    <row r="57" spans="1:15" ht="12.75" customHeight="1">
      <c r="A57" s="45"/>
      <c r="B57" s="56" t="str">
        <f>'１１’区分別'!B57</f>
        <v>本年度収支</v>
      </c>
      <c r="C57" s="56"/>
      <c r="D57" s="56"/>
      <c r="E57" s="56"/>
      <c r="F57" s="56"/>
      <c r="G57" s="56"/>
      <c r="H57" s="57"/>
      <c r="I57" s="167">
        <f aca="true" t="shared" si="15" ref="I57:N57">I48+I53</f>
        <v>7388287633044</v>
      </c>
      <c r="J57" s="167">
        <f t="shared" si="15"/>
        <v>1131295784830</v>
      </c>
      <c r="K57" s="167">
        <f t="shared" si="15"/>
        <v>768532763</v>
      </c>
      <c r="L57" s="167">
        <f t="shared" si="15"/>
        <v>8520351950637</v>
      </c>
      <c r="M57" s="167">
        <f t="shared" si="15"/>
        <v>0</v>
      </c>
      <c r="N57" s="175">
        <f t="shared" si="15"/>
        <v>8520351950637</v>
      </c>
      <c r="O57" s="47"/>
    </row>
    <row r="58" spans="1:15" ht="12.75" customHeight="1">
      <c r="A58" s="45"/>
      <c r="B58" s="56"/>
      <c r="C58" s="56"/>
      <c r="D58" s="56"/>
      <c r="E58" s="56"/>
      <c r="F58" s="56"/>
      <c r="G58" s="56"/>
      <c r="H58" s="57"/>
      <c r="I58" s="45"/>
      <c r="J58" s="46"/>
      <c r="K58" s="26"/>
      <c r="L58" s="172"/>
      <c r="M58" s="45"/>
      <c r="N58" s="176"/>
      <c r="O58" s="47"/>
    </row>
    <row r="59" spans="1:15" ht="12.75" customHeight="1">
      <c r="A59" s="45"/>
      <c r="B59" s="56" t="str">
        <f>'１１’区分別'!B59</f>
        <v>資金（積立金）からの受入</v>
      </c>
      <c r="C59" s="96"/>
      <c r="D59" s="96"/>
      <c r="E59" s="56"/>
      <c r="F59" s="96"/>
      <c r="G59" s="56"/>
      <c r="H59" s="57"/>
      <c r="I59" s="167">
        <f aca="true" t="shared" si="16" ref="I59:N59">I60+I61</f>
        <v>0</v>
      </c>
      <c r="J59" s="167">
        <f t="shared" si="16"/>
        <v>69083933872</v>
      </c>
      <c r="K59" s="167">
        <f t="shared" si="16"/>
        <v>0</v>
      </c>
      <c r="L59" s="167">
        <f t="shared" si="16"/>
        <v>69083933872</v>
      </c>
      <c r="M59" s="167">
        <f t="shared" si="16"/>
        <v>0</v>
      </c>
      <c r="N59" s="175">
        <f t="shared" si="16"/>
        <v>69083933872</v>
      </c>
      <c r="O59" s="47"/>
    </row>
    <row r="60" spans="1:15" ht="12.75" customHeight="1">
      <c r="A60" s="45"/>
      <c r="B60" s="96"/>
      <c r="C60" s="56" t="str">
        <f>'１１’区分別'!C60</f>
        <v>積立金</v>
      </c>
      <c r="D60" s="56"/>
      <c r="E60" s="96"/>
      <c r="F60" s="56"/>
      <c r="G60" s="56"/>
      <c r="H60" s="57"/>
      <c r="I60" s="45"/>
      <c r="J60" s="45"/>
      <c r="K60" s="45"/>
      <c r="L60" s="155">
        <f>I60+J60+K60</f>
        <v>0</v>
      </c>
      <c r="M60" s="45"/>
      <c r="N60" s="139">
        <f>L60+M60</f>
        <v>0</v>
      </c>
      <c r="O60" s="47"/>
    </row>
    <row r="61" spans="1:15" ht="12.75" customHeight="1">
      <c r="A61" s="45"/>
      <c r="B61" s="96"/>
      <c r="C61" s="56" t="str">
        <f>'１１’区分別'!C61</f>
        <v>雇用安定資金</v>
      </c>
      <c r="D61" s="56"/>
      <c r="E61" s="96"/>
      <c r="F61" s="56"/>
      <c r="G61" s="56"/>
      <c r="H61" s="57"/>
      <c r="I61" s="45"/>
      <c r="J61" s="45">
        <v>69083933872</v>
      </c>
      <c r="K61" s="45"/>
      <c r="L61" s="155">
        <f>I61+J61+K61</f>
        <v>69083933872</v>
      </c>
      <c r="M61" s="45"/>
      <c r="N61" s="139">
        <f>L61+M61</f>
        <v>69083933872</v>
      </c>
      <c r="O61" s="47"/>
    </row>
    <row r="62" spans="1:15" ht="12.75" customHeight="1">
      <c r="A62" s="45"/>
      <c r="B62" s="56" t="str">
        <f>'１１’区分別'!B62</f>
        <v>資金（積立金）への繰入</v>
      </c>
      <c r="C62" s="96"/>
      <c r="D62" s="96"/>
      <c r="E62" s="56"/>
      <c r="F62" s="96"/>
      <c r="G62" s="56"/>
      <c r="H62" s="57"/>
      <c r="I62" s="167">
        <f aca="true" t="shared" si="17" ref="I62:N62">I63+I64</f>
        <v>-306617625088</v>
      </c>
      <c r="J62" s="167">
        <f t="shared" si="17"/>
        <v>-144349172400</v>
      </c>
      <c r="K62" s="167">
        <f t="shared" si="17"/>
        <v>0</v>
      </c>
      <c r="L62" s="167">
        <f t="shared" si="17"/>
        <v>-450966797488</v>
      </c>
      <c r="M62" s="167">
        <f t="shared" si="17"/>
        <v>0</v>
      </c>
      <c r="N62" s="175">
        <f t="shared" si="17"/>
        <v>-450966797488</v>
      </c>
      <c r="O62" s="47"/>
    </row>
    <row r="63" spans="1:15" ht="12.75" customHeight="1">
      <c r="A63" s="45"/>
      <c r="B63" s="96"/>
      <c r="C63" s="56" t="str">
        <f>'１１’区分別'!C63</f>
        <v>積立金</v>
      </c>
      <c r="D63" s="56"/>
      <c r="E63" s="96"/>
      <c r="F63" s="56"/>
      <c r="G63" s="56"/>
      <c r="H63" s="57"/>
      <c r="I63" s="45">
        <v>-306617625088</v>
      </c>
      <c r="J63" s="46">
        <v>-144349172400</v>
      </c>
      <c r="K63" s="26"/>
      <c r="L63" s="155">
        <f>I63+J63+K63</f>
        <v>-450966797488</v>
      </c>
      <c r="M63" s="45"/>
      <c r="N63" s="139">
        <f>L63+M63</f>
        <v>-450966797488</v>
      </c>
      <c r="O63" s="47"/>
    </row>
    <row r="64" spans="1:15" ht="12.75" customHeight="1">
      <c r="A64" s="45"/>
      <c r="B64" s="96"/>
      <c r="C64" s="56" t="str">
        <f>'１１’区分別'!C64</f>
        <v>雇用安定資金</v>
      </c>
      <c r="D64" s="56"/>
      <c r="E64" s="96"/>
      <c r="F64" s="56"/>
      <c r="G64" s="56"/>
      <c r="H64" s="57"/>
      <c r="I64" s="45"/>
      <c r="J64" s="46"/>
      <c r="K64" s="26"/>
      <c r="L64" s="155">
        <f>I64+J64+K64</f>
        <v>0</v>
      </c>
      <c r="M64" s="45"/>
      <c r="N64" s="139">
        <f>L64+M64</f>
        <v>0</v>
      </c>
      <c r="O64" s="47"/>
    </row>
    <row r="65" spans="1:15" ht="12.75" customHeight="1">
      <c r="A65" s="45"/>
      <c r="B65" s="56"/>
      <c r="C65" s="56"/>
      <c r="D65" s="56"/>
      <c r="E65" s="56"/>
      <c r="F65" s="56"/>
      <c r="G65" s="56"/>
      <c r="H65" s="57"/>
      <c r="I65" s="45"/>
      <c r="J65" s="46"/>
      <c r="K65" s="26"/>
      <c r="L65" s="172"/>
      <c r="M65" s="45"/>
      <c r="N65" s="176"/>
      <c r="O65" s="47"/>
    </row>
    <row r="66" spans="1:15" ht="12.75" customHeight="1">
      <c r="A66" s="45"/>
      <c r="B66" s="88" t="str">
        <f>'１１’区分別'!B66</f>
        <v>その他現金・預金</v>
      </c>
      <c r="C66" s="56"/>
      <c r="D66" s="56"/>
      <c r="E66" s="56"/>
      <c r="F66" s="56"/>
      <c r="G66" s="56"/>
      <c r="H66" s="57"/>
      <c r="I66" s="167">
        <f>-I47</f>
        <v>-6853617433110</v>
      </c>
      <c r="J66" s="167">
        <f>-J47</f>
        <v>-1010162264240</v>
      </c>
      <c r="K66" s="167">
        <f>-K47</f>
        <v>0</v>
      </c>
      <c r="L66" s="167">
        <f>-L47</f>
        <v>-7863779697350</v>
      </c>
      <c r="M66" s="167">
        <f>M67+M68</f>
        <v>0</v>
      </c>
      <c r="N66" s="139">
        <f>L66+M66</f>
        <v>-7863779697350</v>
      </c>
      <c r="O66" s="47"/>
    </row>
    <row r="67" spans="1:15" ht="12.75" customHeight="1">
      <c r="A67" s="45"/>
      <c r="B67" s="56"/>
      <c r="C67" s="56"/>
      <c r="D67" s="56"/>
      <c r="E67" s="56"/>
      <c r="F67" s="56"/>
      <c r="G67" s="56"/>
      <c r="H67" s="57"/>
      <c r="I67" s="45"/>
      <c r="J67" s="46"/>
      <c r="K67" s="26"/>
      <c r="L67" s="172"/>
      <c r="M67" s="45"/>
      <c r="N67" s="176"/>
      <c r="O67" s="47"/>
    </row>
    <row r="68" spans="1:15" ht="12.75" customHeight="1">
      <c r="A68" s="45"/>
      <c r="B68" s="56" t="str">
        <f>'１１’区分別'!B68</f>
        <v>翌年度歳入繰入</v>
      </c>
      <c r="C68" s="56"/>
      <c r="D68" s="56"/>
      <c r="E68" s="56"/>
      <c r="F68" s="56"/>
      <c r="G68" s="56"/>
      <c r="H68" s="57"/>
      <c r="I68" s="155">
        <f>I57+I59+I62+I66</f>
        <v>228052574846</v>
      </c>
      <c r="J68" s="155">
        <f>J57+J59+J62+J66</f>
        <v>45868282062</v>
      </c>
      <c r="K68" s="155">
        <f>K57+K59+K62+K66</f>
        <v>768532763</v>
      </c>
      <c r="L68" s="155">
        <f>L57+L59+L62+L66</f>
        <v>274689389671</v>
      </c>
      <c r="M68" s="167">
        <f>M69+M70</f>
        <v>0</v>
      </c>
      <c r="N68" s="159">
        <f>N57+N59+N62+N66</f>
        <v>274689389671</v>
      </c>
      <c r="O68" s="47"/>
    </row>
    <row r="69" spans="1:15" ht="12.75" customHeight="1" thickBot="1">
      <c r="A69" s="36"/>
      <c r="B69" s="37"/>
      <c r="C69" s="37"/>
      <c r="D69" s="37"/>
      <c r="E69" s="37"/>
      <c r="F69" s="37"/>
      <c r="G69" s="37"/>
      <c r="H69" s="50"/>
      <c r="I69" s="36"/>
      <c r="J69" s="28"/>
      <c r="K69" s="28"/>
      <c r="L69" s="173"/>
      <c r="M69" s="36"/>
      <c r="N69" s="180"/>
      <c r="O69" s="50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  <headerFooter alignWithMargins="0"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875" style="1" customWidth="1"/>
    <col min="2" max="2" width="13.00390625" style="1" bestFit="1" customWidth="1"/>
    <col min="3" max="3" width="9.00390625" style="1" customWidth="1"/>
    <col min="4" max="4" width="20.75390625" style="1" customWidth="1"/>
    <col min="5" max="5" width="19.375" style="1" customWidth="1"/>
    <col min="6" max="6" width="18.625" style="1" customWidth="1"/>
    <col min="7" max="7" width="19.375" style="1" customWidth="1"/>
    <col min="8" max="8" width="19.75390625" style="1" customWidth="1"/>
    <col min="9" max="9" width="19.375" style="1" customWidth="1"/>
    <col min="10" max="10" width="23.25390625" style="1" bestFit="1" customWidth="1"/>
    <col min="11" max="12" width="10.50390625" style="1" bestFit="1" customWidth="1"/>
    <col min="13" max="13" width="17.25390625" style="1" bestFit="1" customWidth="1"/>
    <col min="14" max="16384" width="9.00390625" style="1" customWidth="1"/>
  </cols>
  <sheetData>
    <row r="1" spans="1:13" s="101" customFormat="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</row>
    <row r="2" spans="1:13" s="101" customFormat="1" ht="13.5">
      <c r="A2" s="112" t="s">
        <v>124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2"/>
    </row>
    <row r="3" spans="1:13" s="101" customFormat="1" ht="14.25" thickBot="1">
      <c r="A3" s="105" t="s">
        <v>23</v>
      </c>
      <c r="B3" s="113"/>
      <c r="C3" s="113"/>
      <c r="D3" s="113"/>
      <c r="E3" s="113"/>
      <c r="F3" s="114"/>
      <c r="G3" s="113"/>
      <c r="H3" s="113"/>
      <c r="I3" s="113"/>
      <c r="J3" s="114" t="s">
        <v>24</v>
      </c>
      <c r="K3" s="113"/>
      <c r="L3" s="113"/>
      <c r="M3" s="114"/>
    </row>
    <row r="4" spans="1:10" ht="13.5">
      <c r="A4" s="2"/>
      <c r="B4" s="3"/>
      <c r="C4" s="3"/>
      <c r="D4" s="4" t="s">
        <v>25</v>
      </c>
      <c r="E4" s="5" t="s">
        <v>26</v>
      </c>
      <c r="F4" s="6" t="s">
        <v>27</v>
      </c>
      <c r="G4" s="7" t="s">
        <v>28</v>
      </c>
      <c r="H4" s="127" t="s">
        <v>29</v>
      </c>
      <c r="I4" s="137" t="s">
        <v>30</v>
      </c>
      <c r="J4" s="90" t="s">
        <v>33</v>
      </c>
    </row>
    <row r="5" spans="1:10" ht="13.5">
      <c r="A5" s="8" t="str">
        <f>'１０’貸借'!A5</f>
        <v>＜資産の部＞</v>
      </c>
      <c r="B5" s="76"/>
      <c r="C5" s="76"/>
      <c r="D5" s="13"/>
      <c r="E5" s="13"/>
      <c r="F5" s="13"/>
      <c r="G5" s="115"/>
      <c r="H5" s="128"/>
      <c r="I5" s="138"/>
      <c r="J5" s="133"/>
    </row>
    <row r="6" spans="1:10" ht="13.5">
      <c r="A6" s="8" t="str">
        <f>'１０’貸借'!A6</f>
        <v>現金・預金</v>
      </c>
      <c r="B6" s="77"/>
      <c r="C6" s="77"/>
      <c r="D6" s="17">
        <v>7086365289524</v>
      </c>
      <c r="E6" s="17">
        <v>2278083480387</v>
      </c>
      <c r="F6" s="17">
        <v>628837928</v>
      </c>
      <c r="G6" s="116">
        <f>D6+E6+F6</f>
        <v>9365077607839</v>
      </c>
      <c r="H6" s="72"/>
      <c r="I6" s="139">
        <f>G6+H6</f>
        <v>9365077607839</v>
      </c>
      <c r="J6" s="134"/>
    </row>
    <row r="7" spans="1:10" ht="13.5">
      <c r="A7" s="8" t="str">
        <f>'１０’貸借'!A7</f>
        <v>未収金</v>
      </c>
      <c r="B7" s="77"/>
      <c r="C7" s="77"/>
      <c r="D7" s="117">
        <f aca="true" t="shared" si="0" ref="D7:I7">D8+D9+D10</f>
        <v>53085323674</v>
      </c>
      <c r="E7" s="117">
        <f t="shared" si="0"/>
        <v>38973684674</v>
      </c>
      <c r="F7" s="117">
        <f t="shared" si="0"/>
        <v>2162000</v>
      </c>
      <c r="G7" s="117">
        <f t="shared" si="0"/>
        <v>92061170348</v>
      </c>
      <c r="H7" s="257">
        <f t="shared" si="0"/>
        <v>-2162000</v>
      </c>
      <c r="I7" s="140">
        <f t="shared" si="0"/>
        <v>92059008348</v>
      </c>
      <c r="J7" s="260" t="s">
        <v>146</v>
      </c>
    </row>
    <row r="8" spans="1:10" ht="13.5">
      <c r="A8" s="8"/>
      <c r="B8" s="77" t="str">
        <f>'１０’貸借'!B8</f>
        <v>未収保険料</v>
      </c>
      <c r="C8" s="77"/>
      <c r="D8" s="17"/>
      <c r="E8" s="17"/>
      <c r="F8" s="249">
        <f>71246242342-71246242342</f>
        <v>0</v>
      </c>
      <c r="G8" s="116">
        <f aca="true" t="shared" si="1" ref="G8:G14">D8+E8+F8</f>
        <v>0</v>
      </c>
      <c r="H8" s="249">
        <f>71246242342</f>
        <v>71246242342</v>
      </c>
      <c r="I8" s="139">
        <f aca="true" t="shared" si="2" ref="I8:I14">G8+H8</f>
        <v>71246242342</v>
      </c>
      <c r="J8" s="260" t="s">
        <v>120</v>
      </c>
    </row>
    <row r="9" spans="1:10" s="101" customFormat="1" ht="13.5">
      <c r="A9" s="219"/>
      <c r="B9" s="221" t="str">
        <f>'１０’貸借'!B9</f>
        <v>徴収勘定より受入未済金</v>
      </c>
      <c r="C9" s="221"/>
      <c r="D9" s="233">
        <v>37083784713</v>
      </c>
      <c r="E9" s="233">
        <v>34584428362</v>
      </c>
      <c r="F9" s="222"/>
      <c r="G9" s="223">
        <f t="shared" si="1"/>
        <v>71668213075</v>
      </c>
      <c r="H9" s="224">
        <f>-D9-E9</f>
        <v>-71668213075</v>
      </c>
      <c r="I9" s="208">
        <f t="shared" si="2"/>
        <v>0</v>
      </c>
      <c r="J9" s="184"/>
    </row>
    <row r="10" spans="1:10" ht="13.5">
      <c r="A10" s="8"/>
      <c r="B10" s="77" t="str">
        <f>'１０’貸借'!B10</f>
        <v>その他未収金</v>
      </c>
      <c r="C10" s="77"/>
      <c r="D10" s="17">
        <v>16001538961</v>
      </c>
      <c r="E10" s="17">
        <v>4389256312</v>
      </c>
      <c r="F10" s="249">
        <f>424132733-424132733+1593550+568450</f>
        <v>2162000</v>
      </c>
      <c r="G10" s="116">
        <f t="shared" si="1"/>
        <v>20392957273</v>
      </c>
      <c r="H10" s="250">
        <f>-H9-H8-F10</f>
        <v>419808733</v>
      </c>
      <c r="I10" s="139">
        <f t="shared" si="2"/>
        <v>20812766006</v>
      </c>
      <c r="J10" s="260" t="s">
        <v>147</v>
      </c>
    </row>
    <row r="11" spans="1:10" ht="13.5">
      <c r="A11" s="8" t="str">
        <f>'１０’貸借'!A11</f>
        <v>未収収益</v>
      </c>
      <c r="B11" s="77"/>
      <c r="C11" s="77"/>
      <c r="D11" s="17">
        <v>79221914</v>
      </c>
      <c r="E11" s="17">
        <v>0</v>
      </c>
      <c r="F11" s="17"/>
      <c r="G11" s="116">
        <f t="shared" si="1"/>
        <v>79221914</v>
      </c>
      <c r="H11" s="72"/>
      <c r="I11" s="139">
        <f t="shared" si="2"/>
        <v>79221914</v>
      </c>
      <c r="J11" s="134"/>
    </row>
    <row r="12" spans="1:10" ht="13.5">
      <c r="A12" s="225" t="str">
        <f>'１０’貸借'!A12</f>
        <v>前払金</v>
      </c>
      <c r="B12" s="227"/>
      <c r="C12" s="227"/>
      <c r="D12" s="228">
        <v>471902611</v>
      </c>
      <c r="E12" s="228">
        <v>156935317</v>
      </c>
      <c r="F12" s="228"/>
      <c r="G12" s="230">
        <f t="shared" si="1"/>
        <v>628837928</v>
      </c>
      <c r="H12" s="231">
        <v>-628837928</v>
      </c>
      <c r="I12" s="232">
        <f t="shared" si="2"/>
        <v>0</v>
      </c>
      <c r="J12" s="134"/>
    </row>
    <row r="13" spans="1:10" ht="13.5">
      <c r="A13" s="8" t="str">
        <f>'１０’貸借'!A13</f>
        <v>前払費用</v>
      </c>
      <c r="B13" s="79"/>
      <c r="C13" s="77"/>
      <c r="D13" s="17">
        <v>10611825</v>
      </c>
      <c r="E13" s="17">
        <v>13681400</v>
      </c>
      <c r="F13" s="17">
        <v>14400</v>
      </c>
      <c r="G13" s="116">
        <f t="shared" si="1"/>
        <v>24307625</v>
      </c>
      <c r="H13" s="72"/>
      <c r="I13" s="139">
        <f t="shared" si="2"/>
        <v>24307625</v>
      </c>
      <c r="J13" s="134"/>
    </row>
    <row r="14" spans="1:10" ht="13.5">
      <c r="A14" s="78"/>
      <c r="B14" s="77" t="str">
        <f>'１０’貸借'!B14</f>
        <v>貸倒引当金</v>
      </c>
      <c r="C14" s="77"/>
      <c r="D14" s="17">
        <v>-29307653556</v>
      </c>
      <c r="E14" s="17">
        <v>-15707491000</v>
      </c>
      <c r="F14" s="17"/>
      <c r="G14" s="116">
        <f t="shared" si="1"/>
        <v>-45015144556</v>
      </c>
      <c r="H14" s="72"/>
      <c r="I14" s="139">
        <f t="shared" si="2"/>
        <v>-45015144556</v>
      </c>
      <c r="J14" s="134"/>
    </row>
    <row r="15" spans="1:10" ht="13.5">
      <c r="A15" s="8" t="str">
        <f>'１０’貸借'!A15</f>
        <v>有形固定資産</v>
      </c>
      <c r="B15" s="77"/>
      <c r="C15" s="77"/>
      <c r="D15" s="117">
        <f aca="true" t="shared" si="3" ref="D15:I15">D16+D17+D18+D19+D20+D21+D22</f>
        <v>146523406942</v>
      </c>
      <c r="E15" s="117">
        <f t="shared" si="3"/>
        <v>148558924199</v>
      </c>
      <c r="F15" s="117">
        <f t="shared" si="3"/>
        <v>479710352</v>
      </c>
      <c r="G15" s="117">
        <f t="shared" si="3"/>
        <v>295562041493</v>
      </c>
      <c r="H15" s="129">
        <f t="shared" si="3"/>
        <v>0</v>
      </c>
      <c r="I15" s="140">
        <f t="shared" si="3"/>
        <v>295562041493</v>
      </c>
      <c r="J15" s="134"/>
    </row>
    <row r="16" spans="1:10" ht="13.5">
      <c r="A16" s="8"/>
      <c r="B16" s="77" t="str">
        <f>'１０’貸借'!B16</f>
        <v>土地</v>
      </c>
      <c r="C16" s="77"/>
      <c r="D16" s="17">
        <v>53821245086</v>
      </c>
      <c r="E16" s="17">
        <v>67825561386</v>
      </c>
      <c r="F16" s="17"/>
      <c r="G16" s="116">
        <f aca="true" t="shared" si="4" ref="G16:G22">D16+E16+F16</f>
        <v>121646806472</v>
      </c>
      <c r="H16" s="16"/>
      <c r="I16" s="139">
        <f aca="true" t="shared" si="5" ref="I16:I22">G16+H16</f>
        <v>121646806472</v>
      </c>
      <c r="J16" s="134"/>
    </row>
    <row r="17" spans="1:10" ht="13.5">
      <c r="A17" s="8"/>
      <c r="B17" s="77" t="str">
        <f>'１０’貸借'!B17</f>
        <v>立木竹</v>
      </c>
      <c r="C17" s="77"/>
      <c r="D17" s="17">
        <v>293186899</v>
      </c>
      <c r="E17" s="17">
        <v>240794225</v>
      </c>
      <c r="F17" s="17"/>
      <c r="G17" s="116">
        <f t="shared" si="4"/>
        <v>533981124</v>
      </c>
      <c r="H17" s="16"/>
      <c r="I17" s="139">
        <f t="shared" si="5"/>
        <v>533981124</v>
      </c>
      <c r="J17" s="134"/>
    </row>
    <row r="18" spans="1:10" ht="13.5">
      <c r="A18" s="8"/>
      <c r="B18" s="77" t="str">
        <f>'１０’貸借'!B18</f>
        <v>建物</v>
      </c>
      <c r="C18" s="77"/>
      <c r="D18" s="17">
        <v>53275976825</v>
      </c>
      <c r="E18" s="17">
        <v>51483565802</v>
      </c>
      <c r="F18" s="17"/>
      <c r="G18" s="116">
        <f t="shared" si="4"/>
        <v>104759542627</v>
      </c>
      <c r="H18" s="16"/>
      <c r="I18" s="139">
        <f t="shared" si="5"/>
        <v>104759542627</v>
      </c>
      <c r="J18" s="134"/>
    </row>
    <row r="19" spans="1:10" ht="13.5">
      <c r="A19" s="8"/>
      <c r="B19" s="77" t="str">
        <f>'１０’貸借'!B19</f>
        <v>工作物</v>
      </c>
      <c r="C19" s="77"/>
      <c r="D19" s="17">
        <v>28432556117</v>
      </c>
      <c r="E19" s="17">
        <v>22004870160</v>
      </c>
      <c r="F19" s="17"/>
      <c r="G19" s="116">
        <f t="shared" si="4"/>
        <v>50437426277</v>
      </c>
      <c r="H19" s="16"/>
      <c r="I19" s="139">
        <f t="shared" si="5"/>
        <v>50437426277</v>
      </c>
      <c r="J19" s="134"/>
    </row>
    <row r="20" spans="1:10" ht="13.5">
      <c r="A20" s="8"/>
      <c r="B20" s="77" t="str">
        <f>'１０’貸借'!B20</f>
        <v>物品</v>
      </c>
      <c r="C20" s="77"/>
      <c r="D20" s="17">
        <v>4894833834</v>
      </c>
      <c r="E20" s="17">
        <v>5499555626</v>
      </c>
      <c r="F20" s="17">
        <v>479710352</v>
      </c>
      <c r="G20" s="116">
        <f t="shared" si="4"/>
        <v>10874099812</v>
      </c>
      <c r="H20" s="72"/>
      <c r="I20" s="139">
        <f t="shared" si="5"/>
        <v>10874099812</v>
      </c>
      <c r="J20" s="134"/>
    </row>
    <row r="21" spans="1:10" ht="13.5">
      <c r="A21" s="225"/>
      <c r="B21" s="227" t="str">
        <f>'１０’貸借'!B21</f>
        <v>未完成施設</v>
      </c>
      <c r="C21" s="227"/>
      <c r="D21" s="228"/>
      <c r="E21" s="228"/>
      <c r="F21" s="228"/>
      <c r="G21" s="230">
        <f t="shared" si="4"/>
        <v>0</v>
      </c>
      <c r="H21" s="231"/>
      <c r="I21" s="232">
        <f t="shared" si="5"/>
        <v>0</v>
      </c>
      <c r="J21" s="134"/>
    </row>
    <row r="22" spans="1:10" ht="13.5">
      <c r="A22" s="8"/>
      <c r="B22" s="77" t="str">
        <f>'１０’貸借'!B22</f>
        <v>建設仮勘定</v>
      </c>
      <c r="C22" s="77"/>
      <c r="D22" s="17">
        <v>5805608181</v>
      </c>
      <c r="E22" s="17">
        <v>1504577000</v>
      </c>
      <c r="F22" s="17"/>
      <c r="G22" s="116">
        <f t="shared" si="4"/>
        <v>7310185181</v>
      </c>
      <c r="H22" s="72"/>
      <c r="I22" s="139">
        <f t="shared" si="5"/>
        <v>7310185181</v>
      </c>
      <c r="J22" s="134"/>
    </row>
    <row r="23" spans="1:10" ht="13.5">
      <c r="A23" s="8" t="str">
        <f>'１０’貸借'!A23</f>
        <v>無形固定資産</v>
      </c>
      <c r="B23" s="77"/>
      <c r="C23" s="77"/>
      <c r="D23" s="117">
        <f aca="true" t="shared" si="6" ref="D23:I23">D24+D25</f>
        <v>3899578444</v>
      </c>
      <c r="E23" s="117">
        <f t="shared" si="6"/>
        <v>2948692851</v>
      </c>
      <c r="F23" s="117">
        <f t="shared" si="6"/>
        <v>931462763</v>
      </c>
      <c r="G23" s="117">
        <f t="shared" si="6"/>
        <v>7779734058</v>
      </c>
      <c r="H23" s="129">
        <f t="shared" si="6"/>
        <v>0</v>
      </c>
      <c r="I23" s="140">
        <f t="shared" si="6"/>
        <v>7779734058</v>
      </c>
      <c r="J23" s="134"/>
    </row>
    <row r="24" spans="1:10" ht="13.5">
      <c r="A24" s="8"/>
      <c r="B24" s="77" t="str">
        <f>'１０’貸借'!B24</f>
        <v>電話加入権</v>
      </c>
      <c r="C24" s="77"/>
      <c r="D24" s="22">
        <v>124056000</v>
      </c>
      <c r="E24" s="17">
        <v>366552000</v>
      </c>
      <c r="F24" s="17">
        <v>5544000</v>
      </c>
      <c r="G24" s="116">
        <f>D24+E24+F24</f>
        <v>496152000</v>
      </c>
      <c r="H24" s="72"/>
      <c r="I24" s="139">
        <f>G24+H24</f>
        <v>496152000</v>
      </c>
      <c r="J24" s="134"/>
    </row>
    <row r="25" spans="1:10" ht="13.5">
      <c r="A25" s="8"/>
      <c r="B25" s="77" t="str">
        <f>'１０’貸借'!B25</f>
        <v>ソフトウェア</v>
      </c>
      <c r="C25" s="77"/>
      <c r="D25" s="22">
        <v>3775522444</v>
      </c>
      <c r="E25" s="17">
        <v>2582140851</v>
      </c>
      <c r="F25" s="17">
        <v>925918763</v>
      </c>
      <c r="G25" s="116">
        <f>D25+E25+F25</f>
        <v>7283582058</v>
      </c>
      <c r="H25" s="72"/>
      <c r="I25" s="139">
        <f>G25+H25</f>
        <v>7283582058</v>
      </c>
      <c r="J25" s="134"/>
    </row>
    <row r="26" spans="1:10" ht="13.5">
      <c r="A26" s="8" t="str">
        <f>'１０’貸借'!A26</f>
        <v>出資金</v>
      </c>
      <c r="B26" s="79"/>
      <c r="C26" s="77"/>
      <c r="D26" s="17">
        <v>482925366900</v>
      </c>
      <c r="E26" s="17">
        <v>2104149068903</v>
      </c>
      <c r="F26" s="17"/>
      <c r="G26" s="116">
        <f>D26+E26+F26</f>
        <v>2587074435803</v>
      </c>
      <c r="H26" s="72"/>
      <c r="I26" s="139">
        <f>G26+H26</f>
        <v>2587074435803</v>
      </c>
      <c r="J26" s="134"/>
    </row>
    <row r="27" spans="1:10" ht="13.5">
      <c r="A27" s="8"/>
      <c r="B27" s="77"/>
      <c r="C27" s="77"/>
      <c r="D27" s="73"/>
      <c r="E27" s="73"/>
      <c r="F27" s="73"/>
      <c r="G27" s="118"/>
      <c r="H27" s="130"/>
      <c r="I27" s="141"/>
      <c r="J27" s="135"/>
    </row>
    <row r="28" spans="1:10" ht="13.5">
      <c r="A28" s="80" t="str">
        <f>'１０’貸借'!A28</f>
        <v>資産合計</v>
      </c>
      <c r="B28" s="81"/>
      <c r="C28" s="87"/>
      <c r="D28" s="119">
        <f aca="true" t="shared" si="7" ref="D28:I28">D6+D7+D11+D12+D13+D14+D15+D23+D26</f>
        <v>7744053048278</v>
      </c>
      <c r="E28" s="119">
        <f t="shared" si="7"/>
        <v>4557176976731</v>
      </c>
      <c r="F28" s="119">
        <f t="shared" si="7"/>
        <v>2042187443</v>
      </c>
      <c r="G28" s="119">
        <f t="shared" si="7"/>
        <v>12303272212452</v>
      </c>
      <c r="H28" s="119">
        <f t="shared" si="7"/>
        <v>-630999928</v>
      </c>
      <c r="I28" s="142">
        <f t="shared" si="7"/>
        <v>12302641212524</v>
      </c>
      <c r="J28" s="136"/>
    </row>
    <row r="29" spans="1:10" ht="13.5">
      <c r="A29" s="8" t="str">
        <f>'１０’貸借'!A29</f>
        <v>＜負債の部＞</v>
      </c>
      <c r="B29" s="74"/>
      <c r="C29" s="74"/>
      <c r="D29" s="14"/>
      <c r="E29" s="14"/>
      <c r="F29" s="15"/>
      <c r="G29" s="116"/>
      <c r="H29" s="72"/>
      <c r="I29" s="139"/>
      <c r="J29" s="134"/>
    </row>
    <row r="30" spans="1:10" ht="13.5">
      <c r="A30" s="8" t="str">
        <f>'１０’貸借'!A30</f>
        <v>未払金</v>
      </c>
      <c r="B30" s="71"/>
      <c r="C30" s="77"/>
      <c r="D30" s="117">
        <f aca="true" t="shared" si="8" ref="D30:I30">D31+D32+D33</f>
        <v>16803217</v>
      </c>
      <c r="E30" s="120">
        <f t="shared" si="8"/>
        <v>8016347</v>
      </c>
      <c r="F30" s="253">
        <f t="shared" si="8"/>
        <v>4239500</v>
      </c>
      <c r="G30" s="120">
        <f t="shared" si="8"/>
        <v>29059064</v>
      </c>
      <c r="H30" s="258">
        <f t="shared" si="8"/>
        <v>-2162000</v>
      </c>
      <c r="I30" s="140">
        <f t="shared" si="8"/>
        <v>26897064</v>
      </c>
      <c r="J30" s="134"/>
    </row>
    <row r="31" spans="1:10" s="101" customFormat="1" ht="13.5">
      <c r="A31" s="219"/>
      <c r="B31" s="221" t="str">
        <f>'１０’貸借'!B31</f>
        <v>労災勘定へ繰入未済金</v>
      </c>
      <c r="C31" s="221"/>
      <c r="D31" s="222">
        <v>0</v>
      </c>
      <c r="E31" s="222">
        <v>0</v>
      </c>
      <c r="F31" s="252">
        <f>37083784713-37083784713</f>
        <v>0</v>
      </c>
      <c r="G31" s="223">
        <f aca="true" t="shared" si="9" ref="G31:G39">D31+E31+F31</f>
        <v>0</v>
      </c>
      <c r="H31" s="251">
        <f>-F31</f>
        <v>0</v>
      </c>
      <c r="I31" s="208">
        <f aca="true" t="shared" si="10" ref="I31:I39">G31+H31</f>
        <v>0</v>
      </c>
      <c r="J31" s="184"/>
    </row>
    <row r="32" spans="1:10" s="101" customFormat="1" ht="13.5">
      <c r="A32" s="219"/>
      <c r="B32" s="221" t="str">
        <f>'１０’貸借'!B32</f>
        <v>雇用勘定へ繰入未済金</v>
      </c>
      <c r="C32" s="221"/>
      <c r="D32" s="222">
        <v>0</v>
      </c>
      <c r="E32" s="222">
        <v>0</v>
      </c>
      <c r="F32" s="252">
        <f>34584428362-34584428362</f>
        <v>0</v>
      </c>
      <c r="G32" s="223">
        <f t="shared" si="9"/>
        <v>0</v>
      </c>
      <c r="H32" s="251">
        <f>-F32</f>
        <v>0</v>
      </c>
      <c r="I32" s="208">
        <f t="shared" si="10"/>
        <v>0</v>
      </c>
      <c r="J32" s="184"/>
    </row>
    <row r="33" spans="1:10" ht="13.5">
      <c r="A33" s="225"/>
      <c r="B33" s="227" t="str">
        <f>'１０’貸借'!B33</f>
        <v>その他未払金</v>
      </c>
      <c r="C33" s="227"/>
      <c r="D33" s="228">
        <v>16803217</v>
      </c>
      <c r="E33" s="228">
        <v>8016347</v>
      </c>
      <c r="F33" s="229">
        <v>4239500</v>
      </c>
      <c r="G33" s="230">
        <f t="shared" si="9"/>
        <v>29059064</v>
      </c>
      <c r="H33" s="231">
        <f>H7</f>
        <v>-2162000</v>
      </c>
      <c r="I33" s="232">
        <f t="shared" si="10"/>
        <v>26897064</v>
      </c>
      <c r="J33" s="260" t="s">
        <v>145</v>
      </c>
    </row>
    <row r="34" spans="1:10" ht="13.5">
      <c r="A34" s="8" t="str">
        <f>'１０’貸借'!A34</f>
        <v>支払備金</v>
      </c>
      <c r="B34" s="71"/>
      <c r="C34" s="77"/>
      <c r="D34" s="17">
        <v>197377155000</v>
      </c>
      <c r="E34" s="17">
        <v>461619370000</v>
      </c>
      <c r="F34" s="18"/>
      <c r="G34" s="116">
        <f t="shared" si="9"/>
        <v>658996525000</v>
      </c>
      <c r="H34" s="72"/>
      <c r="I34" s="139">
        <f t="shared" si="10"/>
        <v>658996525000</v>
      </c>
      <c r="J34" s="134"/>
    </row>
    <row r="35" spans="1:10" ht="13.5">
      <c r="A35" s="8" t="str">
        <f>'１０’貸借'!A35</f>
        <v>未経過保険料</v>
      </c>
      <c r="B35" s="71"/>
      <c r="C35" s="77"/>
      <c r="D35" s="17">
        <v>33767661740</v>
      </c>
      <c r="E35" s="17">
        <v>0</v>
      </c>
      <c r="F35" s="18"/>
      <c r="G35" s="116">
        <f t="shared" si="9"/>
        <v>33767661740</v>
      </c>
      <c r="H35" s="72"/>
      <c r="I35" s="139">
        <f t="shared" si="10"/>
        <v>33767661740</v>
      </c>
      <c r="J35" s="134"/>
    </row>
    <row r="36" spans="1:10" ht="13.5">
      <c r="A36" s="8" t="str">
        <f>'１０’貸借'!A36</f>
        <v>前受金</v>
      </c>
      <c r="B36" s="71"/>
      <c r="C36" s="77"/>
      <c r="D36" s="17"/>
      <c r="E36" s="17">
        <v>570777556</v>
      </c>
      <c r="F36" s="229">
        <v>628837928</v>
      </c>
      <c r="G36" s="116">
        <f t="shared" si="9"/>
        <v>1199615484</v>
      </c>
      <c r="H36" s="231">
        <v>-628837928</v>
      </c>
      <c r="I36" s="139">
        <f t="shared" si="10"/>
        <v>570777556</v>
      </c>
      <c r="J36" s="134"/>
    </row>
    <row r="37" spans="1:10" ht="13.5">
      <c r="A37" s="8" t="str">
        <f>'１０’貸借'!A37</f>
        <v>賞与引当金</v>
      </c>
      <c r="B37" s="71"/>
      <c r="C37" s="77"/>
      <c r="D37" s="17">
        <v>1128811000</v>
      </c>
      <c r="E37" s="17">
        <v>1705978991</v>
      </c>
      <c r="F37" s="18">
        <v>524959453</v>
      </c>
      <c r="G37" s="116">
        <f t="shared" si="9"/>
        <v>3359749444</v>
      </c>
      <c r="H37" s="72"/>
      <c r="I37" s="139">
        <f t="shared" si="10"/>
        <v>3359749444</v>
      </c>
      <c r="J37" s="134"/>
    </row>
    <row r="38" spans="1:10" ht="13.5">
      <c r="A38" s="8" t="str">
        <f>'１０’貸借'!A38</f>
        <v>退職給与引当金</v>
      </c>
      <c r="B38" s="71"/>
      <c r="C38" s="77"/>
      <c r="D38" s="17">
        <v>51443883302</v>
      </c>
      <c r="E38" s="17">
        <v>43013887932</v>
      </c>
      <c r="F38" s="18">
        <v>17603842761</v>
      </c>
      <c r="G38" s="116">
        <f t="shared" si="9"/>
        <v>112061613995</v>
      </c>
      <c r="H38" s="72"/>
      <c r="I38" s="139">
        <f t="shared" si="10"/>
        <v>112061613995</v>
      </c>
      <c r="J38" s="134"/>
    </row>
    <row r="39" spans="1:10" ht="13.5">
      <c r="A39" s="8" t="str">
        <f>'１０’貸借'!A39</f>
        <v>責任準備金</v>
      </c>
      <c r="B39" s="71"/>
      <c r="C39" s="77"/>
      <c r="D39" s="17">
        <v>8390245000000</v>
      </c>
      <c r="E39" s="17">
        <v>0</v>
      </c>
      <c r="F39" s="18"/>
      <c r="G39" s="116">
        <f t="shared" si="9"/>
        <v>8390245000000</v>
      </c>
      <c r="H39" s="72"/>
      <c r="I39" s="139">
        <f t="shared" si="10"/>
        <v>8390245000000</v>
      </c>
      <c r="J39" s="134"/>
    </row>
    <row r="40" spans="1:10" ht="13.5">
      <c r="A40" s="8"/>
      <c r="B40" s="71"/>
      <c r="C40" s="77"/>
      <c r="D40" s="17"/>
      <c r="E40" s="17"/>
      <c r="F40" s="18"/>
      <c r="G40" s="116"/>
      <c r="H40" s="72"/>
      <c r="I40" s="139"/>
      <c r="J40" s="134"/>
    </row>
    <row r="41" spans="1:10" ht="13.5">
      <c r="A41" s="80" t="str">
        <f>'１０’貸借'!A41</f>
        <v>負債合計</v>
      </c>
      <c r="B41" s="86"/>
      <c r="C41" s="87"/>
      <c r="D41" s="121">
        <f aca="true" t="shared" si="11" ref="D41:I41">D30+D34+D35+D36+D37+D38+D39</f>
        <v>8673979314259</v>
      </c>
      <c r="E41" s="121">
        <f t="shared" si="11"/>
        <v>506918030826</v>
      </c>
      <c r="F41" s="121">
        <f t="shared" si="11"/>
        <v>18761879642</v>
      </c>
      <c r="G41" s="121">
        <f t="shared" si="11"/>
        <v>9199659224727</v>
      </c>
      <c r="H41" s="131">
        <f t="shared" si="11"/>
        <v>-630999928</v>
      </c>
      <c r="I41" s="143">
        <f t="shared" si="11"/>
        <v>9199028224799</v>
      </c>
      <c r="J41" s="136"/>
    </row>
    <row r="42" spans="1:10" ht="13.5">
      <c r="A42" s="8" t="str">
        <f>'１０’貸借'!A42</f>
        <v>＜資産・負債差額の部＞</v>
      </c>
      <c r="B42" s="71"/>
      <c r="C42" s="77"/>
      <c r="D42" s="8"/>
      <c r="E42" s="8"/>
      <c r="F42" s="94"/>
      <c r="G42" s="122"/>
      <c r="H42" s="95"/>
      <c r="I42" s="144"/>
      <c r="J42" s="134"/>
    </row>
    <row r="43" spans="1:10" ht="13.5">
      <c r="A43" s="8" t="str">
        <f>'１０’貸借'!A43</f>
        <v>基準時資産・負債差額</v>
      </c>
      <c r="B43" s="85"/>
      <c r="C43" s="77"/>
      <c r="D43" s="259">
        <v>-8006368383003</v>
      </c>
      <c r="E43" s="193">
        <v>1742193116533</v>
      </c>
      <c r="F43" s="123">
        <f>'１０’貸借'!F43</f>
        <v>-18704048284</v>
      </c>
      <c r="G43" s="116">
        <f aca="true" t="shared" si="12" ref="G43:G48">D43+E43+F43</f>
        <v>-6282879314754</v>
      </c>
      <c r="H43" s="132">
        <f>H28-H41-H44-H47</f>
        <v>0</v>
      </c>
      <c r="I43" s="139">
        <f aca="true" t="shared" si="13" ref="I43:I48">G43+H43</f>
        <v>-6282879314754</v>
      </c>
      <c r="J43" s="134"/>
    </row>
    <row r="44" spans="1:10" ht="13.5">
      <c r="A44" s="8" t="str">
        <f>'１０’貸借'!A44</f>
        <v>資金</v>
      </c>
      <c r="B44" s="71"/>
      <c r="C44" s="77"/>
      <c r="D44" s="124">
        <f>D45+D46</f>
        <v>6853617433110</v>
      </c>
      <c r="E44" s="124">
        <f>E45+E46</f>
        <v>2265715980822</v>
      </c>
      <c r="F44" s="124">
        <f>F45+F46</f>
        <v>0</v>
      </c>
      <c r="G44" s="116">
        <f t="shared" si="12"/>
        <v>9119333413932</v>
      </c>
      <c r="H44" s="124">
        <f>H45+H46</f>
        <v>0</v>
      </c>
      <c r="I44" s="139">
        <f t="shared" si="13"/>
        <v>9119333413932</v>
      </c>
      <c r="J44" s="134"/>
    </row>
    <row r="45" spans="1:10" ht="13.5">
      <c r="A45" s="8"/>
      <c r="B45" s="77" t="str">
        <f>'１０’貸借'!B45</f>
        <v>積立金</v>
      </c>
      <c r="C45" s="77"/>
      <c r="D45" s="8">
        <v>6853617433110</v>
      </c>
      <c r="E45" s="8">
        <v>1886469782710</v>
      </c>
      <c r="F45" s="19"/>
      <c r="G45" s="116">
        <f t="shared" si="12"/>
        <v>8740087215820</v>
      </c>
      <c r="H45" s="95"/>
      <c r="I45" s="139">
        <f t="shared" si="13"/>
        <v>8740087215820</v>
      </c>
      <c r="J45" s="134"/>
    </row>
    <row r="46" spans="1:10" ht="13.5">
      <c r="A46" s="8"/>
      <c r="B46" s="77" t="str">
        <f>'１０’貸借'!B46</f>
        <v>雇用安定資金</v>
      </c>
      <c r="C46" s="77"/>
      <c r="D46" s="8"/>
      <c r="E46" s="8">
        <v>379246198112</v>
      </c>
      <c r="F46" s="19"/>
      <c r="G46" s="116">
        <f t="shared" si="12"/>
        <v>379246198112</v>
      </c>
      <c r="H46" s="95"/>
      <c r="I46" s="139">
        <f t="shared" si="13"/>
        <v>379246198112</v>
      </c>
      <c r="J46" s="134"/>
    </row>
    <row r="47" spans="1:10" ht="13.5">
      <c r="A47" s="8" t="str">
        <f>'１０’貸借'!A47</f>
        <v>資産評価差額</v>
      </c>
      <c r="B47" s="85"/>
      <c r="C47" s="77"/>
      <c r="D47" s="21"/>
      <c r="E47" s="21">
        <v>0</v>
      </c>
      <c r="F47" s="22"/>
      <c r="G47" s="116">
        <f t="shared" si="12"/>
        <v>0</v>
      </c>
      <c r="H47" s="21"/>
      <c r="I47" s="139">
        <f t="shared" si="13"/>
        <v>0</v>
      </c>
      <c r="J47" s="134"/>
    </row>
    <row r="48" spans="1:10" ht="13.5">
      <c r="A48" s="8" t="str">
        <f>'１０’貸借'!A48</f>
        <v>業務費用・財源差額累計</v>
      </c>
      <c r="B48" s="85"/>
      <c r="C48" s="77"/>
      <c r="D48" s="123">
        <f>D28-D41-D43-D44-D47</f>
        <v>222824683912</v>
      </c>
      <c r="E48" s="123">
        <f>E28-E41-E43-E44-E47</f>
        <v>42349848550</v>
      </c>
      <c r="F48" s="123">
        <f>F28-F41-F43-F44-F47</f>
        <v>1984356085</v>
      </c>
      <c r="G48" s="116">
        <f t="shared" si="12"/>
        <v>267158888547</v>
      </c>
      <c r="H48" s="95"/>
      <c r="I48" s="139">
        <f t="shared" si="13"/>
        <v>267158888547</v>
      </c>
      <c r="J48" s="134"/>
    </row>
    <row r="49" spans="1:10" ht="13.5">
      <c r="A49" s="20"/>
      <c r="B49" s="83"/>
      <c r="C49" s="84"/>
      <c r="D49" s="23"/>
      <c r="E49" s="23"/>
      <c r="F49" s="24"/>
      <c r="G49" s="122"/>
      <c r="H49" s="95"/>
      <c r="I49" s="144"/>
      <c r="J49" s="134"/>
    </row>
    <row r="50" spans="1:10" ht="13.5">
      <c r="A50" s="8" t="str">
        <f>'１０’貸借'!A50</f>
        <v>資産・負債差額合計</v>
      </c>
      <c r="B50" s="83"/>
      <c r="C50" s="84"/>
      <c r="D50" s="125">
        <f aca="true" t="shared" si="14" ref="D50:I50">D44+D43+D47+D48</f>
        <v>-929926265981</v>
      </c>
      <c r="E50" s="125">
        <f t="shared" si="14"/>
        <v>4050258945905</v>
      </c>
      <c r="F50" s="125">
        <f>F44+F43+F47+F48</f>
        <v>-16719692199</v>
      </c>
      <c r="G50" s="125">
        <f t="shared" si="14"/>
        <v>3103612987725</v>
      </c>
      <c r="H50" s="154">
        <f t="shared" si="14"/>
        <v>0</v>
      </c>
      <c r="I50" s="146">
        <f t="shared" si="14"/>
        <v>3103612987725</v>
      </c>
      <c r="J50" s="136"/>
    </row>
    <row r="51" spans="1:10" ht="14.25" thickBot="1">
      <c r="A51" s="361" t="s">
        <v>125</v>
      </c>
      <c r="B51" s="362"/>
      <c r="C51" s="362"/>
      <c r="D51" s="125">
        <f aca="true" t="shared" si="15" ref="D51:I51">D41+D50</f>
        <v>7744053048278</v>
      </c>
      <c r="E51" s="125">
        <f t="shared" si="15"/>
        <v>4557176976731</v>
      </c>
      <c r="F51" s="126">
        <f t="shared" si="15"/>
        <v>2042187443</v>
      </c>
      <c r="G51" s="125">
        <f t="shared" si="15"/>
        <v>12303272212452</v>
      </c>
      <c r="H51" s="125">
        <f t="shared" si="15"/>
        <v>-630999928</v>
      </c>
      <c r="I51" s="147">
        <f t="shared" si="15"/>
        <v>12302641212524</v>
      </c>
      <c r="J51" s="136"/>
    </row>
    <row r="53" spans="2:9" ht="13.5">
      <c r="B53" s="195" t="s">
        <v>141</v>
      </c>
      <c r="D53" s="194">
        <f>D48-'１１’業財'!G57</f>
        <v>0</v>
      </c>
      <c r="E53" s="194">
        <f>E48-'１１’業財'!H57</f>
        <v>0</v>
      </c>
      <c r="F53" s="194">
        <f>F48-'１１’業財'!I57</f>
        <v>0</v>
      </c>
      <c r="G53" s="194">
        <f>G48-'１１’業財'!J57</f>
        <v>0</v>
      </c>
      <c r="H53" s="194">
        <f>H48-'１１’業財'!K57</f>
        <v>0</v>
      </c>
      <c r="I53" s="194">
        <f>I48-'１１’業財'!L57</f>
        <v>0</v>
      </c>
    </row>
  </sheetData>
  <mergeCells count="1">
    <mergeCell ref="A51:C5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875" style="1" customWidth="1"/>
    <col min="2" max="2" width="13.00390625" style="1" bestFit="1" customWidth="1"/>
    <col min="3" max="3" width="9.00390625" style="1" customWidth="1"/>
    <col min="4" max="5" width="19.375" style="1" customWidth="1"/>
    <col min="6" max="6" width="18.625" style="1" customWidth="1"/>
    <col min="7" max="7" width="19.375" style="1" customWidth="1"/>
    <col min="8" max="8" width="19.75390625" style="1" customWidth="1"/>
    <col min="9" max="9" width="19.375" style="1" customWidth="1"/>
    <col min="10" max="10" width="26.125" style="1" bestFit="1" customWidth="1"/>
    <col min="11" max="12" width="10.50390625" style="1" bestFit="1" customWidth="1"/>
    <col min="13" max="13" width="17.25390625" style="1" bestFit="1" customWidth="1"/>
    <col min="14" max="16384" width="9.00390625" style="1" customWidth="1"/>
  </cols>
  <sheetData>
    <row r="1" spans="1:13" s="101" customFormat="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</row>
    <row r="2" spans="1:13" s="101" customFormat="1" ht="13.5">
      <c r="A2" s="112" t="s">
        <v>126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2"/>
    </row>
    <row r="3" spans="1:13" s="101" customFormat="1" ht="14.25" thickBot="1">
      <c r="A3" s="105" t="s">
        <v>23</v>
      </c>
      <c r="B3" s="113"/>
      <c r="C3" s="113"/>
      <c r="D3" s="113"/>
      <c r="E3" s="113"/>
      <c r="F3" s="114"/>
      <c r="G3" s="113"/>
      <c r="H3" s="113"/>
      <c r="I3" s="113"/>
      <c r="J3" s="114" t="s">
        <v>24</v>
      </c>
      <c r="K3" s="113"/>
      <c r="L3" s="113"/>
      <c r="M3" s="114"/>
    </row>
    <row r="4" spans="1:10" ht="13.5">
      <c r="A4" s="2"/>
      <c r="B4" s="3"/>
      <c r="C4" s="3"/>
      <c r="D4" s="4" t="s">
        <v>25</v>
      </c>
      <c r="E4" s="5" t="s">
        <v>26</v>
      </c>
      <c r="F4" s="6" t="s">
        <v>27</v>
      </c>
      <c r="G4" s="7" t="s">
        <v>28</v>
      </c>
      <c r="H4" s="127" t="s">
        <v>29</v>
      </c>
      <c r="I4" s="137" t="s">
        <v>30</v>
      </c>
      <c r="J4" s="90" t="s">
        <v>33</v>
      </c>
    </row>
    <row r="5" spans="1:10" ht="13.5">
      <c r="A5" s="8" t="str">
        <f>'１０’貸借'!A5</f>
        <v>＜資産の部＞</v>
      </c>
      <c r="B5" s="76"/>
      <c r="C5" s="76"/>
      <c r="D5" s="13"/>
      <c r="E5" s="13"/>
      <c r="F5" s="13"/>
      <c r="G5" s="115"/>
      <c r="H5" s="128"/>
      <c r="I5" s="138"/>
      <c r="J5" s="133"/>
    </row>
    <row r="6" spans="1:10" ht="13.5">
      <c r="A6" s="8" t="str">
        <f>'１０’貸借'!A6</f>
        <v>現金・預金</v>
      </c>
      <c r="B6" s="77"/>
      <c r="C6" s="77"/>
      <c r="D6" s="17">
        <v>7388287633044</v>
      </c>
      <c r="E6" s="17">
        <v>1200379718702</v>
      </c>
      <c r="F6" s="17">
        <v>768532763</v>
      </c>
      <c r="G6" s="116">
        <f>D6+E6+F6</f>
        <v>8589435884509</v>
      </c>
      <c r="H6" s="72"/>
      <c r="I6" s="139">
        <f>G6+H6</f>
        <v>8589435884509</v>
      </c>
      <c r="J6" s="134"/>
    </row>
    <row r="7" spans="1:10" ht="13.5">
      <c r="A7" s="8" t="str">
        <f>'１０’貸借'!A7</f>
        <v>未収金</v>
      </c>
      <c r="B7" s="77"/>
      <c r="C7" s="77"/>
      <c r="D7" s="117">
        <f aca="true" t="shared" si="0" ref="D7:I7">D8+D9+D10</f>
        <v>53188424926</v>
      </c>
      <c r="E7" s="117">
        <f t="shared" si="0"/>
        <v>39635434828</v>
      </c>
      <c r="F7" s="117">
        <f t="shared" si="0"/>
        <v>2578500</v>
      </c>
      <c r="G7" s="117">
        <f t="shared" si="0"/>
        <v>92826438254</v>
      </c>
      <c r="H7" s="257">
        <f t="shared" si="0"/>
        <v>-2578500</v>
      </c>
      <c r="I7" s="140">
        <f t="shared" si="0"/>
        <v>92823859754</v>
      </c>
      <c r="J7" s="260" t="s">
        <v>146</v>
      </c>
    </row>
    <row r="8" spans="1:10" ht="13.5">
      <c r="A8" s="8"/>
      <c r="B8" s="77" t="str">
        <f>'１０’貸借'!B8</f>
        <v>未収保険料</v>
      </c>
      <c r="C8" s="77"/>
      <c r="D8" s="17"/>
      <c r="E8" s="17"/>
      <c r="F8" s="249">
        <f>71515593496-71515593496</f>
        <v>0</v>
      </c>
      <c r="G8" s="116">
        <f aca="true" t="shared" si="1" ref="G8:G14">D8+E8+F8</f>
        <v>0</v>
      </c>
      <c r="H8" s="249">
        <v>71515593496</v>
      </c>
      <c r="I8" s="139">
        <f aca="true" t="shared" si="2" ref="I8:I14">G8+H8</f>
        <v>71515593496</v>
      </c>
      <c r="J8" s="260" t="s">
        <v>120</v>
      </c>
    </row>
    <row r="9" spans="1:10" s="101" customFormat="1" ht="13.5">
      <c r="A9" s="219"/>
      <c r="B9" s="221" t="str">
        <f>'１０’貸借'!B9</f>
        <v>徴収勘定より受入未済金</v>
      </c>
      <c r="C9" s="221"/>
      <c r="D9" s="233">
        <v>36869561282</v>
      </c>
      <c r="E9" s="233">
        <v>35007860012</v>
      </c>
      <c r="F9" s="222"/>
      <c r="G9" s="223">
        <f t="shared" si="1"/>
        <v>71877421294</v>
      </c>
      <c r="H9" s="224">
        <f>-D9-E9</f>
        <v>-71877421294</v>
      </c>
      <c r="I9" s="208">
        <f t="shared" si="2"/>
        <v>0</v>
      </c>
      <c r="J9" s="184"/>
    </row>
    <row r="10" spans="1:10" ht="13.5">
      <c r="A10" s="8"/>
      <c r="B10" s="77" t="str">
        <f>'１０’貸借'!B10</f>
        <v>その他未収金</v>
      </c>
      <c r="C10" s="77"/>
      <c r="D10" s="17">
        <v>16318863644</v>
      </c>
      <c r="E10" s="17">
        <v>4627574816</v>
      </c>
      <c r="F10" s="249">
        <f>364406298-364406298+2042000+536500</f>
        <v>2578500</v>
      </c>
      <c r="G10" s="116">
        <f t="shared" si="1"/>
        <v>20949016960</v>
      </c>
      <c r="H10" s="250">
        <f>-H9-H8-F10</f>
        <v>359249298</v>
      </c>
      <c r="I10" s="139">
        <f t="shared" si="2"/>
        <v>21308266258</v>
      </c>
      <c r="J10" s="260" t="s">
        <v>147</v>
      </c>
    </row>
    <row r="11" spans="1:10" ht="13.5">
      <c r="A11" s="8" t="str">
        <f>'１０’貸借'!A11</f>
        <v>未収収益</v>
      </c>
      <c r="B11" s="77"/>
      <c r="C11" s="77"/>
      <c r="D11" s="17">
        <v>810684929</v>
      </c>
      <c r="E11" s="17"/>
      <c r="F11" s="17"/>
      <c r="G11" s="116">
        <f t="shared" si="1"/>
        <v>810684929</v>
      </c>
      <c r="H11" s="72"/>
      <c r="I11" s="139">
        <f t="shared" si="2"/>
        <v>810684929</v>
      </c>
      <c r="J11" s="134"/>
    </row>
    <row r="12" spans="1:10" ht="13.5">
      <c r="A12" s="225" t="str">
        <f>'１０’貸借'!A12</f>
        <v>前払金</v>
      </c>
      <c r="B12" s="227"/>
      <c r="C12" s="227"/>
      <c r="D12" s="228">
        <v>507767977</v>
      </c>
      <c r="E12" s="228">
        <v>260764786</v>
      </c>
      <c r="F12" s="228"/>
      <c r="G12" s="230">
        <f t="shared" si="1"/>
        <v>768532763</v>
      </c>
      <c r="H12" s="231">
        <v>-768532763</v>
      </c>
      <c r="I12" s="232">
        <f t="shared" si="2"/>
        <v>0</v>
      </c>
      <c r="J12" s="134"/>
    </row>
    <row r="13" spans="1:10" ht="13.5">
      <c r="A13" s="8" t="str">
        <f>'１０’貸借'!A13</f>
        <v>前払費用</v>
      </c>
      <c r="B13" s="79"/>
      <c r="C13" s="77"/>
      <c r="D13" s="17">
        <v>11312825</v>
      </c>
      <c r="E13" s="17">
        <v>13131600</v>
      </c>
      <c r="F13" s="17">
        <v>14400</v>
      </c>
      <c r="G13" s="116">
        <f t="shared" si="1"/>
        <v>24458825</v>
      </c>
      <c r="H13" s="231"/>
      <c r="I13" s="139">
        <f t="shared" si="2"/>
        <v>24458825</v>
      </c>
      <c r="J13" s="134"/>
    </row>
    <row r="14" spans="1:10" ht="13.5">
      <c r="A14" s="78"/>
      <c r="B14" s="77" t="str">
        <f>'１０’貸借'!B14</f>
        <v>貸倒引当金</v>
      </c>
      <c r="C14" s="77"/>
      <c r="D14" s="17">
        <v>-29532031157</v>
      </c>
      <c r="E14" s="17">
        <v>-17830527000</v>
      </c>
      <c r="F14" s="17"/>
      <c r="G14" s="116">
        <f t="shared" si="1"/>
        <v>-47362558157</v>
      </c>
      <c r="H14" s="72"/>
      <c r="I14" s="139">
        <f t="shared" si="2"/>
        <v>-47362558157</v>
      </c>
      <c r="J14" s="134"/>
    </row>
    <row r="15" spans="1:10" ht="13.5">
      <c r="A15" s="8" t="str">
        <f>'１０’貸借'!A15</f>
        <v>有形固定資産</v>
      </c>
      <c r="B15" s="77"/>
      <c r="C15" s="77"/>
      <c r="D15" s="117">
        <f aca="true" t="shared" si="3" ref="D15:I15">D16+D17+D18+D19+D20+D21+D22</f>
        <v>140357869537</v>
      </c>
      <c r="E15" s="117">
        <f t="shared" si="3"/>
        <v>138246521439</v>
      </c>
      <c r="F15" s="117">
        <f t="shared" si="3"/>
        <v>492374855</v>
      </c>
      <c r="G15" s="117">
        <f t="shared" si="3"/>
        <v>279096765831</v>
      </c>
      <c r="H15" s="129">
        <f t="shared" si="3"/>
        <v>0</v>
      </c>
      <c r="I15" s="140">
        <f t="shared" si="3"/>
        <v>279096765831</v>
      </c>
      <c r="J15" s="134"/>
    </row>
    <row r="16" spans="1:10" ht="13.5">
      <c r="A16" s="8"/>
      <c r="B16" s="77" t="str">
        <f>'１０’貸借'!B16</f>
        <v>土地</v>
      </c>
      <c r="C16" s="77"/>
      <c r="D16" s="17">
        <v>47924335044</v>
      </c>
      <c r="E16" s="17">
        <v>59886596819</v>
      </c>
      <c r="F16" s="17"/>
      <c r="G16" s="116">
        <f aca="true" t="shared" si="4" ref="G16:G22">D16+E16+F16</f>
        <v>107810931863</v>
      </c>
      <c r="H16" s="16"/>
      <c r="I16" s="139">
        <f aca="true" t="shared" si="5" ref="I16:I22">G16+H16</f>
        <v>107810931863</v>
      </c>
      <c r="J16" s="134"/>
    </row>
    <row r="17" spans="1:10" ht="13.5">
      <c r="A17" s="8"/>
      <c r="B17" s="77" t="str">
        <f>'１０’貸借'!B17</f>
        <v>立木竹</v>
      </c>
      <c r="C17" s="77"/>
      <c r="D17" s="17">
        <v>438336245</v>
      </c>
      <c r="E17" s="17">
        <v>252247026</v>
      </c>
      <c r="F17" s="17"/>
      <c r="G17" s="116">
        <f t="shared" si="4"/>
        <v>690583271</v>
      </c>
      <c r="H17" s="16"/>
      <c r="I17" s="139">
        <f t="shared" si="5"/>
        <v>690583271</v>
      </c>
      <c r="J17" s="134"/>
    </row>
    <row r="18" spans="1:10" ht="13.5">
      <c r="A18" s="8"/>
      <c r="B18" s="77" t="str">
        <f>'１０’貸借'!B18</f>
        <v>建物</v>
      </c>
      <c r="C18" s="77"/>
      <c r="D18" s="17">
        <v>52139917436</v>
      </c>
      <c r="E18" s="17">
        <v>49593994020</v>
      </c>
      <c r="F18" s="17"/>
      <c r="G18" s="116">
        <f t="shared" si="4"/>
        <v>101733911456</v>
      </c>
      <c r="H18" s="16"/>
      <c r="I18" s="139">
        <f t="shared" si="5"/>
        <v>101733911456</v>
      </c>
      <c r="J18" s="134"/>
    </row>
    <row r="19" spans="1:10" ht="13.5">
      <c r="A19" s="8"/>
      <c r="B19" s="77" t="str">
        <f>'１０’貸借'!B19</f>
        <v>工作物</v>
      </c>
      <c r="C19" s="77"/>
      <c r="D19" s="17">
        <v>27336009829</v>
      </c>
      <c r="E19" s="17">
        <v>21037398473</v>
      </c>
      <c r="F19" s="17"/>
      <c r="G19" s="116">
        <f t="shared" si="4"/>
        <v>48373408302</v>
      </c>
      <c r="H19" s="16"/>
      <c r="I19" s="139">
        <f t="shared" si="5"/>
        <v>48373408302</v>
      </c>
      <c r="J19" s="134"/>
    </row>
    <row r="20" spans="1:10" ht="13.5">
      <c r="A20" s="8"/>
      <c r="B20" s="77" t="str">
        <f>'１０’貸借'!B20</f>
        <v>物品</v>
      </c>
      <c r="C20" s="77"/>
      <c r="D20" s="17">
        <v>7537441977</v>
      </c>
      <c r="E20" s="17">
        <v>5387413101</v>
      </c>
      <c r="F20" s="17">
        <v>492374855</v>
      </c>
      <c r="G20" s="116">
        <f t="shared" si="4"/>
        <v>13417229933</v>
      </c>
      <c r="H20" s="72"/>
      <c r="I20" s="139">
        <f t="shared" si="5"/>
        <v>13417229933</v>
      </c>
      <c r="J20" s="134"/>
    </row>
    <row r="21" spans="1:10" ht="13.5">
      <c r="A21" s="225"/>
      <c r="B21" s="227" t="str">
        <f>'１０’貸借'!B21</f>
        <v>未完成施設</v>
      </c>
      <c r="C21" s="227"/>
      <c r="D21" s="228"/>
      <c r="E21" s="228"/>
      <c r="F21" s="228"/>
      <c r="G21" s="230">
        <f t="shared" si="4"/>
        <v>0</v>
      </c>
      <c r="H21" s="231"/>
      <c r="I21" s="232">
        <f t="shared" si="5"/>
        <v>0</v>
      </c>
      <c r="J21" s="134"/>
    </row>
    <row r="22" spans="1:10" ht="13.5">
      <c r="A22" s="8"/>
      <c r="B22" s="77" t="str">
        <f>'１０’貸借'!B22</f>
        <v>建設仮勘定</v>
      </c>
      <c r="C22" s="77"/>
      <c r="D22" s="17">
        <v>4981829006</v>
      </c>
      <c r="E22" s="17">
        <v>2088872000</v>
      </c>
      <c r="F22" s="17"/>
      <c r="G22" s="116">
        <f t="shared" si="4"/>
        <v>7070701006</v>
      </c>
      <c r="H22" s="72"/>
      <c r="I22" s="139">
        <f t="shared" si="5"/>
        <v>7070701006</v>
      </c>
      <c r="J22" s="134"/>
    </row>
    <row r="23" spans="1:10" ht="13.5">
      <c r="A23" s="8" t="str">
        <f>'１０’貸借'!A23</f>
        <v>無形固定資産</v>
      </c>
      <c r="B23" s="77"/>
      <c r="C23" s="77"/>
      <c r="D23" s="117">
        <f aca="true" t="shared" si="6" ref="D23:I23">D24+D25</f>
        <v>3701772438</v>
      </c>
      <c r="E23" s="117">
        <f t="shared" si="6"/>
        <v>2933562526</v>
      </c>
      <c r="F23" s="117">
        <f t="shared" si="6"/>
        <v>695896926</v>
      </c>
      <c r="G23" s="117">
        <f t="shared" si="6"/>
        <v>7331231890</v>
      </c>
      <c r="H23" s="129">
        <f t="shared" si="6"/>
        <v>0</v>
      </c>
      <c r="I23" s="140">
        <f t="shared" si="6"/>
        <v>7331231890</v>
      </c>
      <c r="J23" s="134"/>
    </row>
    <row r="24" spans="1:10" ht="13.5">
      <c r="A24" s="8"/>
      <c r="B24" s="77" t="str">
        <f>'１０’貸借'!B24</f>
        <v>電話加入権</v>
      </c>
      <c r="C24" s="77"/>
      <c r="D24" s="22">
        <v>137880000</v>
      </c>
      <c r="E24" s="17">
        <v>407664000</v>
      </c>
      <c r="F24" s="17">
        <v>6120000</v>
      </c>
      <c r="G24" s="116">
        <f>D24+E24+F24</f>
        <v>551664000</v>
      </c>
      <c r="H24" s="72"/>
      <c r="I24" s="139">
        <f>G24+H24</f>
        <v>551664000</v>
      </c>
      <c r="J24" s="134"/>
    </row>
    <row r="25" spans="1:10" ht="13.5">
      <c r="A25" s="8"/>
      <c r="B25" s="77" t="str">
        <f>'１０’貸借'!B25</f>
        <v>ソフトウェア</v>
      </c>
      <c r="C25" s="77"/>
      <c r="D25" s="22">
        <v>3563892438</v>
      </c>
      <c r="E25" s="17">
        <v>2525898526</v>
      </c>
      <c r="F25" s="17">
        <v>689776926</v>
      </c>
      <c r="G25" s="116">
        <f>D25+E25+F25</f>
        <v>6779567890</v>
      </c>
      <c r="H25" s="72"/>
      <c r="I25" s="139">
        <f>G25+H25</f>
        <v>6779567890</v>
      </c>
      <c r="J25" s="134"/>
    </row>
    <row r="26" spans="1:10" ht="13.5">
      <c r="A26" s="8" t="str">
        <f>'１０’貸借'!A26</f>
        <v>出資金</v>
      </c>
      <c r="B26" s="79"/>
      <c r="C26" s="77"/>
      <c r="D26" s="17">
        <v>351177559280</v>
      </c>
      <c r="E26" s="17">
        <v>2131224572951</v>
      </c>
      <c r="F26" s="17"/>
      <c r="G26" s="116">
        <f>D26+E26+F26</f>
        <v>2482402132231</v>
      </c>
      <c r="H26" s="72"/>
      <c r="I26" s="139">
        <f>G26+H26</f>
        <v>2482402132231</v>
      </c>
      <c r="J26" s="134"/>
    </row>
    <row r="27" spans="1:10" ht="13.5">
      <c r="A27" s="8"/>
      <c r="B27" s="77"/>
      <c r="C27" s="77"/>
      <c r="D27" s="73"/>
      <c r="E27" s="73"/>
      <c r="F27" s="73"/>
      <c r="G27" s="118"/>
      <c r="H27" s="130"/>
      <c r="I27" s="141"/>
      <c r="J27" s="135"/>
    </row>
    <row r="28" spans="1:10" ht="13.5">
      <c r="A28" s="80" t="str">
        <f>'１０’貸借'!A28</f>
        <v>資産合計</v>
      </c>
      <c r="B28" s="81"/>
      <c r="C28" s="87"/>
      <c r="D28" s="119">
        <f aca="true" t="shared" si="7" ref="D28:I28">D6+D7+D11+D12+D13+D14+D15+D23+D26</f>
        <v>7908510993799</v>
      </c>
      <c r="E28" s="119">
        <f t="shared" si="7"/>
        <v>3494863179832</v>
      </c>
      <c r="F28" s="119">
        <f t="shared" si="7"/>
        <v>1959397444</v>
      </c>
      <c r="G28" s="119">
        <f t="shared" si="7"/>
        <v>11405333571075</v>
      </c>
      <c r="H28" s="119">
        <f t="shared" si="7"/>
        <v>-771111263</v>
      </c>
      <c r="I28" s="142">
        <f t="shared" si="7"/>
        <v>11404562459812</v>
      </c>
      <c r="J28" s="136"/>
    </row>
    <row r="29" spans="1:10" ht="13.5">
      <c r="A29" s="8" t="str">
        <f>'１０’貸借'!A29</f>
        <v>＜負債の部＞</v>
      </c>
      <c r="B29" s="74"/>
      <c r="C29" s="74"/>
      <c r="D29" s="14"/>
      <c r="E29" s="14"/>
      <c r="F29" s="15"/>
      <c r="G29" s="116"/>
      <c r="H29" s="72"/>
      <c r="I29" s="139"/>
      <c r="J29" s="134"/>
    </row>
    <row r="30" spans="1:10" ht="13.5">
      <c r="A30" s="8" t="str">
        <f>'１０’貸借'!A30</f>
        <v>未払金</v>
      </c>
      <c r="B30" s="71"/>
      <c r="C30" s="77"/>
      <c r="D30" s="117">
        <f aca="true" t="shared" si="8" ref="D30:I30">D31+D32+D33</f>
        <v>21366396</v>
      </c>
      <c r="E30" s="120">
        <f t="shared" si="8"/>
        <v>14158412</v>
      </c>
      <c r="F30" s="253">
        <f t="shared" si="8"/>
        <v>6073500</v>
      </c>
      <c r="G30" s="120">
        <f t="shared" si="8"/>
        <v>41598308</v>
      </c>
      <c r="H30" s="258">
        <f t="shared" si="8"/>
        <v>-2578500</v>
      </c>
      <c r="I30" s="140">
        <f t="shared" si="8"/>
        <v>39019808</v>
      </c>
      <c r="J30" s="134"/>
    </row>
    <row r="31" spans="1:10" s="101" customFormat="1" ht="13.5">
      <c r="A31" s="219"/>
      <c r="B31" s="221" t="str">
        <f>'１０’貸借'!B31</f>
        <v>労災勘定へ繰入未済金</v>
      </c>
      <c r="C31" s="221"/>
      <c r="D31" s="222">
        <v>0</v>
      </c>
      <c r="E31" s="222"/>
      <c r="F31" s="252">
        <f>36869561282-36869561282</f>
        <v>0</v>
      </c>
      <c r="G31" s="223">
        <f aca="true" t="shared" si="9" ref="G31:G38">D31+E31+F31</f>
        <v>0</v>
      </c>
      <c r="H31" s="251">
        <f>-F31</f>
        <v>0</v>
      </c>
      <c r="I31" s="208">
        <f aca="true" t="shared" si="10" ref="I31:I38">G31+H31</f>
        <v>0</v>
      </c>
      <c r="J31" s="184"/>
    </row>
    <row r="32" spans="1:10" s="101" customFormat="1" ht="13.5">
      <c r="A32" s="219"/>
      <c r="B32" s="221" t="str">
        <f>'１０’貸借'!B32</f>
        <v>雇用勘定へ繰入未済金</v>
      </c>
      <c r="C32" s="221"/>
      <c r="D32" s="222">
        <v>0</v>
      </c>
      <c r="E32" s="222"/>
      <c r="F32" s="252">
        <f>35007860012-35007860012</f>
        <v>0</v>
      </c>
      <c r="G32" s="223">
        <f t="shared" si="9"/>
        <v>0</v>
      </c>
      <c r="H32" s="251">
        <f>-F32</f>
        <v>0</v>
      </c>
      <c r="I32" s="208">
        <f t="shared" si="10"/>
        <v>0</v>
      </c>
      <c r="J32" s="184"/>
    </row>
    <row r="33" spans="1:10" ht="13.5">
      <c r="A33" s="225"/>
      <c r="B33" s="227" t="str">
        <f>'１０’貸借'!B33</f>
        <v>その他未払金</v>
      </c>
      <c r="C33" s="227"/>
      <c r="D33" s="228">
        <v>21366396</v>
      </c>
      <c r="E33" s="228">
        <v>14158412</v>
      </c>
      <c r="F33" s="229">
        <v>6073500</v>
      </c>
      <c r="G33" s="230">
        <f t="shared" si="9"/>
        <v>41598308</v>
      </c>
      <c r="H33" s="231">
        <f>H7</f>
        <v>-2578500</v>
      </c>
      <c r="I33" s="232">
        <f t="shared" si="10"/>
        <v>39019808</v>
      </c>
      <c r="J33" s="260" t="s">
        <v>145</v>
      </c>
    </row>
    <row r="34" spans="1:10" ht="13.5">
      <c r="A34" s="8" t="str">
        <f>'１０’貸借'!A34</f>
        <v>支払備金</v>
      </c>
      <c r="B34" s="71"/>
      <c r="C34" s="77"/>
      <c r="D34" s="17">
        <v>195989091000</v>
      </c>
      <c r="E34" s="17">
        <v>438123933000</v>
      </c>
      <c r="F34" s="18"/>
      <c r="G34" s="116">
        <f t="shared" si="9"/>
        <v>634113024000</v>
      </c>
      <c r="H34" s="72"/>
      <c r="I34" s="139">
        <f t="shared" si="10"/>
        <v>634113024000</v>
      </c>
      <c r="J34" s="134"/>
    </row>
    <row r="35" spans="1:10" ht="13.5">
      <c r="A35" s="8" t="str">
        <f>'１０’貸借'!A35</f>
        <v>未経過保険料</v>
      </c>
      <c r="B35" s="71"/>
      <c r="C35" s="77"/>
      <c r="D35" s="17">
        <v>31851319920</v>
      </c>
      <c r="E35" s="17"/>
      <c r="F35" s="18"/>
      <c r="G35" s="116">
        <f t="shared" si="9"/>
        <v>31851319920</v>
      </c>
      <c r="H35" s="72"/>
      <c r="I35" s="139">
        <f t="shared" si="10"/>
        <v>31851319920</v>
      </c>
      <c r="J35" s="134"/>
    </row>
    <row r="36" spans="1:10" ht="13.5">
      <c r="A36" s="8" t="str">
        <f>'１０’貸借'!A36</f>
        <v>前受金</v>
      </c>
      <c r="B36" s="71"/>
      <c r="C36" s="77"/>
      <c r="D36" s="17"/>
      <c r="E36" s="17">
        <v>26517619706</v>
      </c>
      <c r="F36" s="229">
        <v>768532763</v>
      </c>
      <c r="G36" s="116">
        <f t="shared" si="9"/>
        <v>27286152469</v>
      </c>
      <c r="H36" s="231">
        <v>-768532763</v>
      </c>
      <c r="I36" s="139">
        <f t="shared" si="10"/>
        <v>26517619706</v>
      </c>
      <c r="J36" s="134"/>
    </row>
    <row r="37" spans="1:10" ht="13.5">
      <c r="A37" s="8" t="str">
        <f>'１０’貸借'!A37</f>
        <v>賞与引当金</v>
      </c>
      <c r="B37" s="71"/>
      <c r="C37" s="77"/>
      <c r="D37" s="17">
        <v>1125208000</v>
      </c>
      <c r="E37" s="17">
        <v>1761182768</v>
      </c>
      <c r="F37" s="18">
        <v>541158695</v>
      </c>
      <c r="G37" s="116">
        <f t="shared" si="9"/>
        <v>3427549463</v>
      </c>
      <c r="H37" s="72"/>
      <c r="I37" s="139">
        <f t="shared" si="10"/>
        <v>3427549463</v>
      </c>
      <c r="J37" s="134"/>
    </row>
    <row r="38" spans="1:10" ht="13.5">
      <c r="A38" s="8" t="str">
        <f>'１０’貸借'!A38</f>
        <v>退職給与引当金</v>
      </c>
      <c r="B38" s="71"/>
      <c r="C38" s="77"/>
      <c r="D38" s="17">
        <v>51258857099</v>
      </c>
      <c r="E38" s="17">
        <v>42359755192</v>
      </c>
      <c r="F38" s="18">
        <v>19771455704</v>
      </c>
      <c r="G38" s="116">
        <f t="shared" si="9"/>
        <v>113390067995</v>
      </c>
      <c r="H38" s="72"/>
      <c r="I38" s="139">
        <f t="shared" si="10"/>
        <v>113390067995</v>
      </c>
      <c r="J38" s="134"/>
    </row>
    <row r="39" spans="1:10" ht="13.5">
      <c r="A39" s="8" t="str">
        <f>'１０’貸借'!A39</f>
        <v>責任準備金</v>
      </c>
      <c r="B39" s="71"/>
      <c r="C39" s="77"/>
      <c r="D39" s="17">
        <v>8318493000000</v>
      </c>
      <c r="E39" s="17">
        <v>0</v>
      </c>
      <c r="F39" s="18"/>
      <c r="G39" s="116">
        <f>D39+E39+F39</f>
        <v>8318493000000</v>
      </c>
      <c r="H39" s="72"/>
      <c r="I39" s="139">
        <f>G39+H39</f>
        <v>8318493000000</v>
      </c>
      <c r="J39" s="134"/>
    </row>
    <row r="40" spans="1:10" ht="13.5">
      <c r="A40" s="8"/>
      <c r="B40" s="71"/>
      <c r="C40" s="77"/>
      <c r="D40" s="17"/>
      <c r="E40" s="17"/>
      <c r="F40" s="18"/>
      <c r="G40" s="116"/>
      <c r="H40" s="72"/>
      <c r="I40" s="139"/>
      <c r="J40" s="134"/>
    </row>
    <row r="41" spans="1:10" ht="13.5">
      <c r="A41" s="80" t="str">
        <f>'１０’貸借'!A41</f>
        <v>負債合計</v>
      </c>
      <c r="B41" s="86"/>
      <c r="C41" s="87"/>
      <c r="D41" s="121">
        <f aca="true" t="shared" si="11" ref="D41:I41">D30+D34+D35+D36+D37+D38+D39</f>
        <v>8598738842415</v>
      </c>
      <c r="E41" s="121">
        <f t="shared" si="11"/>
        <v>508776649078</v>
      </c>
      <c r="F41" s="121">
        <f t="shared" si="11"/>
        <v>21087220662</v>
      </c>
      <c r="G41" s="121">
        <f t="shared" si="11"/>
        <v>9128602712155</v>
      </c>
      <c r="H41" s="131">
        <f t="shared" si="11"/>
        <v>-771111263</v>
      </c>
      <c r="I41" s="143">
        <f t="shared" si="11"/>
        <v>9127831600892</v>
      </c>
      <c r="J41" s="136"/>
    </row>
    <row r="42" spans="1:10" ht="13.5">
      <c r="A42" s="8" t="str">
        <f>'１０’貸借'!A42</f>
        <v>＜資産・負債差額の部＞</v>
      </c>
      <c r="B42" s="71"/>
      <c r="C42" s="77"/>
      <c r="D42" s="8"/>
      <c r="E42" s="8"/>
      <c r="F42" s="94"/>
      <c r="G42" s="122"/>
      <c r="H42" s="95"/>
      <c r="I42" s="144"/>
      <c r="J42" s="134"/>
    </row>
    <row r="43" spans="1:10" ht="13.5">
      <c r="A43" s="8" t="str">
        <f>'１０’貸借'!A43</f>
        <v>基準時資産・負債差額</v>
      </c>
      <c r="B43" s="85"/>
      <c r="C43" s="77"/>
      <c r="D43" s="193">
        <v>-8006368383003</v>
      </c>
      <c r="E43" s="193">
        <v>1742193116533</v>
      </c>
      <c r="F43" s="123">
        <f>'１０’貸借'!F43</f>
        <v>-18704048284</v>
      </c>
      <c r="G43" s="116">
        <f aca="true" t="shared" si="12" ref="G43:G48">D43+E43+F43</f>
        <v>-6282879314754</v>
      </c>
      <c r="H43" s="132">
        <f>H28-H41-H44-H47</f>
        <v>0</v>
      </c>
      <c r="I43" s="139">
        <f aca="true" t="shared" si="13" ref="I43:I48">G43+H43</f>
        <v>-6282879314754</v>
      </c>
      <c r="J43" s="134"/>
    </row>
    <row r="44" spans="1:10" ht="13.5">
      <c r="A44" s="8" t="str">
        <f>'１０’貸借'!A44</f>
        <v>資金</v>
      </c>
      <c r="B44" s="71"/>
      <c r="C44" s="77"/>
      <c r="D44" s="124">
        <f>D45+D46</f>
        <v>7160235058198</v>
      </c>
      <c r="E44" s="124">
        <f>E45+E46</f>
        <v>1154511436640</v>
      </c>
      <c r="F44" s="124">
        <f>F45+F46</f>
        <v>0</v>
      </c>
      <c r="G44" s="116">
        <f t="shared" si="12"/>
        <v>8314746494838</v>
      </c>
      <c r="H44" s="124">
        <f>H45+H46</f>
        <v>0</v>
      </c>
      <c r="I44" s="139">
        <f t="shared" si="13"/>
        <v>8314746494838</v>
      </c>
      <c r="J44" s="134"/>
    </row>
    <row r="45" spans="1:10" ht="13.5">
      <c r="A45" s="8"/>
      <c r="B45" s="77" t="str">
        <f>'１０’貸借'!B45</f>
        <v>積立金</v>
      </c>
      <c r="C45" s="77"/>
      <c r="D45" s="8">
        <v>7160235058198</v>
      </c>
      <c r="E45" s="8">
        <v>844349172400</v>
      </c>
      <c r="F45" s="19"/>
      <c r="G45" s="116">
        <f t="shared" si="12"/>
        <v>8004584230598</v>
      </c>
      <c r="H45" s="95"/>
      <c r="I45" s="139">
        <f t="shared" si="13"/>
        <v>8004584230598</v>
      </c>
      <c r="J45" s="134"/>
    </row>
    <row r="46" spans="1:10" ht="13.5">
      <c r="A46" s="8"/>
      <c r="B46" s="77" t="str">
        <f>'１０’貸借'!B46</f>
        <v>雇用安定資金</v>
      </c>
      <c r="C46" s="77"/>
      <c r="D46" s="8"/>
      <c r="E46" s="8">
        <v>310162264240</v>
      </c>
      <c r="F46" s="19"/>
      <c r="G46" s="116">
        <f t="shared" si="12"/>
        <v>310162264240</v>
      </c>
      <c r="H46" s="95"/>
      <c r="I46" s="139">
        <f t="shared" si="13"/>
        <v>310162264240</v>
      </c>
      <c r="J46" s="134"/>
    </row>
    <row r="47" spans="1:10" ht="13.5">
      <c r="A47" s="8" t="str">
        <f>'１０’貸借'!A47</f>
        <v>資産評価差額</v>
      </c>
      <c r="B47" s="85"/>
      <c r="C47" s="77"/>
      <c r="D47" s="21">
        <v>-13061650894</v>
      </c>
      <c r="E47" s="21">
        <v>-16603787479</v>
      </c>
      <c r="F47" s="22"/>
      <c r="G47" s="116">
        <f t="shared" si="12"/>
        <v>-29665438373</v>
      </c>
      <c r="H47" s="21"/>
      <c r="I47" s="139">
        <f t="shared" si="13"/>
        <v>-29665438373</v>
      </c>
      <c r="J47" s="134"/>
    </row>
    <row r="48" spans="1:10" ht="13.5">
      <c r="A48" s="8" t="str">
        <f>'１０’貸借'!A48</f>
        <v>業務費用・財源差額累計</v>
      </c>
      <c r="B48" s="85"/>
      <c r="C48" s="77"/>
      <c r="D48" s="123">
        <f>D28-D41-D43-D44-D47</f>
        <v>168967127083</v>
      </c>
      <c r="E48" s="123">
        <f>E28-E41-E43-E44-E47</f>
        <v>105985765060</v>
      </c>
      <c r="F48" s="123">
        <f>F28-F41-F43-F44-F47</f>
        <v>-423774934</v>
      </c>
      <c r="G48" s="116">
        <f t="shared" si="12"/>
        <v>274529117209</v>
      </c>
      <c r="H48" s="95"/>
      <c r="I48" s="139">
        <f t="shared" si="13"/>
        <v>274529117209</v>
      </c>
      <c r="J48" s="134"/>
    </row>
    <row r="49" spans="1:10" ht="13.5">
      <c r="A49" s="20"/>
      <c r="B49" s="83"/>
      <c r="C49" s="84"/>
      <c r="D49" s="23"/>
      <c r="E49" s="23"/>
      <c r="F49" s="24"/>
      <c r="G49" s="122"/>
      <c r="H49" s="95"/>
      <c r="I49" s="144"/>
      <c r="J49" s="134"/>
    </row>
    <row r="50" spans="1:10" ht="13.5">
      <c r="A50" s="8" t="str">
        <f>'１０’貸借'!A50</f>
        <v>資産・負債差額合計</v>
      </c>
      <c r="B50" s="83"/>
      <c r="C50" s="84"/>
      <c r="D50" s="125">
        <f aca="true" t="shared" si="14" ref="D50:I50">D44+D43+D47+D48</f>
        <v>-690227848616</v>
      </c>
      <c r="E50" s="125">
        <f t="shared" si="14"/>
        <v>2986086530754</v>
      </c>
      <c r="F50" s="125">
        <f t="shared" si="14"/>
        <v>-19127823218</v>
      </c>
      <c r="G50" s="125">
        <f t="shared" si="14"/>
        <v>2276730858920</v>
      </c>
      <c r="H50" s="154">
        <f t="shared" si="14"/>
        <v>0</v>
      </c>
      <c r="I50" s="146">
        <f t="shared" si="14"/>
        <v>2276730858920</v>
      </c>
      <c r="J50" s="136"/>
    </row>
    <row r="51" spans="1:10" ht="14.25" thickBot="1">
      <c r="A51" s="361" t="s">
        <v>125</v>
      </c>
      <c r="B51" s="362"/>
      <c r="C51" s="362"/>
      <c r="D51" s="125">
        <f aca="true" t="shared" si="15" ref="D51:I51">D41+D50</f>
        <v>7908510993799</v>
      </c>
      <c r="E51" s="125">
        <f t="shared" si="15"/>
        <v>3494863179832</v>
      </c>
      <c r="F51" s="126">
        <f t="shared" si="15"/>
        <v>1959397444</v>
      </c>
      <c r="G51" s="125">
        <f t="shared" si="15"/>
        <v>11405333571075</v>
      </c>
      <c r="H51" s="125">
        <f t="shared" si="15"/>
        <v>-771111263</v>
      </c>
      <c r="I51" s="147">
        <f t="shared" si="15"/>
        <v>11404562459812</v>
      </c>
      <c r="J51" s="136"/>
    </row>
    <row r="53" spans="2:9" ht="13.5">
      <c r="B53" s="195" t="s">
        <v>141</v>
      </c>
      <c r="D53" s="194">
        <f>D48-'１２’業財'!G57</f>
        <v>0</v>
      </c>
      <c r="E53" s="194">
        <f>E48-'１２’業財'!H57</f>
        <v>0</v>
      </c>
      <c r="F53" s="194">
        <f>F48-'１２’業財'!I57</f>
        <v>0</v>
      </c>
      <c r="G53" s="194">
        <f>G48-'１２’業財'!J57</f>
        <v>0</v>
      </c>
      <c r="H53" s="194">
        <f>H48-'１２’業財'!K57</f>
        <v>0</v>
      </c>
      <c r="I53" s="194">
        <f>I48-'１２’業財'!L57</f>
        <v>0</v>
      </c>
    </row>
  </sheetData>
  <mergeCells count="1">
    <mergeCell ref="A51:C5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80" zoomScaleNormal="80" workbookViewId="0" topLeftCell="A1">
      <pane xSplit="6" ySplit="4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1" customWidth="1"/>
    <col min="2" max="4" width="1.4921875" style="1" customWidth="1"/>
    <col min="5" max="5" width="9.00390625" style="1" customWidth="1"/>
    <col min="6" max="6" width="17.75390625" style="1" customWidth="1"/>
    <col min="7" max="10" width="19.75390625" style="1" customWidth="1"/>
    <col min="11" max="11" width="22.375" style="1" customWidth="1"/>
    <col min="12" max="12" width="19.75390625" style="1" customWidth="1"/>
    <col min="13" max="13" width="18.875" style="1" customWidth="1"/>
    <col min="14" max="16384" width="9.00390625" style="1" customWidth="1"/>
  </cols>
  <sheetData>
    <row r="1" spans="1:13" s="101" customFormat="1" ht="18.75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0"/>
      <c r="M1" s="100"/>
    </row>
    <row r="2" spans="1:13" s="101" customFormat="1" ht="18.75">
      <c r="A2" s="102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0"/>
      <c r="M2" s="100"/>
    </row>
    <row r="3" spans="1:13" s="101" customFormat="1" ht="19.5" thickBot="1">
      <c r="A3" s="105" t="s">
        <v>23</v>
      </c>
      <c r="B3" s="108"/>
      <c r="C3" s="108"/>
      <c r="D3" s="108"/>
      <c r="E3" s="108"/>
      <c r="F3" s="108"/>
      <c r="G3" s="108"/>
      <c r="H3" s="108"/>
      <c r="M3" s="109" t="s">
        <v>24</v>
      </c>
    </row>
    <row r="4" spans="1:13" ht="13.5">
      <c r="A4" s="9"/>
      <c r="B4" s="10"/>
      <c r="C4" s="10"/>
      <c r="D4" s="10"/>
      <c r="E4" s="10"/>
      <c r="F4" s="10"/>
      <c r="G4" s="4" t="s">
        <v>25</v>
      </c>
      <c r="H4" s="5" t="s">
        <v>26</v>
      </c>
      <c r="I4" s="6" t="s">
        <v>27</v>
      </c>
      <c r="J4" s="7" t="s">
        <v>28</v>
      </c>
      <c r="K4" s="127" t="s">
        <v>29</v>
      </c>
      <c r="L4" s="137" t="s">
        <v>30</v>
      </c>
      <c r="M4" s="90" t="s">
        <v>33</v>
      </c>
    </row>
    <row r="5" spans="1:13" ht="13.5">
      <c r="A5" s="29" t="s">
        <v>83</v>
      </c>
      <c r="B5" s="30" t="s">
        <v>35</v>
      </c>
      <c r="C5" s="30"/>
      <c r="D5" s="30"/>
      <c r="E5" s="30"/>
      <c r="F5" s="30"/>
      <c r="G5" s="156">
        <f aca="true" t="shared" si="0" ref="G5:L5">SUM(G6:G27)-G20-G21-G22</f>
        <v>1023587915336</v>
      </c>
      <c r="H5" s="156">
        <f t="shared" si="0"/>
        <v>3276280144648</v>
      </c>
      <c r="I5" s="156">
        <f t="shared" si="0"/>
        <v>98320464447</v>
      </c>
      <c r="J5" s="156">
        <f t="shared" si="0"/>
        <v>4398188524431</v>
      </c>
      <c r="K5" s="162">
        <f t="shared" si="0"/>
        <v>-100304820532</v>
      </c>
      <c r="L5" s="158">
        <f t="shared" si="0"/>
        <v>4297883703899</v>
      </c>
      <c r="M5" s="44"/>
    </row>
    <row r="6" spans="1:13" ht="13.5">
      <c r="A6" s="31"/>
      <c r="B6" s="11"/>
      <c r="C6" s="11" t="s">
        <v>84</v>
      </c>
      <c r="D6" s="11"/>
      <c r="E6" s="11"/>
      <c r="F6" s="11"/>
      <c r="G6" s="26">
        <v>822357637253</v>
      </c>
      <c r="H6" s="26"/>
      <c r="I6" s="26"/>
      <c r="J6" s="155">
        <f aca="true" t="shared" si="1" ref="J6:J18">G6+H6+I6</f>
        <v>822357637253</v>
      </c>
      <c r="K6" s="148"/>
      <c r="L6" s="159">
        <f aca="true" t="shared" si="2" ref="L6:L18">J6+K6</f>
        <v>822357637253</v>
      </c>
      <c r="M6" s="47"/>
    </row>
    <row r="7" spans="1:13" ht="13.5">
      <c r="A7" s="31"/>
      <c r="B7" s="11"/>
      <c r="C7" s="11" t="s">
        <v>85</v>
      </c>
      <c r="D7" s="11"/>
      <c r="E7" s="11"/>
      <c r="F7" s="11"/>
      <c r="G7" s="26">
        <v>143397075768</v>
      </c>
      <c r="H7" s="26"/>
      <c r="I7" s="26"/>
      <c r="J7" s="155">
        <f t="shared" si="1"/>
        <v>143397075768</v>
      </c>
      <c r="K7" s="148"/>
      <c r="L7" s="159">
        <f t="shared" si="2"/>
        <v>143397075768</v>
      </c>
      <c r="M7" s="47"/>
    </row>
    <row r="8" spans="1:13" ht="13.5">
      <c r="A8" s="31"/>
      <c r="B8" s="11"/>
      <c r="C8" s="96" t="s">
        <v>70</v>
      </c>
      <c r="D8" s="96"/>
      <c r="E8" s="11"/>
      <c r="F8" s="11"/>
      <c r="G8" s="26"/>
      <c r="H8" s="26">
        <v>2663320632937</v>
      </c>
      <c r="I8" s="26"/>
      <c r="J8" s="155">
        <f t="shared" si="1"/>
        <v>2663320632937</v>
      </c>
      <c r="K8" s="148"/>
      <c r="L8" s="159">
        <f t="shared" si="2"/>
        <v>2663320632937</v>
      </c>
      <c r="M8" s="47"/>
    </row>
    <row r="9" spans="1:13" ht="13.5">
      <c r="A9" s="31"/>
      <c r="B9" s="11"/>
      <c r="C9" s="96" t="s">
        <v>71</v>
      </c>
      <c r="D9" s="96"/>
      <c r="E9" s="11"/>
      <c r="F9" s="11"/>
      <c r="G9" s="26"/>
      <c r="H9" s="26">
        <v>192451335944</v>
      </c>
      <c r="I9" s="26"/>
      <c r="J9" s="155">
        <f t="shared" si="1"/>
        <v>192451335944</v>
      </c>
      <c r="K9" s="148"/>
      <c r="L9" s="159">
        <f t="shared" si="2"/>
        <v>192451335944</v>
      </c>
      <c r="M9" s="47"/>
    </row>
    <row r="10" spans="1:13" ht="13.5">
      <c r="A10" s="31"/>
      <c r="B10" s="11"/>
      <c r="C10" s="11" t="s">
        <v>41</v>
      </c>
      <c r="D10" s="11"/>
      <c r="E10" s="11"/>
      <c r="F10" s="11"/>
      <c r="G10" s="26"/>
      <c r="H10" s="26"/>
      <c r="I10" s="254">
        <f>60960221395</f>
        <v>60960221395</v>
      </c>
      <c r="J10" s="155">
        <f t="shared" si="1"/>
        <v>60960221395</v>
      </c>
      <c r="K10" s="26"/>
      <c r="L10" s="159">
        <f t="shared" si="2"/>
        <v>60960221395</v>
      </c>
      <c r="M10" s="47"/>
    </row>
    <row r="11" spans="1:13" ht="13.5">
      <c r="A11" s="31"/>
      <c r="B11" s="11"/>
      <c r="C11" s="96" t="s">
        <v>72</v>
      </c>
      <c r="D11" s="96"/>
      <c r="E11" s="11"/>
      <c r="F11" s="11"/>
      <c r="G11" s="26">
        <v>15493682298</v>
      </c>
      <c r="H11" s="26">
        <v>41324851911</v>
      </c>
      <c r="I11" s="26">
        <v>25310475723</v>
      </c>
      <c r="J11" s="155">
        <f t="shared" si="1"/>
        <v>82129009932</v>
      </c>
      <c r="K11" s="148"/>
      <c r="L11" s="159">
        <f t="shared" si="2"/>
        <v>82129009932</v>
      </c>
      <c r="M11" s="47"/>
    </row>
    <row r="12" spans="1:13" ht="13.5">
      <c r="A12" s="31"/>
      <c r="B12" s="11"/>
      <c r="C12" s="11" t="s">
        <v>36</v>
      </c>
      <c r="D12" s="11"/>
      <c r="E12" s="11"/>
      <c r="F12" s="11"/>
      <c r="G12" s="26">
        <v>30706386754</v>
      </c>
      <c r="H12" s="26">
        <v>42849351088</v>
      </c>
      <c r="I12" s="26">
        <v>12845829979</v>
      </c>
      <c r="J12" s="155">
        <f t="shared" si="1"/>
        <v>86401567821</v>
      </c>
      <c r="K12" s="148"/>
      <c r="L12" s="159">
        <f t="shared" si="2"/>
        <v>86401567821</v>
      </c>
      <c r="M12" s="47"/>
    </row>
    <row r="13" spans="1:13" ht="13.5">
      <c r="A13" s="31"/>
      <c r="B13" s="11"/>
      <c r="C13" s="11" t="s">
        <v>38</v>
      </c>
      <c r="D13" s="11"/>
      <c r="E13" s="11"/>
      <c r="F13" s="11"/>
      <c r="G13" s="26">
        <v>-70239000</v>
      </c>
      <c r="H13" s="69">
        <v>-69291651</v>
      </c>
      <c r="I13" s="26">
        <v>-21673768</v>
      </c>
      <c r="J13" s="155">
        <f>G13+H13+I13</f>
        <v>-161204419</v>
      </c>
      <c r="K13" s="148"/>
      <c r="L13" s="159">
        <f>J13+K13</f>
        <v>-161204419</v>
      </c>
      <c r="M13" s="47"/>
    </row>
    <row r="14" spans="1:13" ht="13.5">
      <c r="A14" s="31"/>
      <c r="B14" s="11"/>
      <c r="C14" s="11" t="s">
        <v>37</v>
      </c>
      <c r="D14" s="11"/>
      <c r="E14" s="11"/>
      <c r="F14" s="11"/>
      <c r="G14" s="26">
        <v>-921467913</v>
      </c>
      <c r="H14" s="26">
        <v>2070817303</v>
      </c>
      <c r="I14" s="26">
        <v>-2269906478</v>
      </c>
      <c r="J14" s="155">
        <f t="shared" si="1"/>
        <v>-1120557088</v>
      </c>
      <c r="K14" s="148"/>
      <c r="L14" s="159">
        <f t="shared" si="2"/>
        <v>-1120557088</v>
      </c>
      <c r="M14" s="47"/>
    </row>
    <row r="15" spans="1:13" ht="13.5">
      <c r="A15" s="31"/>
      <c r="B15" s="11"/>
      <c r="C15" s="11" t="s">
        <v>39</v>
      </c>
      <c r="D15" s="11"/>
      <c r="E15" s="11"/>
      <c r="F15" s="11"/>
      <c r="G15" s="26">
        <v>57474741231</v>
      </c>
      <c r="H15" s="26">
        <v>32821797916</v>
      </c>
      <c r="I15" s="26">
        <v>863414000</v>
      </c>
      <c r="J15" s="155">
        <f t="shared" si="1"/>
        <v>91159953147</v>
      </c>
      <c r="K15" s="148"/>
      <c r="L15" s="159">
        <f t="shared" si="2"/>
        <v>91159953147</v>
      </c>
      <c r="M15" s="47"/>
    </row>
    <row r="16" spans="1:13" ht="13.5">
      <c r="A16" s="31"/>
      <c r="B16" s="11"/>
      <c r="C16" s="96" t="s">
        <v>73</v>
      </c>
      <c r="D16" s="96"/>
      <c r="E16" s="11"/>
      <c r="F16" s="11"/>
      <c r="G16" s="26">
        <v>48012339154</v>
      </c>
      <c r="H16" s="26">
        <v>267543298600</v>
      </c>
      <c r="I16" s="26"/>
      <c r="J16" s="155">
        <f t="shared" si="1"/>
        <v>315555637754</v>
      </c>
      <c r="K16" s="148"/>
      <c r="L16" s="159">
        <f t="shared" si="2"/>
        <v>315555637754</v>
      </c>
      <c r="M16" s="47"/>
    </row>
    <row r="17" spans="1:13" ht="13.5">
      <c r="A17" s="31"/>
      <c r="B17" s="11"/>
      <c r="C17" s="96" t="s">
        <v>74</v>
      </c>
      <c r="D17" s="96"/>
      <c r="E17" s="11"/>
      <c r="F17" s="11"/>
      <c r="G17" s="26">
        <v>599497952</v>
      </c>
      <c r="H17" s="26">
        <v>1065066827</v>
      </c>
      <c r="I17" s="26"/>
      <c r="J17" s="155">
        <f t="shared" si="1"/>
        <v>1664564779</v>
      </c>
      <c r="K17" s="148"/>
      <c r="L17" s="159">
        <f t="shared" si="2"/>
        <v>1664564779</v>
      </c>
      <c r="M17" s="47"/>
    </row>
    <row r="18" spans="1:13" ht="13.5">
      <c r="A18" s="31"/>
      <c r="B18" s="11"/>
      <c r="C18" s="11" t="s">
        <v>40</v>
      </c>
      <c r="D18" s="11"/>
      <c r="E18" s="11"/>
      <c r="F18" s="11"/>
      <c r="G18" s="26">
        <v>8420718908</v>
      </c>
      <c r="H18" s="26">
        <v>5909251092</v>
      </c>
      <c r="I18" s="26">
        <v>550586569</v>
      </c>
      <c r="J18" s="155">
        <f t="shared" si="1"/>
        <v>14880556569</v>
      </c>
      <c r="K18" s="148"/>
      <c r="L18" s="159">
        <f t="shared" si="2"/>
        <v>14880556569</v>
      </c>
      <c r="M18" s="47"/>
    </row>
    <row r="19" spans="1:13" s="101" customFormat="1" ht="13.5">
      <c r="A19" s="234"/>
      <c r="B19" s="204"/>
      <c r="C19" s="204" t="s">
        <v>42</v>
      </c>
      <c r="D19" s="204"/>
      <c r="E19" s="204"/>
      <c r="F19" s="204"/>
      <c r="G19" s="201">
        <f aca="true" t="shared" si="3" ref="G19:L19">G20+G21+G22</f>
        <v>77937804167</v>
      </c>
      <c r="H19" s="201">
        <f t="shared" si="3"/>
        <v>22367016365</v>
      </c>
      <c r="I19" s="245">
        <f t="shared" si="3"/>
        <v>0</v>
      </c>
      <c r="J19" s="201">
        <f t="shared" si="3"/>
        <v>100304820532</v>
      </c>
      <c r="K19" s="247">
        <f t="shared" si="3"/>
        <v>-100304820532</v>
      </c>
      <c r="L19" s="203">
        <f t="shared" si="3"/>
        <v>0</v>
      </c>
      <c r="M19" s="182"/>
    </row>
    <row r="20" spans="1:13" s="101" customFormat="1" ht="13.5">
      <c r="A20" s="234"/>
      <c r="B20" s="204"/>
      <c r="C20" s="204"/>
      <c r="D20" s="210" t="s">
        <v>105</v>
      </c>
      <c r="E20" s="204"/>
      <c r="F20" s="204"/>
      <c r="G20" s="206"/>
      <c r="H20" s="206"/>
      <c r="I20" s="246">
        <f>1338260635765-1338260635765</f>
        <v>0</v>
      </c>
      <c r="J20" s="201">
        <f aca="true" t="shared" si="4" ref="J20:J27">G20+H20+I20</f>
        <v>0</v>
      </c>
      <c r="K20" s="248">
        <f>-I20</f>
        <v>0</v>
      </c>
      <c r="L20" s="203">
        <f aca="true" t="shared" si="5" ref="L20:L27">J20+K20</f>
        <v>0</v>
      </c>
      <c r="M20" s="182"/>
    </row>
    <row r="21" spans="1:13" s="101" customFormat="1" ht="13.5">
      <c r="A21" s="234"/>
      <c r="B21" s="204"/>
      <c r="C21" s="204"/>
      <c r="D21" s="210" t="s">
        <v>106</v>
      </c>
      <c r="E21" s="204"/>
      <c r="F21" s="204"/>
      <c r="G21" s="206"/>
      <c r="H21" s="206"/>
      <c r="I21" s="246">
        <f>1777879895855-1777879895855</f>
        <v>0</v>
      </c>
      <c r="J21" s="201">
        <f t="shared" si="4"/>
        <v>0</v>
      </c>
      <c r="K21" s="248">
        <f>-I21</f>
        <v>0</v>
      </c>
      <c r="L21" s="203">
        <f t="shared" si="5"/>
        <v>0</v>
      </c>
      <c r="M21" s="182"/>
    </row>
    <row r="22" spans="1:13" s="101" customFormat="1" ht="13.5">
      <c r="A22" s="234"/>
      <c r="B22" s="204"/>
      <c r="C22" s="237"/>
      <c r="D22" s="210" t="s">
        <v>107</v>
      </c>
      <c r="E22" s="204"/>
      <c r="F22" s="204"/>
      <c r="G22" s="238">
        <v>77937804167</v>
      </c>
      <c r="H22" s="238">
        <v>22367016365</v>
      </c>
      <c r="I22" s="206"/>
      <c r="J22" s="201">
        <f t="shared" si="4"/>
        <v>100304820532</v>
      </c>
      <c r="K22" s="239">
        <f>-G22-H22</f>
        <v>-100304820532</v>
      </c>
      <c r="L22" s="203">
        <f t="shared" si="5"/>
        <v>0</v>
      </c>
      <c r="M22" s="182"/>
    </row>
    <row r="23" spans="1:13" s="101" customFormat="1" ht="13.5">
      <c r="A23" s="183"/>
      <c r="B23" s="66"/>
      <c r="C23" s="70" t="s">
        <v>138</v>
      </c>
      <c r="D23" s="97"/>
      <c r="E23" s="66"/>
      <c r="F23" s="66"/>
      <c r="G23" s="191"/>
      <c r="H23" s="26">
        <v>0</v>
      </c>
      <c r="I23" s="181"/>
      <c r="J23" s="155">
        <f t="shared" si="4"/>
        <v>0</v>
      </c>
      <c r="K23" s="164"/>
      <c r="L23" s="159">
        <f t="shared" si="5"/>
        <v>0</v>
      </c>
      <c r="M23" s="182"/>
    </row>
    <row r="24" spans="1:13" ht="13.5">
      <c r="A24" s="31"/>
      <c r="B24" s="11"/>
      <c r="C24" s="96" t="s">
        <v>75</v>
      </c>
      <c r="D24" s="96"/>
      <c r="E24" s="11"/>
      <c r="F24" s="11"/>
      <c r="G24" s="26">
        <v>6039738764</v>
      </c>
      <c r="H24" s="26">
        <v>4218118377</v>
      </c>
      <c r="I24" s="26"/>
      <c r="J24" s="155">
        <f t="shared" si="4"/>
        <v>10257857141</v>
      </c>
      <c r="K24" s="148"/>
      <c r="L24" s="159">
        <f t="shared" si="5"/>
        <v>10257857141</v>
      </c>
      <c r="M24" s="47"/>
    </row>
    <row r="25" spans="1:13" ht="13.5">
      <c r="A25" s="31"/>
      <c r="B25" s="11"/>
      <c r="C25" s="96" t="s">
        <v>86</v>
      </c>
      <c r="D25" s="96"/>
      <c r="E25" s="11"/>
      <c r="F25" s="11"/>
      <c r="G25" s="26">
        <v>-185860000000</v>
      </c>
      <c r="H25" s="26"/>
      <c r="I25" s="26"/>
      <c r="J25" s="155">
        <f t="shared" si="4"/>
        <v>-185860000000</v>
      </c>
      <c r="K25" s="148"/>
      <c r="L25" s="159">
        <f t="shared" si="5"/>
        <v>-185860000000</v>
      </c>
      <c r="M25" s="47"/>
    </row>
    <row r="26" spans="1:13" ht="13.5" hidden="1">
      <c r="A26" s="31"/>
      <c r="B26" s="11"/>
      <c r="C26" s="96" t="s">
        <v>139</v>
      </c>
      <c r="D26" s="96"/>
      <c r="E26" s="11"/>
      <c r="F26" s="11"/>
      <c r="G26" s="26">
        <v>0</v>
      </c>
      <c r="H26" s="26"/>
      <c r="I26" s="26"/>
      <c r="J26" s="155">
        <f t="shared" si="4"/>
        <v>0</v>
      </c>
      <c r="K26" s="148"/>
      <c r="L26" s="159">
        <f t="shared" si="5"/>
        <v>0</v>
      </c>
      <c r="M26" s="47"/>
    </row>
    <row r="27" spans="1:13" ht="13.5">
      <c r="A27" s="31"/>
      <c r="B27" s="11"/>
      <c r="C27" s="11" t="s">
        <v>43</v>
      </c>
      <c r="D27" s="11"/>
      <c r="E27" s="11"/>
      <c r="F27" s="11"/>
      <c r="G27" s="69">
        <v>0</v>
      </c>
      <c r="H27" s="242">
        <v>407897939</v>
      </c>
      <c r="I27" s="26">
        <v>81517027</v>
      </c>
      <c r="J27" s="155">
        <f t="shared" si="4"/>
        <v>489414966</v>
      </c>
      <c r="K27" s="148"/>
      <c r="L27" s="159">
        <f t="shared" si="5"/>
        <v>489414966</v>
      </c>
      <c r="M27" s="47"/>
    </row>
    <row r="28" spans="1:13" ht="13.5">
      <c r="A28" s="32"/>
      <c r="B28" s="33"/>
      <c r="C28" s="33"/>
      <c r="D28" s="33"/>
      <c r="E28" s="33"/>
      <c r="F28" s="33"/>
      <c r="G28" s="27"/>
      <c r="H28" s="27"/>
      <c r="I28" s="27"/>
      <c r="J28" s="157"/>
      <c r="K28" s="149"/>
      <c r="L28" s="160"/>
      <c r="M28" s="50"/>
    </row>
    <row r="29" spans="1:13" ht="13.5">
      <c r="A29" s="29" t="s">
        <v>52</v>
      </c>
      <c r="B29" s="30" t="s">
        <v>44</v>
      </c>
      <c r="C29" s="30"/>
      <c r="D29" s="30"/>
      <c r="E29" s="30"/>
      <c r="F29" s="30"/>
      <c r="G29" s="156">
        <f aca="true" t="shared" si="6" ref="G29:L29">G30</f>
        <v>1580128156828</v>
      </c>
      <c r="H29" s="156">
        <f t="shared" si="6"/>
        <v>2270480101958</v>
      </c>
      <c r="I29" s="156">
        <f t="shared" si="6"/>
        <v>100304820532</v>
      </c>
      <c r="J29" s="156">
        <f t="shared" si="6"/>
        <v>3950913079318</v>
      </c>
      <c r="K29" s="162">
        <f t="shared" si="6"/>
        <v>-100304820532</v>
      </c>
      <c r="L29" s="158">
        <f t="shared" si="6"/>
        <v>3850608258786</v>
      </c>
      <c r="M29" s="44"/>
    </row>
    <row r="30" spans="1:13" ht="13.5">
      <c r="A30" s="31"/>
      <c r="B30" s="11"/>
      <c r="C30" s="11" t="s">
        <v>45</v>
      </c>
      <c r="D30" s="11"/>
      <c r="E30" s="11"/>
      <c r="F30" s="11"/>
      <c r="G30" s="155">
        <f aca="true" t="shared" si="7" ref="G30:L30">G31+G36+G33+G34+G32+G39+G35</f>
        <v>1580128156828</v>
      </c>
      <c r="H30" s="155">
        <f t="shared" si="7"/>
        <v>2270480101958</v>
      </c>
      <c r="I30" s="155">
        <f t="shared" si="7"/>
        <v>100304820532</v>
      </c>
      <c r="J30" s="155">
        <f t="shared" si="7"/>
        <v>3950913079318</v>
      </c>
      <c r="K30" s="163">
        <f t="shared" si="7"/>
        <v>-100304820532</v>
      </c>
      <c r="L30" s="159">
        <f t="shared" si="7"/>
        <v>3850608258786</v>
      </c>
      <c r="M30" s="47"/>
    </row>
    <row r="31" spans="1:13" ht="13.5">
      <c r="A31" s="34"/>
      <c r="B31" s="35"/>
      <c r="C31" s="11"/>
      <c r="D31" s="12" t="s">
        <v>46</v>
      </c>
      <c r="E31" s="70"/>
      <c r="F31" s="12"/>
      <c r="G31" s="26"/>
      <c r="H31" s="26">
        <v>0</v>
      </c>
      <c r="I31" s="243">
        <f>3114198253554-3114198253554</f>
        <v>0</v>
      </c>
      <c r="J31" s="155">
        <f>G31+H31+I31</f>
        <v>0</v>
      </c>
      <c r="K31" s="243">
        <v>3114198253554</v>
      </c>
      <c r="L31" s="159">
        <f aca="true" t="shared" si="8" ref="L31:L42">J31+K31</f>
        <v>3114198253554</v>
      </c>
      <c r="M31" s="47"/>
    </row>
    <row r="32" spans="1:13" ht="13.5">
      <c r="A32" s="34"/>
      <c r="B32" s="35"/>
      <c r="C32" s="11"/>
      <c r="D32" s="11" t="s">
        <v>47</v>
      </c>
      <c r="E32" s="70"/>
      <c r="F32" s="11"/>
      <c r="G32" s="26">
        <v>202529078656</v>
      </c>
      <c r="H32" s="26">
        <v>79860856951</v>
      </c>
      <c r="I32" s="243">
        <f>1300732-1300732</f>
        <v>0</v>
      </c>
      <c r="J32" s="155">
        <f>G32+H32+I32</f>
        <v>282389935607</v>
      </c>
      <c r="K32" s="243">
        <v>1300732</v>
      </c>
      <c r="L32" s="159">
        <f t="shared" si="8"/>
        <v>282391236339</v>
      </c>
      <c r="M32" s="47"/>
    </row>
    <row r="33" spans="1:13" ht="13.5">
      <c r="A33" s="34"/>
      <c r="B33" s="35"/>
      <c r="C33" s="11"/>
      <c r="D33" s="12" t="s">
        <v>58</v>
      </c>
      <c r="E33" s="70"/>
      <c r="F33" s="12"/>
      <c r="G33" s="69">
        <v>34074928608</v>
      </c>
      <c r="H33" s="26">
        <v>14839330438</v>
      </c>
      <c r="I33" s="243">
        <f>1107614118-1107614118</f>
        <v>0</v>
      </c>
      <c r="J33" s="155">
        <f>G33+H33+I33</f>
        <v>48914259046</v>
      </c>
      <c r="K33" s="243">
        <v>1107614118</v>
      </c>
      <c r="L33" s="159">
        <f t="shared" si="8"/>
        <v>50021873164</v>
      </c>
      <c r="M33" s="47"/>
    </row>
    <row r="34" spans="1:13" ht="13.5">
      <c r="A34" s="34"/>
      <c r="B34" s="35"/>
      <c r="C34" s="11"/>
      <c r="D34" s="12" t="s">
        <v>140</v>
      </c>
      <c r="E34" s="70"/>
      <c r="F34" s="12"/>
      <c r="G34" s="26">
        <v>37724175539</v>
      </c>
      <c r="H34" s="26"/>
      <c r="I34" s="26"/>
      <c r="J34" s="155">
        <f>G34+H34+I34</f>
        <v>37724175539</v>
      </c>
      <c r="K34" s="26"/>
      <c r="L34" s="159">
        <f t="shared" si="8"/>
        <v>37724175539</v>
      </c>
      <c r="M34" s="47"/>
    </row>
    <row r="35" spans="1:13" ht="13.5">
      <c r="A35" s="31"/>
      <c r="B35" s="11"/>
      <c r="D35" s="96" t="s">
        <v>139</v>
      </c>
      <c r="E35" s="11"/>
      <c r="F35" s="11"/>
      <c r="G35" s="26">
        <v>-33767661740</v>
      </c>
      <c r="H35" s="26"/>
      <c r="I35" s="26"/>
      <c r="J35" s="155">
        <f>G35+H35+I35</f>
        <v>-33767661740</v>
      </c>
      <c r="K35" s="26"/>
      <c r="L35" s="159">
        <f t="shared" si="8"/>
        <v>-33767661740</v>
      </c>
      <c r="M35" s="47"/>
    </row>
    <row r="36" spans="1:13" ht="13.5">
      <c r="A36" s="34"/>
      <c r="B36" s="35"/>
      <c r="C36" s="11"/>
      <c r="D36" s="12" t="s">
        <v>57</v>
      </c>
      <c r="E36" s="70"/>
      <c r="F36" s="12"/>
      <c r="G36" s="155">
        <f aca="true" t="shared" si="9" ref="G36:L36">G37+G38</f>
        <v>1307000000</v>
      </c>
      <c r="H36" s="155">
        <f t="shared" si="9"/>
        <v>397900018714</v>
      </c>
      <c r="I36" s="244">
        <f t="shared" si="9"/>
        <v>0</v>
      </c>
      <c r="J36" s="155">
        <f t="shared" si="9"/>
        <v>399207018714</v>
      </c>
      <c r="K36" s="244">
        <f>K37+K38</f>
        <v>833363216</v>
      </c>
      <c r="L36" s="159">
        <f t="shared" si="9"/>
        <v>400040381930</v>
      </c>
      <c r="M36" s="47"/>
    </row>
    <row r="37" spans="1:13" ht="13.5">
      <c r="A37" s="34"/>
      <c r="B37" s="35"/>
      <c r="C37" s="11"/>
      <c r="D37" s="12"/>
      <c r="E37" s="70" t="s">
        <v>100</v>
      </c>
      <c r="F37" s="12"/>
      <c r="G37" s="26">
        <v>1307000000</v>
      </c>
      <c r="H37" s="26">
        <v>397900018714</v>
      </c>
      <c r="I37" s="26">
        <v>0</v>
      </c>
      <c r="J37" s="155">
        <f>G37+H37+I37</f>
        <v>399207018714</v>
      </c>
      <c r="K37" s="26">
        <v>0</v>
      </c>
      <c r="L37" s="159">
        <f t="shared" si="8"/>
        <v>399207018714</v>
      </c>
      <c r="M37" s="47"/>
    </row>
    <row r="38" spans="1:13" ht="13.5">
      <c r="A38" s="34"/>
      <c r="B38" s="35"/>
      <c r="C38" s="11"/>
      <c r="D38" s="12"/>
      <c r="E38" s="70" t="s">
        <v>101</v>
      </c>
      <c r="F38" s="12"/>
      <c r="G38" s="26"/>
      <c r="H38" s="26"/>
      <c r="I38" s="243">
        <f>833363216-833363216</f>
        <v>0</v>
      </c>
      <c r="J38" s="155">
        <f>G38+H38+I38</f>
        <v>0</v>
      </c>
      <c r="K38" s="243">
        <v>833363216</v>
      </c>
      <c r="L38" s="159">
        <f t="shared" si="8"/>
        <v>833363216</v>
      </c>
      <c r="M38" s="47"/>
    </row>
    <row r="39" spans="1:13" s="101" customFormat="1" ht="13.5">
      <c r="A39" s="240"/>
      <c r="B39" s="241"/>
      <c r="C39" s="204"/>
      <c r="D39" s="204" t="s">
        <v>48</v>
      </c>
      <c r="E39" s="237"/>
      <c r="F39" s="204"/>
      <c r="G39" s="201">
        <f aca="true" t="shared" si="10" ref="G39:L39">G40+G41+G42</f>
        <v>1338260635765</v>
      </c>
      <c r="H39" s="201">
        <f t="shared" si="10"/>
        <v>1777879895855</v>
      </c>
      <c r="I39" s="255">
        <f t="shared" si="10"/>
        <v>100304820532</v>
      </c>
      <c r="J39" s="201">
        <f t="shared" si="10"/>
        <v>3216445352152</v>
      </c>
      <c r="K39" s="202">
        <f t="shared" si="10"/>
        <v>-3216445352152</v>
      </c>
      <c r="L39" s="203">
        <f t="shared" si="10"/>
        <v>0</v>
      </c>
      <c r="M39" s="182"/>
    </row>
    <row r="40" spans="1:13" s="101" customFormat="1" ht="13.5">
      <c r="A40" s="240"/>
      <c r="B40" s="241"/>
      <c r="C40" s="204"/>
      <c r="D40" s="204"/>
      <c r="E40" s="204" t="s">
        <v>102</v>
      </c>
      <c r="F40" s="204"/>
      <c r="G40" s="206"/>
      <c r="H40" s="206"/>
      <c r="I40" s="256">
        <v>77937804167</v>
      </c>
      <c r="J40" s="201">
        <f>G40+H40+I40</f>
        <v>77937804167</v>
      </c>
      <c r="K40" s="239">
        <f>-I40</f>
        <v>-77937804167</v>
      </c>
      <c r="L40" s="203">
        <f t="shared" si="8"/>
        <v>0</v>
      </c>
      <c r="M40" s="182"/>
    </row>
    <row r="41" spans="1:13" s="101" customFormat="1" ht="13.5">
      <c r="A41" s="240"/>
      <c r="B41" s="241"/>
      <c r="C41" s="204"/>
      <c r="D41" s="204"/>
      <c r="E41" s="204" t="s">
        <v>103</v>
      </c>
      <c r="F41" s="204"/>
      <c r="G41" s="206"/>
      <c r="H41" s="206"/>
      <c r="I41" s="256">
        <v>22367016365</v>
      </c>
      <c r="J41" s="201">
        <f>G41+H41+I41</f>
        <v>22367016365</v>
      </c>
      <c r="K41" s="239">
        <f>-I41</f>
        <v>-22367016365</v>
      </c>
      <c r="L41" s="203">
        <f t="shared" si="8"/>
        <v>0</v>
      </c>
      <c r="M41" s="182"/>
    </row>
    <row r="42" spans="1:13" s="101" customFormat="1" ht="13.5">
      <c r="A42" s="240"/>
      <c r="B42" s="241"/>
      <c r="C42" s="204"/>
      <c r="D42" s="204"/>
      <c r="E42" s="204" t="s">
        <v>104</v>
      </c>
      <c r="F42" s="204"/>
      <c r="G42" s="235">
        <v>1338260635765</v>
      </c>
      <c r="H42" s="235">
        <v>1777879895855</v>
      </c>
      <c r="I42" s="206">
        <f>-K10</f>
        <v>0</v>
      </c>
      <c r="J42" s="201">
        <f>G42+H42+I42</f>
        <v>3116140531620</v>
      </c>
      <c r="K42" s="236">
        <f>-G42-H42</f>
        <v>-3116140531620</v>
      </c>
      <c r="L42" s="203">
        <f t="shared" si="8"/>
        <v>0</v>
      </c>
      <c r="M42" s="182"/>
    </row>
    <row r="43" spans="1:13" ht="13.5">
      <c r="A43" s="34"/>
      <c r="B43" s="35"/>
      <c r="C43" s="11"/>
      <c r="D43" s="11"/>
      <c r="E43" s="11"/>
      <c r="F43" s="11"/>
      <c r="G43" s="26"/>
      <c r="H43" s="26"/>
      <c r="I43" s="26"/>
      <c r="J43" s="155"/>
      <c r="K43" s="148"/>
      <c r="L43" s="159"/>
      <c r="M43" s="47"/>
    </row>
    <row r="44" spans="1:13" ht="13.5">
      <c r="A44" s="34"/>
      <c r="B44" s="35"/>
      <c r="C44" s="67" t="s">
        <v>49</v>
      </c>
      <c r="D44" s="67"/>
      <c r="E44" s="11"/>
      <c r="F44" s="11"/>
      <c r="G44" s="157">
        <f aca="true" t="shared" si="11" ref="G44:L44">G29-G5</f>
        <v>556540241492</v>
      </c>
      <c r="H44" s="157">
        <f t="shared" si="11"/>
        <v>-1005800042690</v>
      </c>
      <c r="I44" s="157">
        <f t="shared" si="11"/>
        <v>1984356085</v>
      </c>
      <c r="J44" s="157">
        <f t="shared" si="11"/>
        <v>-447275445113</v>
      </c>
      <c r="K44" s="187">
        <f t="shared" si="11"/>
        <v>0</v>
      </c>
      <c r="L44" s="160">
        <f t="shared" si="11"/>
        <v>-447275445113</v>
      </c>
      <c r="M44" s="47"/>
    </row>
    <row r="45" spans="1:13" ht="13.5">
      <c r="A45" s="34"/>
      <c r="B45" s="35"/>
      <c r="C45" s="67"/>
      <c r="D45" s="67"/>
      <c r="E45" s="11"/>
      <c r="F45" s="11"/>
      <c r="G45" s="26"/>
      <c r="H45" s="26"/>
      <c r="I45" s="26"/>
      <c r="J45" s="155"/>
      <c r="K45" s="148"/>
      <c r="L45" s="159"/>
      <c r="M45" s="47"/>
    </row>
    <row r="46" spans="1:13" ht="13.5">
      <c r="A46" s="34"/>
      <c r="B46" s="35"/>
      <c r="C46" s="96" t="s">
        <v>77</v>
      </c>
      <c r="D46" s="96"/>
      <c r="E46" s="11"/>
      <c r="F46" s="11"/>
      <c r="G46" s="26">
        <v>300425040</v>
      </c>
      <c r="H46" s="26">
        <v>7382173</v>
      </c>
      <c r="I46" s="26"/>
      <c r="J46" s="155">
        <f>G46+H46+I46</f>
        <v>307807213</v>
      </c>
      <c r="K46" s="148"/>
      <c r="L46" s="159">
        <f>J46+K46</f>
        <v>307807213</v>
      </c>
      <c r="M46" s="47"/>
    </row>
    <row r="47" spans="1:13" ht="13.5">
      <c r="A47" s="34"/>
      <c r="B47" s="35"/>
      <c r="C47" s="96" t="s">
        <v>78</v>
      </c>
      <c r="D47" s="96"/>
      <c r="E47" s="11"/>
      <c r="F47" s="11"/>
      <c r="G47" s="26">
        <v>-189840029</v>
      </c>
      <c r="H47" s="26">
        <v>-64953856</v>
      </c>
      <c r="I47" s="26"/>
      <c r="J47" s="155">
        <f>G47+H47+I47</f>
        <v>-254793885</v>
      </c>
      <c r="K47" s="148"/>
      <c r="L47" s="159">
        <f>J47+K47</f>
        <v>-254793885</v>
      </c>
      <c r="M47" s="47"/>
    </row>
    <row r="48" spans="1:13" ht="13.5">
      <c r="A48" s="34"/>
      <c r="B48" s="35"/>
      <c r="C48" s="96"/>
      <c r="D48" s="96"/>
      <c r="E48" s="11"/>
      <c r="F48" s="11"/>
      <c r="G48" s="26"/>
      <c r="H48" s="26"/>
      <c r="I48" s="26"/>
      <c r="J48" s="155"/>
      <c r="K48" s="148"/>
      <c r="L48" s="159"/>
      <c r="M48" s="47"/>
    </row>
    <row r="49" spans="1:13" ht="13.5">
      <c r="A49" s="34"/>
      <c r="B49" s="35"/>
      <c r="C49" s="96" t="s">
        <v>79</v>
      </c>
      <c r="D49" s="96"/>
      <c r="E49" s="11"/>
      <c r="F49" s="11"/>
      <c r="G49" s="123">
        <f aca="true" t="shared" si="12" ref="G49:L49">SUM(G50:G51)</f>
        <v>0</v>
      </c>
      <c r="H49" s="123">
        <f t="shared" si="12"/>
        <v>1055286149304</v>
      </c>
      <c r="I49" s="123">
        <f t="shared" si="12"/>
        <v>0</v>
      </c>
      <c r="J49" s="123">
        <f t="shared" si="12"/>
        <v>1055286149304</v>
      </c>
      <c r="K49" s="132">
        <f t="shared" si="12"/>
        <v>0</v>
      </c>
      <c r="L49" s="145">
        <f t="shared" si="12"/>
        <v>1055286149304</v>
      </c>
      <c r="M49" s="47"/>
    </row>
    <row r="50" spans="1:13" ht="13.5">
      <c r="A50" s="34"/>
      <c r="B50" s="35"/>
      <c r="C50" s="96"/>
      <c r="D50" s="96" t="s">
        <v>80</v>
      </c>
      <c r="E50" s="11"/>
      <c r="F50" s="11"/>
      <c r="G50" s="26"/>
      <c r="H50" s="26">
        <v>1055286149304</v>
      </c>
      <c r="I50" s="26"/>
      <c r="J50" s="155">
        <f>G50+H50+I50</f>
        <v>1055286149304</v>
      </c>
      <c r="K50" s="148"/>
      <c r="L50" s="159">
        <f>J50+K50</f>
        <v>1055286149304</v>
      </c>
      <c r="M50" s="47"/>
    </row>
    <row r="51" spans="1:13" ht="13.5">
      <c r="A51" s="34"/>
      <c r="B51" s="35"/>
      <c r="C51" s="96"/>
      <c r="D51" s="96" t="s">
        <v>81</v>
      </c>
      <c r="E51" s="11"/>
      <c r="F51" s="11"/>
      <c r="G51" s="26"/>
      <c r="H51" s="68"/>
      <c r="I51" s="26"/>
      <c r="J51" s="155">
        <f>G51+H51+I51</f>
        <v>0</v>
      </c>
      <c r="K51" s="148"/>
      <c r="L51" s="159">
        <f>J51+K51</f>
        <v>0</v>
      </c>
      <c r="M51" s="47"/>
    </row>
    <row r="52" spans="1:13" ht="13.5">
      <c r="A52" s="34"/>
      <c r="B52" s="35"/>
      <c r="C52" s="96" t="s">
        <v>82</v>
      </c>
      <c r="D52" s="96"/>
      <c r="E52" s="11"/>
      <c r="F52" s="11"/>
      <c r="G52" s="123">
        <f aca="true" t="shared" si="13" ref="G52:L52">SUM(G53:G54)</f>
        <v>-333826142591</v>
      </c>
      <c r="H52" s="123">
        <f t="shared" si="13"/>
        <v>-7078686381</v>
      </c>
      <c r="I52" s="123">
        <f t="shared" si="13"/>
        <v>0</v>
      </c>
      <c r="J52" s="123">
        <f t="shared" si="13"/>
        <v>-340904828972</v>
      </c>
      <c r="K52" s="132">
        <f t="shared" si="13"/>
        <v>0</v>
      </c>
      <c r="L52" s="145">
        <f t="shared" si="13"/>
        <v>-340904828972</v>
      </c>
      <c r="M52" s="47"/>
    </row>
    <row r="53" spans="1:13" ht="13.5">
      <c r="A53" s="34"/>
      <c r="B53" s="35"/>
      <c r="C53" s="96"/>
      <c r="D53" s="96" t="s">
        <v>80</v>
      </c>
      <c r="E53" s="11"/>
      <c r="F53" s="11"/>
      <c r="G53" s="26">
        <v>-333826142591</v>
      </c>
      <c r="H53" s="26">
        <v>-6384205109</v>
      </c>
      <c r="I53" s="26"/>
      <c r="J53" s="155">
        <f>G53+H53+I53</f>
        <v>-340210347700</v>
      </c>
      <c r="K53" s="148"/>
      <c r="L53" s="159">
        <f>J53+K53</f>
        <v>-340210347700</v>
      </c>
      <c r="M53" s="47"/>
    </row>
    <row r="54" spans="1:13" ht="13.5">
      <c r="A54" s="34"/>
      <c r="B54" s="35"/>
      <c r="C54" s="96"/>
      <c r="D54" s="96" t="s">
        <v>81</v>
      </c>
      <c r="E54" s="11"/>
      <c r="F54" s="11"/>
      <c r="G54" s="26"/>
      <c r="H54" s="26">
        <v>-694481272</v>
      </c>
      <c r="I54" s="26"/>
      <c r="J54" s="155">
        <f>G54+H54+I54</f>
        <v>-694481272</v>
      </c>
      <c r="K54" s="148"/>
      <c r="L54" s="159">
        <f>J54+K54</f>
        <v>-694481272</v>
      </c>
      <c r="M54" s="47"/>
    </row>
    <row r="55" spans="1:13" ht="13.5">
      <c r="A55" s="34"/>
      <c r="B55" s="35"/>
      <c r="C55" s="67"/>
      <c r="D55" s="67"/>
      <c r="E55" s="11"/>
      <c r="F55" s="11"/>
      <c r="G55" s="26"/>
      <c r="H55" s="26"/>
      <c r="I55" s="26"/>
      <c r="J55" s="155"/>
      <c r="K55" s="148"/>
      <c r="L55" s="159"/>
      <c r="M55" s="47"/>
    </row>
    <row r="56" spans="1:13" ht="13.5">
      <c r="A56" s="34"/>
      <c r="B56" s="35"/>
      <c r="C56" s="11" t="s">
        <v>50</v>
      </c>
      <c r="D56" s="11"/>
      <c r="E56" s="11"/>
      <c r="F56" s="11"/>
      <c r="G56" s="188" t="s">
        <v>129</v>
      </c>
      <c r="H56" s="188" t="s">
        <v>135</v>
      </c>
      <c r="I56" s="188" t="s">
        <v>129</v>
      </c>
      <c r="J56" s="188" t="s">
        <v>129</v>
      </c>
      <c r="K56" s="189" t="s">
        <v>129</v>
      </c>
      <c r="L56" s="190" t="s">
        <v>129</v>
      </c>
      <c r="M56" s="47"/>
    </row>
    <row r="57" spans="1:13" ht="13.5">
      <c r="A57" s="34"/>
      <c r="B57" s="35"/>
      <c r="C57" s="11" t="s">
        <v>51</v>
      </c>
      <c r="D57" s="11"/>
      <c r="E57" s="11"/>
      <c r="F57" s="11"/>
      <c r="G57" s="155">
        <f aca="true" t="shared" si="14" ref="G57:L57">G44+G46+G47+G49+G52</f>
        <v>222824683912</v>
      </c>
      <c r="H57" s="155">
        <f t="shared" si="14"/>
        <v>42349848550</v>
      </c>
      <c r="I57" s="155">
        <f t="shared" si="14"/>
        <v>1984356085</v>
      </c>
      <c r="J57" s="155">
        <f t="shared" si="14"/>
        <v>267158888547</v>
      </c>
      <c r="K57" s="164">
        <f t="shared" si="14"/>
        <v>0</v>
      </c>
      <c r="L57" s="159">
        <f t="shared" si="14"/>
        <v>267158888547</v>
      </c>
      <c r="M57" s="47"/>
    </row>
    <row r="58" spans="1:13" ht="14.25" thickBot="1">
      <c r="A58" s="36"/>
      <c r="B58" s="37"/>
      <c r="C58" s="37"/>
      <c r="D58" s="37"/>
      <c r="E58" s="37"/>
      <c r="F58" s="37"/>
      <c r="G58" s="27"/>
      <c r="H58" s="27"/>
      <c r="I58" s="27"/>
      <c r="J58" s="157"/>
      <c r="K58" s="149"/>
      <c r="L58" s="161"/>
      <c r="M58" s="50"/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0" r:id="rId1"/>
  <headerFooter alignWithMargins="0">
    <oddHeader>&amp;R&amp;D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80" zoomScaleNormal="80" workbookViewId="0" topLeftCell="A1">
      <pane xSplit="6" ySplit="4" topLeftCell="H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1" customWidth="1"/>
    <col min="2" max="4" width="1.4921875" style="1" customWidth="1"/>
    <col min="5" max="5" width="9.00390625" style="1" customWidth="1"/>
    <col min="6" max="6" width="17.75390625" style="1" customWidth="1"/>
    <col min="7" max="10" width="19.75390625" style="1" customWidth="1"/>
    <col min="11" max="11" width="22.375" style="1" customWidth="1"/>
    <col min="12" max="12" width="19.75390625" style="1" customWidth="1"/>
    <col min="13" max="13" width="18.875" style="1" customWidth="1"/>
    <col min="14" max="16384" width="9.00390625" style="1" customWidth="1"/>
  </cols>
  <sheetData>
    <row r="1" spans="1:13" s="101" customFormat="1" ht="18.75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0"/>
      <c r="M1" s="100"/>
    </row>
    <row r="2" spans="1:13" s="101" customFormat="1" ht="18.75">
      <c r="A2" s="102" t="s">
        <v>130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0"/>
      <c r="M2" s="100"/>
    </row>
    <row r="3" spans="1:13" s="101" customFormat="1" ht="19.5" thickBot="1">
      <c r="A3" s="105" t="s">
        <v>23</v>
      </c>
      <c r="B3" s="108"/>
      <c r="C3" s="108"/>
      <c r="D3" s="108"/>
      <c r="E3" s="108"/>
      <c r="F3" s="108"/>
      <c r="G3" s="108"/>
      <c r="H3" s="108"/>
      <c r="M3" s="109" t="s">
        <v>24</v>
      </c>
    </row>
    <row r="4" spans="1:13" ht="13.5">
      <c r="A4" s="9"/>
      <c r="B4" s="10"/>
      <c r="C4" s="10"/>
      <c r="D4" s="10"/>
      <c r="E4" s="10"/>
      <c r="F4" s="10"/>
      <c r="G4" s="4" t="s">
        <v>25</v>
      </c>
      <c r="H4" s="5" t="s">
        <v>26</v>
      </c>
      <c r="I4" s="6" t="s">
        <v>27</v>
      </c>
      <c r="J4" s="7" t="s">
        <v>28</v>
      </c>
      <c r="K4" s="127" t="s">
        <v>29</v>
      </c>
      <c r="L4" s="137" t="s">
        <v>30</v>
      </c>
      <c r="M4" s="90" t="s">
        <v>33</v>
      </c>
    </row>
    <row r="5" spans="1:13" ht="13.5">
      <c r="A5" s="29" t="s">
        <v>127</v>
      </c>
      <c r="B5" s="30" t="str">
        <f>'１１’業財'!B5</f>
        <v>業務費用</v>
      </c>
      <c r="C5" s="30"/>
      <c r="D5" s="30"/>
      <c r="E5" s="30"/>
      <c r="F5" s="30"/>
      <c r="G5" s="156">
        <f aca="true" t="shared" si="0" ref="G5:L5">SUM(G6:G27)-G20-G21-G22</f>
        <v>1300095487290</v>
      </c>
      <c r="H5" s="156">
        <f t="shared" si="0"/>
        <v>3180016858263</v>
      </c>
      <c r="I5" s="156">
        <f t="shared" si="0"/>
        <v>112434685684</v>
      </c>
      <c r="J5" s="156">
        <f t="shared" si="0"/>
        <v>4592547031237</v>
      </c>
      <c r="K5" s="162">
        <f t="shared" si="0"/>
        <v>-110026554665</v>
      </c>
      <c r="L5" s="158">
        <f t="shared" si="0"/>
        <v>4482520476572</v>
      </c>
      <c r="M5" s="44"/>
    </row>
    <row r="6" spans="1:13" ht="13.5">
      <c r="A6" s="31"/>
      <c r="B6" s="11"/>
      <c r="C6" s="11" t="str">
        <f>'１１’業財'!C6</f>
        <v>保険給付費</v>
      </c>
      <c r="D6" s="11"/>
      <c r="E6" s="11"/>
      <c r="F6" s="11"/>
      <c r="G6" s="26">
        <v>818787928173</v>
      </c>
      <c r="H6" s="26"/>
      <c r="I6" s="26"/>
      <c r="J6" s="155">
        <f aca="true" t="shared" si="1" ref="J6:J18">G6+H6+I6</f>
        <v>818787928173</v>
      </c>
      <c r="K6" s="148"/>
      <c r="L6" s="159">
        <f aca="true" t="shared" si="2" ref="L6:L18">J6+K6</f>
        <v>818787928173</v>
      </c>
      <c r="M6" s="47"/>
    </row>
    <row r="7" spans="1:13" ht="13.5">
      <c r="A7" s="31"/>
      <c r="B7" s="11"/>
      <c r="C7" s="11" t="str">
        <f>'１１’業財'!C7</f>
        <v>労働福祉事業費</v>
      </c>
      <c r="D7" s="11"/>
      <c r="E7" s="11"/>
      <c r="F7" s="11"/>
      <c r="G7" s="26">
        <v>141941855735</v>
      </c>
      <c r="H7" s="26"/>
      <c r="I7" s="26"/>
      <c r="J7" s="155">
        <f t="shared" si="1"/>
        <v>141941855735</v>
      </c>
      <c r="K7" s="148"/>
      <c r="L7" s="159">
        <f t="shared" si="2"/>
        <v>141941855735</v>
      </c>
      <c r="M7" s="47"/>
    </row>
    <row r="8" spans="1:13" ht="13.5">
      <c r="A8" s="31"/>
      <c r="B8" s="11"/>
      <c r="C8" s="11" t="str">
        <f>'１１’業財'!C8</f>
        <v>失業等給付費</v>
      </c>
      <c r="D8" s="96"/>
      <c r="E8" s="11"/>
      <c r="F8" s="11"/>
      <c r="G8" s="26"/>
      <c r="H8" s="26">
        <v>2490310628547</v>
      </c>
      <c r="I8" s="26"/>
      <c r="J8" s="155">
        <f t="shared" si="1"/>
        <v>2490310628547</v>
      </c>
      <c r="K8" s="148"/>
      <c r="L8" s="159">
        <f t="shared" si="2"/>
        <v>2490310628547</v>
      </c>
      <c r="M8" s="47"/>
    </row>
    <row r="9" spans="1:13" ht="13.5">
      <c r="A9" s="31"/>
      <c r="B9" s="11"/>
      <c r="C9" s="11" t="str">
        <f>'１１’業財'!C9</f>
        <v>雇用安定等事業経費</v>
      </c>
      <c r="D9" s="96"/>
      <c r="E9" s="11"/>
      <c r="F9" s="11"/>
      <c r="G9" s="26"/>
      <c r="H9" s="26">
        <v>167555950720</v>
      </c>
      <c r="I9" s="26"/>
      <c r="J9" s="155">
        <f t="shared" si="1"/>
        <v>167555950720</v>
      </c>
      <c r="K9" s="148"/>
      <c r="L9" s="159">
        <f t="shared" si="2"/>
        <v>167555950720</v>
      </c>
      <c r="M9" s="47"/>
    </row>
    <row r="10" spans="1:13" ht="13.5">
      <c r="A10" s="31"/>
      <c r="B10" s="11"/>
      <c r="C10" s="11" t="str">
        <f>'１１’業財'!C10</f>
        <v>保険料返還金</v>
      </c>
      <c r="D10" s="11"/>
      <c r="E10" s="11"/>
      <c r="F10" s="11"/>
      <c r="G10" s="26"/>
      <c r="H10" s="26"/>
      <c r="I10" s="254">
        <v>70510170468</v>
      </c>
      <c r="J10" s="155">
        <f t="shared" si="1"/>
        <v>70510170468</v>
      </c>
      <c r="K10" s="148"/>
      <c r="L10" s="159">
        <f t="shared" si="2"/>
        <v>70510170468</v>
      </c>
      <c r="M10" s="47"/>
    </row>
    <row r="11" spans="1:13" ht="13.5">
      <c r="A11" s="31"/>
      <c r="B11" s="11"/>
      <c r="C11" s="11" t="str">
        <f>'１１’業財'!C11</f>
        <v>業務取扱費</v>
      </c>
      <c r="D11" s="96"/>
      <c r="E11" s="11"/>
      <c r="F11" s="11"/>
      <c r="G11" s="26">
        <v>16014469099</v>
      </c>
      <c r="H11" s="26">
        <v>42335571603</v>
      </c>
      <c r="I11" s="26">
        <v>25020172311</v>
      </c>
      <c r="J11" s="155">
        <f t="shared" si="1"/>
        <v>83370213013</v>
      </c>
      <c r="K11" s="148"/>
      <c r="L11" s="159">
        <f t="shared" si="2"/>
        <v>83370213013</v>
      </c>
      <c r="M11" s="47"/>
    </row>
    <row r="12" spans="1:13" ht="13.5">
      <c r="A12" s="31"/>
      <c r="B12" s="11"/>
      <c r="C12" s="11" t="str">
        <f>'１１’業財'!C12</f>
        <v>人件費</v>
      </c>
      <c r="D12" s="11"/>
      <c r="E12" s="11"/>
      <c r="F12" s="11"/>
      <c r="G12" s="26">
        <v>29501719278</v>
      </c>
      <c r="H12" s="26">
        <v>43308573420</v>
      </c>
      <c r="I12" s="26">
        <v>13305455398</v>
      </c>
      <c r="J12" s="155">
        <f t="shared" si="1"/>
        <v>86115748096</v>
      </c>
      <c r="K12" s="148"/>
      <c r="L12" s="159">
        <f t="shared" si="2"/>
        <v>86115748096</v>
      </c>
      <c r="M12" s="47"/>
    </row>
    <row r="13" spans="1:13" ht="13.5">
      <c r="A13" s="31"/>
      <c r="B13" s="11"/>
      <c r="C13" s="11" t="str">
        <f>'１１’業財'!C13</f>
        <v>賞与引当金増加額</v>
      </c>
      <c r="D13" s="11"/>
      <c r="E13" s="11"/>
      <c r="F13" s="11"/>
      <c r="G13" s="26">
        <v>-3603000</v>
      </c>
      <c r="H13" s="69">
        <v>55203777</v>
      </c>
      <c r="I13" s="26">
        <v>16199242</v>
      </c>
      <c r="J13" s="155">
        <f>G13+H13+I13</f>
        <v>67800019</v>
      </c>
      <c r="K13" s="148"/>
      <c r="L13" s="159">
        <f>J13+K13</f>
        <v>67800019</v>
      </c>
      <c r="M13" s="47"/>
    </row>
    <row r="14" spans="1:13" ht="13.5">
      <c r="A14" s="31"/>
      <c r="B14" s="11"/>
      <c r="C14" s="11" t="str">
        <f>'１１’業財'!C14</f>
        <v>退職給付引当金増加額</v>
      </c>
      <c r="D14" s="11"/>
      <c r="E14" s="11"/>
      <c r="F14" s="11"/>
      <c r="G14" s="26">
        <v>-185225203</v>
      </c>
      <c r="H14" s="26">
        <v>-654132740</v>
      </c>
      <c r="I14" s="26">
        <v>2167612943</v>
      </c>
      <c r="J14" s="155">
        <f t="shared" si="1"/>
        <v>1328255000</v>
      </c>
      <c r="K14" s="148"/>
      <c r="L14" s="159">
        <f t="shared" si="2"/>
        <v>1328255000</v>
      </c>
      <c r="M14" s="47"/>
    </row>
    <row r="15" spans="1:13" ht="13.5">
      <c r="A15" s="31"/>
      <c r="B15" s="11"/>
      <c r="C15" s="11" t="str">
        <f>'１１’業財'!C15</f>
        <v>委託費</v>
      </c>
      <c r="D15" s="11"/>
      <c r="E15" s="11"/>
      <c r="F15" s="11"/>
      <c r="G15" s="26">
        <v>57653922016</v>
      </c>
      <c r="H15" s="26">
        <v>38210742633</v>
      </c>
      <c r="I15" s="26">
        <v>874264000</v>
      </c>
      <c r="J15" s="155">
        <f t="shared" si="1"/>
        <v>96738928649</v>
      </c>
      <c r="K15" s="148"/>
      <c r="L15" s="159">
        <f t="shared" si="2"/>
        <v>96738928649</v>
      </c>
      <c r="M15" s="47"/>
    </row>
    <row r="16" spans="1:13" ht="13.5">
      <c r="A16" s="31"/>
      <c r="B16" s="11"/>
      <c r="C16" s="11" t="str">
        <f>'１１’業財'!C16</f>
        <v>補助金等</v>
      </c>
      <c r="D16" s="96"/>
      <c r="E16" s="11"/>
      <c r="F16" s="11"/>
      <c r="G16" s="26">
        <v>49171870928</v>
      </c>
      <c r="H16" s="26">
        <v>350014375334</v>
      </c>
      <c r="I16" s="26"/>
      <c r="J16" s="155">
        <f t="shared" si="1"/>
        <v>399186246262</v>
      </c>
      <c r="K16" s="148"/>
      <c r="L16" s="159">
        <f t="shared" si="2"/>
        <v>399186246262</v>
      </c>
      <c r="M16" s="47"/>
    </row>
    <row r="17" spans="1:13" ht="13.5">
      <c r="A17" s="31"/>
      <c r="B17" s="11"/>
      <c r="C17" s="11" t="str">
        <f>'１１’業財'!C17</f>
        <v>施設整備費</v>
      </c>
      <c r="D17" s="96"/>
      <c r="E17" s="11"/>
      <c r="F17" s="11"/>
      <c r="G17" s="26">
        <v>1646023838</v>
      </c>
      <c r="H17" s="26">
        <v>1977471497</v>
      </c>
      <c r="I17" s="26"/>
      <c r="J17" s="155">
        <f t="shared" si="1"/>
        <v>3623495335</v>
      </c>
      <c r="K17" s="148"/>
      <c r="L17" s="159">
        <f t="shared" si="2"/>
        <v>3623495335</v>
      </c>
      <c r="M17" s="47"/>
    </row>
    <row r="18" spans="1:13" ht="13.5">
      <c r="A18" s="31"/>
      <c r="B18" s="11"/>
      <c r="C18" s="11" t="str">
        <f>'１１’業財'!C18</f>
        <v>減価償却費</v>
      </c>
      <c r="D18" s="11"/>
      <c r="E18" s="11"/>
      <c r="F18" s="11"/>
      <c r="G18" s="26">
        <v>7334918367</v>
      </c>
      <c r="H18" s="26">
        <v>6407352795</v>
      </c>
      <c r="I18" s="26">
        <v>484224457</v>
      </c>
      <c r="J18" s="155">
        <f t="shared" si="1"/>
        <v>14226495619</v>
      </c>
      <c r="K18" s="148"/>
      <c r="L18" s="159">
        <f t="shared" si="2"/>
        <v>14226495619</v>
      </c>
      <c r="M18" s="47"/>
    </row>
    <row r="19" spans="1:13" s="101" customFormat="1" ht="13.5">
      <c r="A19" s="234"/>
      <c r="B19" s="204"/>
      <c r="C19" s="204" t="str">
        <f>'１１’業財'!C19</f>
        <v>他勘定への繰入</v>
      </c>
      <c r="D19" s="204"/>
      <c r="E19" s="204"/>
      <c r="F19" s="204"/>
      <c r="G19" s="201">
        <f aca="true" t="shared" si="3" ref="G19:L19">G20+G21+G22</f>
        <v>87099228084</v>
      </c>
      <c r="H19" s="201">
        <f t="shared" si="3"/>
        <v>22927326581</v>
      </c>
      <c r="I19" s="245">
        <f t="shared" si="3"/>
        <v>0</v>
      </c>
      <c r="J19" s="201">
        <f t="shared" si="3"/>
        <v>110026554665</v>
      </c>
      <c r="K19" s="247">
        <f t="shared" si="3"/>
        <v>-110026554665</v>
      </c>
      <c r="L19" s="203">
        <f t="shared" si="3"/>
        <v>0</v>
      </c>
      <c r="M19" s="182"/>
    </row>
    <row r="20" spans="1:13" s="101" customFormat="1" ht="13.5">
      <c r="A20" s="234"/>
      <c r="B20" s="204"/>
      <c r="C20" s="204"/>
      <c r="D20" s="204" t="str">
        <f>'１１’業財'!D20</f>
        <v>労災勘定への繰入</v>
      </c>
      <c r="E20" s="204"/>
      <c r="F20" s="204"/>
      <c r="G20" s="206"/>
      <c r="H20" s="206"/>
      <c r="I20" s="246">
        <f>1334156384843-1334156384843</f>
        <v>0</v>
      </c>
      <c r="J20" s="201">
        <f aca="true" t="shared" si="4" ref="J20:J27">G20+H20+I20</f>
        <v>0</v>
      </c>
      <c r="K20" s="248">
        <f>-I20</f>
        <v>0</v>
      </c>
      <c r="L20" s="203">
        <f aca="true" t="shared" si="5" ref="L20:L27">J20+K20</f>
        <v>0</v>
      </c>
      <c r="M20" s="182"/>
    </row>
    <row r="21" spans="1:13" s="101" customFormat="1" ht="13.5">
      <c r="A21" s="234"/>
      <c r="B21" s="204"/>
      <c r="C21" s="204"/>
      <c r="D21" s="204" t="str">
        <f>'１１’業財'!D21</f>
        <v>雇用勘定への繰入</v>
      </c>
      <c r="E21" s="204"/>
      <c r="F21" s="204"/>
      <c r="G21" s="206"/>
      <c r="H21" s="206"/>
      <c r="I21" s="246">
        <f>1753615660643-1753615660643</f>
        <v>0</v>
      </c>
      <c r="J21" s="201">
        <f t="shared" si="4"/>
        <v>0</v>
      </c>
      <c r="K21" s="248">
        <f>-I21</f>
        <v>0</v>
      </c>
      <c r="L21" s="203">
        <f t="shared" si="5"/>
        <v>0</v>
      </c>
      <c r="M21" s="182"/>
    </row>
    <row r="22" spans="1:13" s="101" customFormat="1" ht="13.5">
      <c r="A22" s="234"/>
      <c r="B22" s="204"/>
      <c r="C22" s="237"/>
      <c r="D22" s="204" t="str">
        <f>'１１’業財'!D22</f>
        <v>徴収勘定への繰入</v>
      </c>
      <c r="E22" s="204"/>
      <c r="F22" s="204"/>
      <c r="G22" s="238">
        <v>87099228084</v>
      </c>
      <c r="H22" s="238">
        <v>22927326581</v>
      </c>
      <c r="I22" s="206"/>
      <c r="J22" s="201">
        <f t="shared" si="4"/>
        <v>110026554665</v>
      </c>
      <c r="K22" s="239">
        <f>-G22-H22</f>
        <v>-110026554665</v>
      </c>
      <c r="L22" s="203">
        <f t="shared" si="5"/>
        <v>0</v>
      </c>
      <c r="M22" s="182"/>
    </row>
    <row r="23" spans="1:13" s="101" customFormat="1" ht="13.5">
      <c r="A23" s="183"/>
      <c r="B23" s="66"/>
      <c r="C23" s="11" t="str">
        <f>'１１’業財'!C23</f>
        <v>出資金評価損</v>
      </c>
      <c r="D23" s="66"/>
      <c r="E23" s="66"/>
      <c r="F23" s="66"/>
      <c r="G23" s="69">
        <v>157330136620</v>
      </c>
      <c r="H23" s="26">
        <v>10290993952</v>
      </c>
      <c r="I23" s="181"/>
      <c r="J23" s="155">
        <f t="shared" si="4"/>
        <v>167621130572</v>
      </c>
      <c r="K23" s="164"/>
      <c r="L23" s="159">
        <f t="shared" si="5"/>
        <v>167621130572</v>
      </c>
      <c r="M23" s="182"/>
    </row>
    <row r="24" spans="1:13" ht="13.5">
      <c r="A24" s="31"/>
      <c r="B24" s="11"/>
      <c r="C24" s="11" t="str">
        <f>'１１’業財'!C24</f>
        <v>貸倒引当金繰入</v>
      </c>
      <c r="D24" s="11"/>
      <c r="E24" s="11"/>
      <c r="F24" s="11"/>
      <c r="G24" s="26">
        <v>5554243355</v>
      </c>
      <c r="H24" s="26">
        <v>6362511433</v>
      </c>
      <c r="I24" s="26"/>
      <c r="J24" s="155">
        <f t="shared" si="4"/>
        <v>11916754788</v>
      </c>
      <c r="K24" s="148"/>
      <c r="L24" s="159">
        <f t="shared" si="5"/>
        <v>11916754788</v>
      </c>
      <c r="M24" s="47"/>
    </row>
    <row r="25" spans="1:13" ht="13.5">
      <c r="A25" s="31"/>
      <c r="B25" s="11"/>
      <c r="C25" s="11" t="str">
        <f>'１１’業財'!C25</f>
        <v>責任準備金繰入額（△は戻入）</v>
      </c>
      <c r="D25" s="11"/>
      <c r="E25" s="11"/>
      <c r="F25" s="11"/>
      <c r="G25" s="26">
        <v>-71752000000</v>
      </c>
      <c r="H25" s="26"/>
      <c r="I25" s="26"/>
      <c r="J25" s="155">
        <f t="shared" si="4"/>
        <v>-71752000000</v>
      </c>
      <c r="K25" s="148"/>
      <c r="L25" s="159">
        <f t="shared" si="5"/>
        <v>-71752000000</v>
      </c>
      <c r="M25" s="47"/>
    </row>
    <row r="26" spans="1:13" ht="13.5" hidden="1">
      <c r="A26" s="31"/>
      <c r="B26" s="11"/>
      <c r="C26" s="11" t="str">
        <f>'１１’業財'!C26</f>
        <v>次年度繰越未経過保険料</v>
      </c>
      <c r="D26" s="11"/>
      <c r="E26" s="11"/>
      <c r="F26" s="11"/>
      <c r="G26" s="26">
        <v>0</v>
      </c>
      <c r="H26" s="26"/>
      <c r="I26" s="26"/>
      <c r="J26" s="155">
        <f t="shared" si="4"/>
        <v>0</v>
      </c>
      <c r="K26" s="148"/>
      <c r="L26" s="159">
        <f t="shared" si="5"/>
        <v>0</v>
      </c>
      <c r="M26" s="47"/>
    </row>
    <row r="27" spans="1:13" ht="13.5">
      <c r="A27" s="31"/>
      <c r="B27" s="11"/>
      <c r="C27" s="11" t="str">
        <f>'１１’業財'!C27</f>
        <v>固定資産売却損益</v>
      </c>
      <c r="D27" s="11"/>
      <c r="E27" s="11"/>
      <c r="F27" s="11"/>
      <c r="G27" s="69">
        <v>0</v>
      </c>
      <c r="H27" s="26">
        <v>914288711</v>
      </c>
      <c r="I27" s="26">
        <v>56586865</v>
      </c>
      <c r="J27" s="155">
        <f t="shared" si="4"/>
        <v>970875576</v>
      </c>
      <c r="K27" s="148"/>
      <c r="L27" s="159">
        <f t="shared" si="5"/>
        <v>970875576</v>
      </c>
      <c r="M27" s="47"/>
    </row>
    <row r="28" spans="1:13" ht="13.5">
      <c r="A28" s="32"/>
      <c r="B28" s="33"/>
      <c r="C28" s="33"/>
      <c r="D28" s="33"/>
      <c r="E28" s="33"/>
      <c r="F28" s="33"/>
      <c r="G28" s="27"/>
      <c r="H28" s="27"/>
      <c r="I28" s="27"/>
      <c r="J28" s="157"/>
      <c r="K28" s="149"/>
      <c r="L28" s="160"/>
      <c r="M28" s="50"/>
    </row>
    <row r="29" spans="1:13" ht="13.5">
      <c r="A29" s="29" t="s">
        <v>128</v>
      </c>
      <c r="B29" s="30" t="str">
        <f>'１１’業財'!B29</f>
        <v>本年度受入財源</v>
      </c>
      <c r="C29" s="30"/>
      <c r="D29" s="30"/>
      <c r="E29" s="30"/>
      <c r="F29" s="30"/>
      <c r="G29" s="156">
        <f aca="true" t="shared" si="6" ref="G29:L29">G30</f>
        <v>1551821797167</v>
      </c>
      <c r="H29" s="156">
        <f t="shared" si="6"/>
        <v>2132450913305</v>
      </c>
      <c r="I29" s="156">
        <f t="shared" si="6"/>
        <v>110026554665</v>
      </c>
      <c r="J29" s="156">
        <f t="shared" si="6"/>
        <v>3794299265137</v>
      </c>
      <c r="K29" s="162">
        <f t="shared" si="6"/>
        <v>-110026554665</v>
      </c>
      <c r="L29" s="158">
        <f t="shared" si="6"/>
        <v>3684272710472</v>
      </c>
      <c r="M29" s="44"/>
    </row>
    <row r="30" spans="1:13" ht="13.5">
      <c r="A30" s="31"/>
      <c r="B30" s="11"/>
      <c r="C30" s="11" t="str">
        <f>'１１’業財'!C30</f>
        <v>対価見合収入等</v>
      </c>
      <c r="D30" s="11"/>
      <c r="E30" s="11"/>
      <c r="F30" s="11"/>
      <c r="G30" s="155">
        <f aca="true" t="shared" si="7" ref="G30:L30">G31+G36+G33+G34+G32+G39+G35</f>
        <v>1551821797167</v>
      </c>
      <c r="H30" s="155">
        <f t="shared" si="7"/>
        <v>2132450913305</v>
      </c>
      <c r="I30" s="155">
        <f t="shared" si="7"/>
        <v>110026554665</v>
      </c>
      <c r="J30" s="155">
        <f t="shared" si="7"/>
        <v>3794299265137</v>
      </c>
      <c r="K30" s="163">
        <f t="shared" si="7"/>
        <v>-110026554665</v>
      </c>
      <c r="L30" s="159">
        <f t="shared" si="7"/>
        <v>3684272710472</v>
      </c>
      <c r="M30" s="47"/>
    </row>
    <row r="31" spans="1:13" ht="13.5">
      <c r="A31" s="34"/>
      <c r="B31" s="35"/>
      <c r="C31" s="11"/>
      <c r="D31" s="11" t="str">
        <f>'１１’業財'!D31</f>
        <v>保険料収入</v>
      </c>
      <c r="E31" s="70"/>
      <c r="F31" s="12"/>
      <c r="G31" s="26"/>
      <c r="H31" s="26"/>
      <c r="I31" s="243">
        <f>3085915307137-3085915307137</f>
        <v>0</v>
      </c>
      <c r="J31" s="155">
        <f>G31+H31+I31</f>
        <v>0</v>
      </c>
      <c r="K31" s="243">
        <v>3085915307137</v>
      </c>
      <c r="L31" s="159">
        <f>J31+K31</f>
        <v>3085915307137</v>
      </c>
      <c r="M31" s="47"/>
    </row>
    <row r="32" spans="1:13" ht="13.5">
      <c r="A32" s="34"/>
      <c r="B32" s="35"/>
      <c r="C32" s="11"/>
      <c r="D32" s="11" t="str">
        <f>'１１’業財'!D32</f>
        <v>運用益</v>
      </c>
      <c r="E32" s="70"/>
      <c r="F32" s="11"/>
      <c r="G32" s="26">
        <v>184317069152</v>
      </c>
      <c r="H32" s="26">
        <v>38359387746</v>
      </c>
      <c r="I32" s="243">
        <f>270968-270968</f>
        <v>0</v>
      </c>
      <c r="J32" s="155">
        <f>G32+H32+I32</f>
        <v>222676456898</v>
      </c>
      <c r="K32" s="243">
        <v>270968</v>
      </c>
      <c r="L32" s="159">
        <f>J32+K32</f>
        <v>222676727866</v>
      </c>
      <c r="M32" s="47"/>
    </row>
    <row r="33" spans="1:13" ht="13.5">
      <c r="A33" s="34"/>
      <c r="B33" s="35"/>
      <c r="C33" s="11"/>
      <c r="D33" s="11" t="str">
        <f>'１１’業財'!D33</f>
        <v>その他収入</v>
      </c>
      <c r="E33" s="70"/>
      <c r="F33" s="12"/>
      <c r="G33" s="26">
        <v>30125001352</v>
      </c>
      <c r="H33" s="26">
        <v>30143707066</v>
      </c>
      <c r="I33" s="243">
        <f>1016120217-1016120217</f>
        <v>0</v>
      </c>
      <c r="J33" s="155">
        <f>G33+H33+I33</f>
        <v>60268708418</v>
      </c>
      <c r="K33" s="243">
        <v>1016120217</v>
      </c>
      <c r="L33" s="159">
        <f>J33+K33</f>
        <v>61284828635</v>
      </c>
      <c r="M33" s="47"/>
    </row>
    <row r="34" spans="1:13" ht="13.5">
      <c r="A34" s="34"/>
      <c r="B34" s="35"/>
      <c r="C34" s="11"/>
      <c r="D34" s="11" t="str">
        <f>'１１’業財'!D34</f>
        <v>前年度繰越未経過保険料</v>
      </c>
      <c r="E34" s="70"/>
      <c r="F34" s="12"/>
      <c r="G34" s="26">
        <v>33767661740</v>
      </c>
      <c r="H34" s="26"/>
      <c r="I34" s="243"/>
      <c r="J34" s="155">
        <f>G34+H34+I34</f>
        <v>33767661740</v>
      </c>
      <c r="K34" s="243"/>
      <c r="L34" s="159">
        <f>J34+K34</f>
        <v>33767661740</v>
      </c>
      <c r="M34" s="47"/>
    </row>
    <row r="35" spans="1:13" ht="13.5">
      <c r="A35" s="31"/>
      <c r="B35" s="11"/>
      <c r="D35" s="11" t="str">
        <f>'１１’業財'!D35</f>
        <v>次年度繰越未経過保険料</v>
      </c>
      <c r="E35" s="11"/>
      <c r="F35" s="11"/>
      <c r="G35" s="26">
        <v>-31851319920</v>
      </c>
      <c r="H35" s="26"/>
      <c r="I35" s="243"/>
      <c r="J35" s="155">
        <f>G35+H35+I35</f>
        <v>-31851319920</v>
      </c>
      <c r="K35" s="243"/>
      <c r="L35" s="159">
        <f>J35+K35</f>
        <v>-31851319920</v>
      </c>
      <c r="M35" s="47"/>
    </row>
    <row r="36" spans="1:13" ht="13.5">
      <c r="A36" s="34"/>
      <c r="B36" s="35"/>
      <c r="C36" s="11"/>
      <c r="D36" s="11" t="str">
        <f>'１１’業財'!D36</f>
        <v>他会計からの受入</v>
      </c>
      <c r="E36" s="70"/>
      <c r="F36" s="12"/>
      <c r="G36" s="155">
        <f aca="true" t="shared" si="8" ref="G36:L36">G37+G38</f>
        <v>1307000000</v>
      </c>
      <c r="H36" s="155">
        <f t="shared" si="8"/>
        <v>310332157850</v>
      </c>
      <c r="I36" s="244">
        <f t="shared" si="8"/>
        <v>0</v>
      </c>
      <c r="J36" s="155">
        <f t="shared" si="8"/>
        <v>311639157850</v>
      </c>
      <c r="K36" s="244">
        <f>K37+K38</f>
        <v>840347164</v>
      </c>
      <c r="L36" s="159">
        <f t="shared" si="8"/>
        <v>312479505014</v>
      </c>
      <c r="M36" s="47"/>
    </row>
    <row r="37" spans="1:13" ht="13.5">
      <c r="A37" s="34"/>
      <c r="B37" s="35"/>
      <c r="C37" s="11"/>
      <c r="D37" s="12"/>
      <c r="E37" s="11" t="str">
        <f>'１１’業財'!E37</f>
        <v>一般会計からの受入</v>
      </c>
      <c r="F37" s="12"/>
      <c r="G37" s="26">
        <v>1307000000</v>
      </c>
      <c r="H37" s="26">
        <v>310332157850</v>
      </c>
      <c r="I37" s="243"/>
      <c r="J37" s="155">
        <f>G37+H37+I37</f>
        <v>311639157850</v>
      </c>
      <c r="K37" s="243"/>
      <c r="L37" s="159">
        <f>J37+K37</f>
        <v>311639157850</v>
      </c>
      <c r="M37" s="47"/>
    </row>
    <row r="38" spans="1:13" ht="13.5">
      <c r="A38" s="34"/>
      <c r="B38" s="35"/>
      <c r="C38" s="11"/>
      <c r="D38" s="12"/>
      <c r="E38" s="11" t="str">
        <f>'１１’業財'!E38</f>
        <v>郵政事業特別会計からの受入</v>
      </c>
      <c r="F38" s="12"/>
      <c r="G38" s="26"/>
      <c r="H38" s="26"/>
      <c r="I38" s="243">
        <f>840347164-840347164</f>
        <v>0</v>
      </c>
      <c r="J38" s="155">
        <f>G38+H38+I38</f>
        <v>0</v>
      </c>
      <c r="K38" s="243">
        <v>840347164</v>
      </c>
      <c r="L38" s="159">
        <f>J38+K38</f>
        <v>840347164</v>
      </c>
      <c r="M38" s="47"/>
    </row>
    <row r="39" spans="1:13" s="101" customFormat="1" ht="13.5">
      <c r="A39" s="240"/>
      <c r="B39" s="241"/>
      <c r="C39" s="204"/>
      <c r="D39" s="204" t="str">
        <f>'１１’業財'!D39</f>
        <v>他勘定からの受入</v>
      </c>
      <c r="E39" s="237"/>
      <c r="F39" s="204"/>
      <c r="G39" s="201">
        <f aca="true" t="shared" si="9" ref="G39:L39">G40+G41+G42</f>
        <v>1334156384843</v>
      </c>
      <c r="H39" s="201">
        <f t="shared" si="9"/>
        <v>1753615660643</v>
      </c>
      <c r="I39" s="255">
        <f t="shared" si="9"/>
        <v>110026554665</v>
      </c>
      <c r="J39" s="201">
        <f t="shared" si="9"/>
        <v>3197798600151</v>
      </c>
      <c r="K39" s="202">
        <f t="shared" si="9"/>
        <v>-3197798600151</v>
      </c>
      <c r="L39" s="203">
        <f t="shared" si="9"/>
        <v>0</v>
      </c>
      <c r="M39" s="182"/>
    </row>
    <row r="40" spans="1:13" s="101" customFormat="1" ht="13.5">
      <c r="A40" s="240"/>
      <c r="B40" s="241"/>
      <c r="C40" s="204"/>
      <c r="D40" s="204"/>
      <c r="E40" s="204" t="str">
        <f>'１１’業財'!E40</f>
        <v>労災勘定からの受入</v>
      </c>
      <c r="F40" s="204"/>
      <c r="G40" s="206"/>
      <c r="H40" s="206"/>
      <c r="I40" s="256">
        <v>87099228084</v>
      </c>
      <c r="J40" s="201">
        <f>G40+H40+I40</f>
        <v>87099228084</v>
      </c>
      <c r="K40" s="239">
        <f>-I40</f>
        <v>-87099228084</v>
      </c>
      <c r="L40" s="203">
        <f>J40+K40</f>
        <v>0</v>
      </c>
      <c r="M40" s="182"/>
    </row>
    <row r="41" spans="1:13" s="101" customFormat="1" ht="13.5">
      <c r="A41" s="240"/>
      <c r="B41" s="241"/>
      <c r="C41" s="204"/>
      <c r="D41" s="204"/>
      <c r="E41" s="204" t="str">
        <f>'１１’業財'!E41</f>
        <v>雇用勘定からの受入</v>
      </c>
      <c r="F41" s="204"/>
      <c r="G41" s="206"/>
      <c r="H41" s="206"/>
      <c r="I41" s="256">
        <v>22927326581</v>
      </c>
      <c r="J41" s="201">
        <f>G41+H41+I41</f>
        <v>22927326581</v>
      </c>
      <c r="K41" s="239">
        <f>-I41</f>
        <v>-22927326581</v>
      </c>
      <c r="L41" s="203">
        <f>J41+K41</f>
        <v>0</v>
      </c>
      <c r="M41" s="182"/>
    </row>
    <row r="42" spans="1:13" s="101" customFormat="1" ht="13.5">
      <c r="A42" s="240"/>
      <c r="B42" s="241"/>
      <c r="C42" s="204"/>
      <c r="D42" s="204"/>
      <c r="E42" s="204" t="str">
        <f>'１１’業財'!E42</f>
        <v>徴収勘定からの受入</v>
      </c>
      <c r="F42" s="204"/>
      <c r="G42" s="235">
        <v>1334156384843</v>
      </c>
      <c r="H42" s="235">
        <v>1753615660643</v>
      </c>
      <c r="I42" s="206"/>
      <c r="J42" s="201">
        <f>G42+H42+I42</f>
        <v>3087772045486</v>
      </c>
      <c r="K42" s="236">
        <f>-G42-H42</f>
        <v>-3087772045486</v>
      </c>
      <c r="L42" s="203">
        <f>J42+K42</f>
        <v>0</v>
      </c>
      <c r="M42" s="182"/>
    </row>
    <row r="43" spans="1:13" ht="13.5">
      <c r="A43" s="34"/>
      <c r="B43" s="35"/>
      <c r="C43" s="11"/>
      <c r="D43" s="11"/>
      <c r="E43" s="11"/>
      <c r="F43" s="11"/>
      <c r="G43" s="26"/>
      <c r="H43" s="26"/>
      <c r="I43" s="26"/>
      <c r="J43" s="155"/>
      <c r="K43" s="148"/>
      <c r="L43" s="159"/>
      <c r="M43" s="47"/>
    </row>
    <row r="44" spans="1:13" ht="13.5">
      <c r="A44" s="34"/>
      <c r="B44" s="35"/>
      <c r="C44" s="11" t="str">
        <f>'１１’業財'!C44</f>
        <v>本年度業務費用・財源差額</v>
      </c>
      <c r="D44" s="67"/>
      <c r="E44" s="11"/>
      <c r="F44" s="11"/>
      <c r="G44" s="157">
        <f aca="true" t="shared" si="10" ref="G44:L44">G29-G5</f>
        <v>251726309877</v>
      </c>
      <c r="H44" s="157">
        <f t="shared" si="10"/>
        <v>-1047565944958</v>
      </c>
      <c r="I44" s="157">
        <f t="shared" si="10"/>
        <v>-2408131019</v>
      </c>
      <c r="J44" s="157">
        <f t="shared" si="10"/>
        <v>-798247766100</v>
      </c>
      <c r="K44" s="187">
        <f t="shared" si="10"/>
        <v>0</v>
      </c>
      <c r="L44" s="160">
        <f t="shared" si="10"/>
        <v>-798247766100</v>
      </c>
      <c r="M44" s="47"/>
    </row>
    <row r="45" spans="1:13" ht="13.5">
      <c r="A45" s="34"/>
      <c r="B45" s="35"/>
      <c r="C45" s="67"/>
      <c r="D45" s="67"/>
      <c r="E45" s="11"/>
      <c r="F45" s="11"/>
      <c r="G45" s="26"/>
      <c r="H45" s="26"/>
      <c r="I45" s="26"/>
      <c r="J45" s="155"/>
      <c r="K45" s="148"/>
      <c r="L45" s="159"/>
      <c r="M45" s="47"/>
    </row>
    <row r="46" spans="1:13" ht="13.5">
      <c r="A46" s="34"/>
      <c r="B46" s="35"/>
      <c r="C46" s="11" t="str">
        <f>'１１’業財'!C46</f>
        <v>財産の無償所管換等（受）</v>
      </c>
      <c r="D46" s="96"/>
      <c r="E46" s="11"/>
      <c r="F46" s="11"/>
      <c r="G46" s="26">
        <v>1097964376</v>
      </c>
      <c r="H46" s="68">
        <v>0</v>
      </c>
      <c r="I46" s="26"/>
      <c r="J46" s="155">
        <f>G46+H46+I46</f>
        <v>1097964376</v>
      </c>
      <c r="K46" s="148"/>
      <c r="L46" s="159">
        <f>J46+K46</f>
        <v>1097964376</v>
      </c>
      <c r="M46" s="47"/>
    </row>
    <row r="47" spans="1:13" ht="13.5">
      <c r="A47" s="34"/>
      <c r="B47" s="35"/>
      <c r="C47" s="11" t="str">
        <f>'１１’業財'!C47</f>
        <v>財産の無償所管換等（渡）</v>
      </c>
      <c r="D47" s="96"/>
      <c r="E47" s="11"/>
      <c r="F47" s="11"/>
      <c r="G47" s="26">
        <v>-64205994</v>
      </c>
      <c r="H47" s="26">
        <v>-2682714</v>
      </c>
      <c r="I47" s="26"/>
      <c r="J47" s="155">
        <f>G47+H47+I47</f>
        <v>-66888708</v>
      </c>
      <c r="K47" s="148"/>
      <c r="L47" s="159">
        <f>J47+K47</f>
        <v>-66888708</v>
      </c>
      <c r="M47" s="47"/>
    </row>
    <row r="48" spans="1:13" ht="13.5">
      <c r="A48" s="34"/>
      <c r="B48" s="35"/>
      <c r="C48" s="96"/>
      <c r="D48" s="96"/>
      <c r="E48" s="11"/>
      <c r="F48" s="11"/>
      <c r="G48" s="26"/>
      <c r="H48" s="26"/>
      <c r="I48" s="26"/>
      <c r="J48" s="155"/>
      <c r="K48" s="148"/>
      <c r="L48" s="159"/>
      <c r="M48" s="47"/>
    </row>
    <row r="49" spans="1:13" ht="13.5">
      <c r="A49" s="34"/>
      <c r="B49" s="35"/>
      <c r="C49" s="11" t="str">
        <f>'１１’業財'!C49</f>
        <v>資金（積立金）からの受入</v>
      </c>
      <c r="D49" s="96"/>
      <c r="E49" s="11"/>
      <c r="F49" s="11"/>
      <c r="G49" s="123">
        <f aca="true" t="shared" si="11" ref="G49:L49">SUM(G50:G51)</f>
        <v>0</v>
      </c>
      <c r="H49" s="123">
        <f t="shared" si="11"/>
        <v>1255553716582</v>
      </c>
      <c r="I49" s="123">
        <f t="shared" si="11"/>
        <v>0</v>
      </c>
      <c r="J49" s="123">
        <f t="shared" si="11"/>
        <v>1255553716582</v>
      </c>
      <c r="K49" s="132">
        <f t="shared" si="11"/>
        <v>0</v>
      </c>
      <c r="L49" s="145">
        <f t="shared" si="11"/>
        <v>1255553716582</v>
      </c>
      <c r="M49" s="47"/>
    </row>
    <row r="50" spans="1:13" ht="13.5">
      <c r="A50" s="34"/>
      <c r="B50" s="35"/>
      <c r="C50" s="96"/>
      <c r="D50" s="11" t="str">
        <f>'１１’業財'!D50</f>
        <v>積立金</v>
      </c>
      <c r="E50" s="11"/>
      <c r="F50" s="11"/>
      <c r="G50" s="26"/>
      <c r="H50" s="26">
        <v>1186469782710</v>
      </c>
      <c r="I50" s="26"/>
      <c r="J50" s="155">
        <f>G50+H50+I50</f>
        <v>1186469782710</v>
      </c>
      <c r="K50" s="148"/>
      <c r="L50" s="159">
        <f>J50+K50</f>
        <v>1186469782710</v>
      </c>
      <c r="M50" s="47"/>
    </row>
    <row r="51" spans="1:13" ht="13.5">
      <c r="A51" s="34"/>
      <c r="B51" s="35"/>
      <c r="C51" s="96"/>
      <c r="D51" s="11" t="str">
        <f>'１１’業財'!D51</f>
        <v>雇用安定資金</v>
      </c>
      <c r="E51" s="11"/>
      <c r="F51" s="11"/>
      <c r="G51" s="26"/>
      <c r="H51" s="68">
        <v>69083933872</v>
      </c>
      <c r="I51" s="26"/>
      <c r="J51" s="155">
        <f>G51+H51+I51</f>
        <v>69083933872</v>
      </c>
      <c r="K51" s="148"/>
      <c r="L51" s="159">
        <f>J51+K51</f>
        <v>69083933872</v>
      </c>
      <c r="M51" s="47"/>
    </row>
    <row r="52" spans="1:13" ht="13.5">
      <c r="A52" s="34"/>
      <c r="B52" s="35"/>
      <c r="C52" s="11" t="str">
        <f>'１１’業財'!C52</f>
        <v>資金（積立金）への繰入</v>
      </c>
      <c r="D52" s="96"/>
      <c r="E52" s="11"/>
      <c r="F52" s="11"/>
      <c r="G52" s="123">
        <f aca="true" t="shared" si="12" ref="G52:L52">SUM(G53:G54)</f>
        <v>-306617625088</v>
      </c>
      <c r="H52" s="123">
        <f t="shared" si="12"/>
        <v>-144349172400</v>
      </c>
      <c r="I52" s="123">
        <f t="shared" si="12"/>
        <v>0</v>
      </c>
      <c r="J52" s="123">
        <f t="shared" si="12"/>
        <v>-450966797488</v>
      </c>
      <c r="K52" s="132">
        <f t="shared" si="12"/>
        <v>0</v>
      </c>
      <c r="L52" s="145">
        <f t="shared" si="12"/>
        <v>-450966797488</v>
      </c>
      <c r="M52" s="47"/>
    </row>
    <row r="53" spans="1:13" ht="13.5">
      <c r="A53" s="34"/>
      <c r="B53" s="35"/>
      <c r="C53" s="96"/>
      <c r="D53" s="11" t="str">
        <f>'１１’業財'!D53</f>
        <v>積立金</v>
      </c>
      <c r="E53" s="11"/>
      <c r="F53" s="11"/>
      <c r="G53" s="26">
        <v>-306617625088</v>
      </c>
      <c r="H53" s="26">
        <v>-144349172400</v>
      </c>
      <c r="I53" s="26"/>
      <c r="J53" s="155">
        <f>G53+H53+I53</f>
        <v>-450966797488</v>
      </c>
      <c r="K53" s="148"/>
      <c r="L53" s="159">
        <f>J53+K53</f>
        <v>-450966797488</v>
      </c>
      <c r="M53" s="47"/>
    </row>
    <row r="54" spans="1:13" ht="13.5">
      <c r="A54" s="34"/>
      <c r="B54" s="35"/>
      <c r="C54" s="96"/>
      <c r="D54" s="11" t="str">
        <f>'１１’業財'!D54</f>
        <v>雇用安定資金</v>
      </c>
      <c r="E54" s="11"/>
      <c r="F54" s="11"/>
      <c r="G54" s="26"/>
      <c r="H54" s="68">
        <v>0</v>
      </c>
      <c r="I54" s="26"/>
      <c r="J54" s="155">
        <f>G54+H54+I54</f>
        <v>0</v>
      </c>
      <c r="K54" s="148"/>
      <c r="L54" s="159">
        <f>J54+K54</f>
        <v>0</v>
      </c>
      <c r="M54" s="47"/>
    </row>
    <row r="55" spans="1:13" ht="13.5">
      <c r="A55" s="34"/>
      <c r="B55" s="35"/>
      <c r="C55" s="67"/>
      <c r="D55" s="67"/>
      <c r="E55" s="11"/>
      <c r="F55" s="11"/>
      <c r="G55" s="26"/>
      <c r="H55" s="26"/>
      <c r="I55" s="26"/>
      <c r="J55" s="155"/>
      <c r="K55" s="148"/>
      <c r="L55" s="159"/>
      <c r="M55" s="47"/>
    </row>
    <row r="56" spans="1:13" ht="13.5">
      <c r="A56" s="34"/>
      <c r="B56" s="35"/>
      <c r="C56" s="11" t="str">
        <f>'１１’業財'!C56</f>
        <v>前年度末業務費用・財源差額累計</v>
      </c>
      <c r="D56" s="96"/>
      <c r="E56" s="11"/>
      <c r="F56" s="11"/>
      <c r="G56" s="188">
        <f>'１１’業財'!G57</f>
        <v>222824683912</v>
      </c>
      <c r="H56" s="188">
        <f>'１１’業財'!H57</f>
        <v>42349848550</v>
      </c>
      <c r="I56" s="188">
        <f>'１１’業財'!I57</f>
        <v>1984356085</v>
      </c>
      <c r="J56" s="188">
        <f>'１１’業財'!J57</f>
        <v>267158888547</v>
      </c>
      <c r="K56" s="189">
        <f>'１１’業財'!K57</f>
        <v>0</v>
      </c>
      <c r="L56" s="190">
        <f>'１１’業財'!L57</f>
        <v>267158888547</v>
      </c>
      <c r="M56" s="47"/>
    </row>
    <row r="57" spans="1:13" ht="13.5">
      <c r="A57" s="34"/>
      <c r="B57" s="35"/>
      <c r="C57" s="11" t="str">
        <f>'１１’業財'!C57</f>
        <v>本年度末業務費用・財源差額累計</v>
      </c>
      <c r="D57" s="96"/>
      <c r="E57" s="11"/>
      <c r="F57" s="11"/>
      <c r="G57" s="155">
        <f aca="true" t="shared" si="13" ref="G57:L57">G44+G46+G47+G49+G52+G56</f>
        <v>168967127083</v>
      </c>
      <c r="H57" s="155">
        <f t="shared" si="13"/>
        <v>105985765060</v>
      </c>
      <c r="I57" s="155">
        <f>I44+I46+I47+I49+I52+I56</f>
        <v>-423774934</v>
      </c>
      <c r="J57" s="155">
        <f t="shared" si="13"/>
        <v>274529117209</v>
      </c>
      <c r="K57" s="165">
        <f t="shared" si="13"/>
        <v>0</v>
      </c>
      <c r="L57" s="159">
        <f t="shared" si="13"/>
        <v>274529117209</v>
      </c>
      <c r="M57" s="47"/>
    </row>
    <row r="58" spans="1:13" ht="14.25" thickBot="1">
      <c r="A58" s="36"/>
      <c r="B58" s="37"/>
      <c r="C58" s="37"/>
      <c r="D58" s="37"/>
      <c r="E58" s="37"/>
      <c r="F58" s="37"/>
      <c r="G58" s="27"/>
      <c r="H58" s="27"/>
      <c r="I58" s="27"/>
      <c r="J58" s="157"/>
      <c r="K58" s="149"/>
      <c r="L58" s="161"/>
      <c r="M58" s="50"/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0"/>
  <sheetViews>
    <sheetView view="pageBreakPreview" zoomScaleNormal="75" zoomScaleSheetLayoutView="100" workbookViewId="0" topLeftCell="A1">
      <selection activeCell="A1" sqref="A1:IV16384"/>
    </sheetView>
  </sheetViews>
  <sheetFormatPr defaultColWidth="9.00390625" defaultRowHeight="25.5" customHeight="1"/>
  <cols>
    <col min="1" max="1" width="1.625" style="333" customWidth="1"/>
    <col min="2" max="3" width="1.875" style="327" customWidth="1"/>
    <col min="4" max="4" width="17.50390625" style="327" customWidth="1"/>
    <col min="5" max="5" width="10.625" style="327" hidden="1" customWidth="1"/>
    <col min="6" max="6" width="1.12109375" style="327" hidden="1" customWidth="1"/>
    <col min="7" max="8" width="11.625" style="327" customWidth="1"/>
    <col min="9" max="10" width="1.625" style="327" customWidth="1"/>
    <col min="11" max="11" width="1.4921875" style="327" customWidth="1"/>
    <col min="12" max="12" width="19.625" style="327" customWidth="1"/>
    <col min="13" max="14" width="12.625" style="327" hidden="1" customWidth="1"/>
    <col min="15" max="15" width="11.625" style="327" customWidth="1"/>
    <col min="16" max="16" width="11.625" style="262" customWidth="1"/>
    <col min="17" max="17" width="1.625" style="262" customWidth="1"/>
    <col min="18" max="16384" width="9.00390625" style="327" customWidth="1"/>
  </cols>
  <sheetData>
    <row r="1" spans="1:17" s="339" customFormat="1" ht="25.5" customHeight="1">
      <c r="A1" s="349"/>
      <c r="B1" s="196" t="s">
        <v>0</v>
      </c>
      <c r="C1" s="335"/>
      <c r="D1" s="336"/>
      <c r="E1" s="336"/>
      <c r="F1" s="336"/>
      <c r="G1" s="336"/>
      <c r="H1" s="353"/>
      <c r="I1" s="336"/>
      <c r="J1" s="336"/>
      <c r="K1" s="336"/>
      <c r="L1" s="336"/>
      <c r="M1" s="337"/>
      <c r="N1" s="337"/>
      <c r="O1" s="337"/>
      <c r="P1" s="338"/>
      <c r="Q1" s="338"/>
    </row>
    <row r="2" spans="1:17" s="314" customFormat="1" ht="25.5" customHeight="1">
      <c r="A2" s="334"/>
      <c r="B2" s="318" t="s">
        <v>23</v>
      </c>
      <c r="C2" s="315"/>
      <c r="D2" s="316"/>
      <c r="E2" s="316"/>
      <c r="F2" s="316"/>
      <c r="G2" s="316"/>
      <c r="H2" s="316"/>
      <c r="I2" s="316"/>
      <c r="J2" s="316"/>
      <c r="K2" s="316"/>
      <c r="L2" s="316"/>
      <c r="P2" s="317"/>
      <c r="Q2" s="317"/>
    </row>
    <row r="3" spans="1:17" s="314" customFormat="1" ht="25.5" customHeight="1">
      <c r="A3" s="334"/>
      <c r="C3" s="318"/>
      <c r="D3" s="316"/>
      <c r="E3" s="316"/>
      <c r="F3" s="316"/>
      <c r="G3" s="316"/>
      <c r="H3" s="316"/>
      <c r="I3" s="316"/>
      <c r="J3" s="316"/>
      <c r="K3" s="316"/>
      <c r="L3" s="316"/>
      <c r="O3" s="319"/>
      <c r="P3" s="320" t="s">
        <v>199</v>
      </c>
      <c r="Q3" s="320"/>
    </row>
    <row r="4" spans="1:17" ht="25.5" customHeight="1">
      <c r="A4" s="324"/>
      <c r="B4" s="321"/>
      <c r="C4" s="321"/>
      <c r="D4" s="322"/>
      <c r="E4" s="321" t="s">
        <v>200</v>
      </c>
      <c r="F4" s="321" t="s">
        <v>201</v>
      </c>
      <c r="G4" s="321" t="s">
        <v>195</v>
      </c>
      <c r="H4" s="321" t="s">
        <v>196</v>
      </c>
      <c r="I4" s="323"/>
      <c r="J4" s="321"/>
      <c r="K4" s="325"/>
      <c r="L4" s="325"/>
      <c r="M4" s="321" t="s">
        <v>200</v>
      </c>
      <c r="N4" s="321" t="s">
        <v>201</v>
      </c>
      <c r="O4" s="321" t="s">
        <v>195</v>
      </c>
      <c r="P4" s="348" t="s">
        <v>196</v>
      </c>
      <c r="Q4" s="326"/>
    </row>
    <row r="5" spans="1:17" s="347" customFormat="1" ht="12">
      <c r="A5" s="342"/>
      <c r="B5" s="329"/>
      <c r="C5" s="329"/>
      <c r="D5" s="328"/>
      <c r="E5" s="329"/>
      <c r="F5" s="329"/>
      <c r="G5" s="354" t="s">
        <v>248</v>
      </c>
      <c r="H5" s="354" t="s">
        <v>253</v>
      </c>
      <c r="I5" s="358"/>
      <c r="J5" s="359"/>
      <c r="K5" s="333"/>
      <c r="L5" s="333"/>
      <c r="M5" s="329"/>
      <c r="N5" s="329"/>
      <c r="O5" s="354" t="s">
        <v>248</v>
      </c>
      <c r="P5" s="354" t="s">
        <v>253</v>
      </c>
      <c r="Q5" s="358"/>
    </row>
    <row r="6" spans="1:17" ht="25.5" customHeight="1">
      <c r="A6" s="342"/>
      <c r="B6" s="328" t="s">
        <v>202</v>
      </c>
      <c r="C6" s="328"/>
      <c r="D6" s="328"/>
      <c r="E6" s="328"/>
      <c r="F6" s="328"/>
      <c r="G6" s="329"/>
      <c r="H6" s="329"/>
      <c r="I6" s="340"/>
      <c r="J6" s="329"/>
      <c r="K6" s="328" t="s">
        <v>203</v>
      </c>
      <c r="L6" s="329"/>
      <c r="M6" s="329"/>
      <c r="N6" s="333"/>
      <c r="O6" s="333"/>
      <c r="P6" s="271"/>
      <c r="Q6" s="330"/>
    </row>
    <row r="7" spans="1:17" ht="25.5" customHeight="1">
      <c r="A7" s="342"/>
      <c r="B7" s="328" t="s">
        <v>204</v>
      </c>
      <c r="C7" s="328"/>
      <c r="D7" s="328"/>
      <c r="E7" s="331">
        <v>9365077</v>
      </c>
      <c r="F7" s="331">
        <v>8589435</v>
      </c>
      <c r="G7" s="331">
        <v>11710305</v>
      </c>
      <c r="H7" s="331">
        <v>13263360</v>
      </c>
      <c r="I7" s="341"/>
      <c r="J7" s="331"/>
      <c r="K7" s="328" t="s">
        <v>205</v>
      </c>
      <c r="L7" s="331"/>
      <c r="M7" s="331">
        <v>26</v>
      </c>
      <c r="N7" s="331">
        <v>39</v>
      </c>
      <c r="O7" s="186">
        <v>66</v>
      </c>
      <c r="P7" s="331">
        <v>66</v>
      </c>
      <c r="Q7" s="332"/>
    </row>
    <row r="8" spans="1:17" ht="25.5" customHeight="1">
      <c r="A8" s="342"/>
      <c r="B8" s="328" t="s">
        <v>206</v>
      </c>
      <c r="C8" s="328"/>
      <c r="D8" s="328"/>
      <c r="E8" s="331">
        <v>92059</v>
      </c>
      <c r="F8" s="331">
        <v>92823</v>
      </c>
      <c r="G8" s="331">
        <v>104603</v>
      </c>
      <c r="H8" s="331">
        <v>103767</v>
      </c>
      <c r="I8" s="341"/>
      <c r="J8" s="331"/>
      <c r="K8" s="328" t="s">
        <v>207</v>
      </c>
      <c r="L8" s="331"/>
      <c r="M8" s="331">
        <v>658996</v>
      </c>
      <c r="N8" s="331">
        <v>634113</v>
      </c>
      <c r="O8" s="186">
        <v>340896</v>
      </c>
      <c r="P8" s="331">
        <v>327645</v>
      </c>
      <c r="Q8" s="332"/>
    </row>
    <row r="9" spans="1:17" ht="25.5" customHeight="1">
      <c r="A9" s="342"/>
      <c r="B9" s="328"/>
      <c r="C9" s="328"/>
      <c r="D9" s="328" t="s">
        <v>208</v>
      </c>
      <c r="E9" s="331">
        <v>71246</v>
      </c>
      <c r="F9" s="331">
        <v>71515</v>
      </c>
      <c r="G9" s="331">
        <v>78980</v>
      </c>
      <c r="H9" s="331">
        <v>78870</v>
      </c>
      <c r="I9" s="341"/>
      <c r="J9" s="331"/>
      <c r="K9" s="328" t="s">
        <v>209</v>
      </c>
      <c r="L9" s="331"/>
      <c r="M9" s="331">
        <v>33767</v>
      </c>
      <c r="N9" s="331">
        <v>31851</v>
      </c>
      <c r="O9" s="186">
        <v>23397</v>
      </c>
      <c r="P9" s="331">
        <v>22495</v>
      </c>
      <c r="Q9" s="332"/>
    </row>
    <row r="10" spans="1:17" ht="25.5" customHeight="1">
      <c r="A10" s="342"/>
      <c r="B10" s="328"/>
      <c r="C10" s="328"/>
      <c r="D10" s="328" t="s">
        <v>210</v>
      </c>
      <c r="E10" s="331">
        <v>20812</v>
      </c>
      <c r="F10" s="331">
        <v>21308</v>
      </c>
      <c r="G10" s="331">
        <v>25622</v>
      </c>
      <c r="H10" s="331">
        <v>24896</v>
      </c>
      <c r="I10" s="341"/>
      <c r="J10" s="331"/>
      <c r="K10" s="328" t="s">
        <v>211</v>
      </c>
      <c r="L10" s="331"/>
      <c r="M10" s="331">
        <v>570</v>
      </c>
      <c r="N10" s="331">
        <v>26517</v>
      </c>
      <c r="O10" s="186">
        <v>202002</v>
      </c>
      <c r="P10" s="331">
        <v>127293</v>
      </c>
      <c r="Q10" s="332"/>
    </row>
    <row r="11" spans="1:17" ht="25.5" customHeight="1">
      <c r="A11" s="342"/>
      <c r="B11" s="328" t="s">
        <v>182</v>
      </c>
      <c r="C11" s="328"/>
      <c r="D11" s="333"/>
      <c r="E11" s="331">
        <v>0</v>
      </c>
      <c r="F11" s="331">
        <v>0</v>
      </c>
      <c r="G11" s="331">
        <v>-51445</v>
      </c>
      <c r="H11" s="331">
        <v>-52045</v>
      </c>
      <c r="I11" s="341"/>
      <c r="J11" s="331"/>
      <c r="K11" s="328" t="s">
        <v>212</v>
      </c>
      <c r="L11" s="331"/>
      <c r="M11" s="331">
        <v>3359</v>
      </c>
      <c r="N11" s="331">
        <v>3427</v>
      </c>
      <c r="O11" s="186">
        <v>5415</v>
      </c>
      <c r="P11" s="331">
        <v>5293</v>
      </c>
      <c r="Q11" s="332"/>
    </row>
    <row r="12" spans="1:17" ht="25.5" customHeight="1">
      <c r="A12" s="342"/>
      <c r="B12" s="328" t="s">
        <v>213</v>
      </c>
      <c r="C12" s="328"/>
      <c r="D12" s="328"/>
      <c r="E12" s="331">
        <v>79</v>
      </c>
      <c r="F12" s="331">
        <v>810</v>
      </c>
      <c r="G12" s="331">
        <v>17274</v>
      </c>
      <c r="H12" s="331">
        <v>31824</v>
      </c>
      <c r="I12" s="341"/>
      <c r="J12" s="331"/>
      <c r="K12" s="328" t="s">
        <v>214</v>
      </c>
      <c r="L12" s="331"/>
      <c r="M12" s="331">
        <v>8390245</v>
      </c>
      <c r="N12" s="331">
        <v>8318493</v>
      </c>
      <c r="O12" s="186">
        <v>7933290</v>
      </c>
      <c r="P12" s="331">
        <v>7912062</v>
      </c>
      <c r="Q12" s="332"/>
    </row>
    <row r="13" spans="1:17" ht="25.5" customHeight="1">
      <c r="A13" s="342"/>
      <c r="B13" s="328" t="s">
        <v>216</v>
      </c>
      <c r="C13" s="328"/>
      <c r="D13" s="185"/>
      <c r="E13" s="331">
        <v>24</v>
      </c>
      <c r="F13" s="331">
        <v>24</v>
      </c>
      <c r="G13" s="331">
        <v>16</v>
      </c>
      <c r="H13" s="331">
        <v>21</v>
      </c>
      <c r="I13" s="341"/>
      <c r="J13" s="331"/>
      <c r="K13" s="328" t="s">
        <v>215</v>
      </c>
      <c r="L13" s="331"/>
      <c r="M13" s="331">
        <v>112061</v>
      </c>
      <c r="N13" s="331">
        <v>113390</v>
      </c>
      <c r="O13" s="186">
        <v>134559</v>
      </c>
      <c r="P13" s="331">
        <v>124794</v>
      </c>
      <c r="Q13" s="332"/>
    </row>
    <row r="14" spans="1:17" ht="25.5" customHeight="1">
      <c r="A14" s="342"/>
      <c r="B14" s="328" t="s">
        <v>217</v>
      </c>
      <c r="C14" s="328"/>
      <c r="D14" s="328"/>
      <c r="E14" s="331">
        <v>295562</v>
      </c>
      <c r="F14" s="331">
        <v>279096</v>
      </c>
      <c r="G14" s="331">
        <v>221867</v>
      </c>
      <c r="H14" s="331">
        <v>224998</v>
      </c>
      <c r="I14" s="341"/>
      <c r="J14" s="331"/>
      <c r="K14" s="328"/>
      <c r="L14" s="331"/>
      <c r="M14" s="331"/>
      <c r="N14" s="331"/>
      <c r="O14" s="331"/>
      <c r="P14" s="186"/>
      <c r="Q14" s="332"/>
    </row>
    <row r="15" spans="1:17" ht="25.5" customHeight="1">
      <c r="A15" s="342"/>
      <c r="B15" s="328"/>
      <c r="D15" s="351" t="s">
        <v>235</v>
      </c>
      <c r="E15" s="331"/>
      <c r="F15" s="331"/>
      <c r="G15" s="331">
        <v>213062</v>
      </c>
      <c r="H15" s="331">
        <v>206760</v>
      </c>
      <c r="I15" s="341"/>
      <c r="J15" s="331"/>
      <c r="K15" s="328"/>
      <c r="L15" s="331"/>
      <c r="M15" s="331"/>
      <c r="N15" s="331"/>
      <c r="O15" s="331"/>
      <c r="P15" s="186"/>
      <c r="Q15" s="332"/>
    </row>
    <row r="16" spans="1:17" ht="25.5" customHeight="1">
      <c r="A16" s="342"/>
      <c r="B16" s="328"/>
      <c r="C16" s="328"/>
      <c r="D16" s="328" t="s">
        <v>218</v>
      </c>
      <c r="E16" s="331">
        <v>121646</v>
      </c>
      <c r="F16" s="331">
        <v>107810</v>
      </c>
      <c r="G16" s="331">
        <v>75179</v>
      </c>
      <c r="H16" s="331">
        <v>75188</v>
      </c>
      <c r="I16" s="341"/>
      <c r="J16" s="331"/>
      <c r="K16" s="328"/>
      <c r="L16" s="331"/>
      <c r="M16" s="331"/>
      <c r="N16" s="331"/>
      <c r="O16" s="331"/>
      <c r="P16" s="186"/>
      <c r="Q16" s="332"/>
    </row>
    <row r="17" spans="1:17" ht="25.5" customHeight="1">
      <c r="A17" s="342"/>
      <c r="B17" s="328"/>
      <c r="C17" s="328"/>
      <c r="D17" s="328" t="s">
        <v>219</v>
      </c>
      <c r="E17" s="331">
        <v>533</v>
      </c>
      <c r="F17" s="331">
        <v>690</v>
      </c>
      <c r="G17" s="331">
        <v>625</v>
      </c>
      <c r="H17" s="331">
        <v>625</v>
      </c>
      <c r="I17" s="341"/>
      <c r="J17" s="331"/>
      <c r="K17" s="328"/>
      <c r="L17" s="331"/>
      <c r="M17" s="331"/>
      <c r="N17" s="331"/>
      <c r="O17" s="331"/>
      <c r="P17" s="186"/>
      <c r="Q17" s="332"/>
    </row>
    <row r="18" spans="1:17" ht="25.5" customHeight="1">
      <c r="A18" s="342"/>
      <c r="B18" s="328"/>
      <c r="C18" s="328"/>
      <c r="D18" s="328" t="s">
        <v>220</v>
      </c>
      <c r="E18" s="331">
        <v>104759</v>
      </c>
      <c r="F18" s="331">
        <v>101733</v>
      </c>
      <c r="G18" s="331">
        <v>94860</v>
      </c>
      <c r="H18" s="331">
        <v>92560</v>
      </c>
      <c r="I18" s="341"/>
      <c r="J18" s="331"/>
      <c r="K18" s="328"/>
      <c r="L18" s="331"/>
      <c r="M18" s="331"/>
      <c r="N18" s="333"/>
      <c r="O18" s="333"/>
      <c r="P18" s="271"/>
      <c r="Q18" s="330"/>
    </row>
    <row r="19" spans="1:17" ht="25.5" customHeight="1">
      <c r="A19" s="342"/>
      <c r="B19" s="328"/>
      <c r="C19" s="328"/>
      <c r="D19" s="328" t="s">
        <v>222</v>
      </c>
      <c r="E19" s="331">
        <v>50437</v>
      </c>
      <c r="F19" s="331">
        <v>48373</v>
      </c>
      <c r="G19" s="331">
        <v>41525</v>
      </c>
      <c r="H19" s="331">
        <v>37692</v>
      </c>
      <c r="I19" s="341"/>
      <c r="J19" s="350"/>
      <c r="K19" s="363" t="s">
        <v>221</v>
      </c>
      <c r="L19" s="364"/>
      <c r="M19" s="343">
        <v>9199028</v>
      </c>
      <c r="N19" s="343">
        <v>9127831</v>
      </c>
      <c r="O19" s="266">
        <v>8639628</v>
      </c>
      <c r="P19" s="343">
        <v>8519651</v>
      </c>
      <c r="Q19" s="344"/>
    </row>
    <row r="20" spans="1:17" ht="25.5" customHeight="1">
      <c r="A20" s="342"/>
      <c r="B20" s="328"/>
      <c r="C20" s="328"/>
      <c r="D20" s="328" t="s">
        <v>224</v>
      </c>
      <c r="E20" s="331">
        <v>10874</v>
      </c>
      <c r="F20" s="331">
        <v>13417</v>
      </c>
      <c r="G20" s="331">
        <v>871</v>
      </c>
      <c r="H20" s="331">
        <v>692</v>
      </c>
      <c r="I20" s="341"/>
      <c r="J20" s="331"/>
      <c r="K20" s="366" t="s">
        <v>223</v>
      </c>
      <c r="L20" s="367"/>
      <c r="M20" s="328"/>
      <c r="N20" s="333"/>
      <c r="O20" s="333"/>
      <c r="P20" s="271"/>
      <c r="Q20" s="330"/>
    </row>
    <row r="21" spans="1:17" ht="25.5" customHeight="1">
      <c r="A21" s="342"/>
      <c r="B21" s="328"/>
      <c r="C21" s="328" t="s">
        <v>183</v>
      </c>
      <c r="D21" s="333"/>
      <c r="E21" s="331">
        <v>7310</v>
      </c>
      <c r="F21" s="331">
        <v>7070</v>
      </c>
      <c r="G21" s="331">
        <v>8804</v>
      </c>
      <c r="H21" s="331">
        <v>18238</v>
      </c>
      <c r="I21" s="341"/>
      <c r="J21" s="331"/>
      <c r="K21" s="366" t="s">
        <v>236</v>
      </c>
      <c r="L21" s="367"/>
      <c r="M21" s="331">
        <v>-6282879</v>
      </c>
      <c r="N21" s="331">
        <v>-6282879</v>
      </c>
      <c r="O21" s="186">
        <v>4349691</v>
      </c>
      <c r="P21" s="331">
        <v>5993072</v>
      </c>
      <c r="Q21" s="332"/>
    </row>
    <row r="22" spans="1:17" ht="25.5" customHeight="1">
      <c r="A22" s="342"/>
      <c r="B22" s="328" t="s">
        <v>225</v>
      </c>
      <c r="C22" s="328"/>
      <c r="D22" s="328"/>
      <c r="E22" s="331">
        <v>7779</v>
      </c>
      <c r="F22" s="331">
        <v>7331</v>
      </c>
      <c r="G22" s="331">
        <v>9242</v>
      </c>
      <c r="H22" s="331">
        <v>11511</v>
      </c>
      <c r="I22" s="341"/>
      <c r="J22" s="331"/>
      <c r="K22" s="328"/>
      <c r="L22" s="331"/>
      <c r="M22" s="331">
        <v>9119333</v>
      </c>
      <c r="N22" s="331">
        <v>8314746</v>
      </c>
      <c r="O22" s="331"/>
      <c r="P22" s="186"/>
      <c r="Q22" s="332"/>
    </row>
    <row r="23" spans="1:17" ht="25.5" customHeight="1">
      <c r="A23" s="342"/>
      <c r="B23" s="328" t="s">
        <v>226</v>
      </c>
      <c r="C23" s="328"/>
      <c r="D23" s="185"/>
      <c r="E23" s="331">
        <v>2587074</v>
      </c>
      <c r="F23" s="331">
        <v>2482402</v>
      </c>
      <c r="G23" s="331">
        <v>977455</v>
      </c>
      <c r="H23" s="331">
        <v>929285</v>
      </c>
      <c r="I23" s="341"/>
      <c r="J23" s="331"/>
      <c r="K23" s="328"/>
      <c r="L23" s="328"/>
      <c r="M23" s="331">
        <v>8740087</v>
      </c>
      <c r="N23" s="331">
        <v>8004584</v>
      </c>
      <c r="O23" s="331"/>
      <c r="P23" s="186"/>
      <c r="Q23" s="332"/>
    </row>
    <row r="24" spans="1:17" ht="25.5" customHeight="1">
      <c r="A24" s="342"/>
      <c r="B24" s="328"/>
      <c r="C24" s="328"/>
      <c r="D24" s="328"/>
      <c r="E24" s="328"/>
      <c r="F24" s="328"/>
      <c r="G24" s="331"/>
      <c r="H24" s="331"/>
      <c r="I24" s="341"/>
      <c r="J24" s="331"/>
      <c r="K24" s="333"/>
      <c r="L24" s="333"/>
      <c r="M24" s="333"/>
      <c r="N24" s="333"/>
      <c r="O24" s="333"/>
      <c r="P24" s="271"/>
      <c r="Q24" s="330"/>
    </row>
    <row r="25" spans="1:17" ht="25.5" customHeight="1">
      <c r="A25" s="352"/>
      <c r="B25" s="363" t="s">
        <v>227</v>
      </c>
      <c r="C25" s="363"/>
      <c r="D25" s="364"/>
      <c r="E25" s="343">
        <v>12302641</v>
      </c>
      <c r="F25" s="343">
        <v>11404562</v>
      </c>
      <c r="G25" s="343">
        <v>12989320</v>
      </c>
      <c r="H25" s="343">
        <v>14512723</v>
      </c>
      <c r="I25" s="345"/>
      <c r="J25" s="343"/>
      <c r="K25" s="365" t="s">
        <v>249</v>
      </c>
      <c r="L25" s="365"/>
      <c r="M25" s="346">
        <v>12302641</v>
      </c>
      <c r="N25" s="346">
        <v>11404562</v>
      </c>
      <c r="O25" s="266">
        <v>12989320</v>
      </c>
      <c r="P25" s="343">
        <v>14512723</v>
      </c>
      <c r="Q25" s="344"/>
    </row>
    <row r="27" spans="4:12" ht="25.5" customHeight="1">
      <c r="D27" s="333"/>
      <c r="E27" s="333"/>
      <c r="F27" s="333"/>
      <c r="G27" s="331"/>
      <c r="H27" s="331"/>
      <c r="I27" s="331"/>
      <c r="J27" s="331"/>
      <c r="K27" s="333"/>
      <c r="L27" s="333"/>
    </row>
    <row r="28" spans="2:18" ht="25.5" customHeight="1">
      <c r="B28" s="314"/>
      <c r="C28" s="314"/>
      <c r="D28" s="334"/>
      <c r="E28" s="334"/>
      <c r="F28" s="334"/>
      <c r="G28" s="334"/>
      <c r="H28" s="334"/>
      <c r="I28" s="334"/>
      <c r="J28" s="334"/>
      <c r="K28" s="334"/>
      <c r="L28" s="334"/>
      <c r="M28" s="314"/>
      <c r="N28" s="314"/>
      <c r="O28" s="314"/>
      <c r="P28" s="317"/>
      <c r="Q28" s="317"/>
      <c r="R28" s="314"/>
    </row>
    <row r="29" spans="1:17" s="314" customFormat="1" ht="25.5" customHeight="1">
      <c r="A29" s="334"/>
      <c r="P29" s="317"/>
      <c r="Q29" s="317"/>
    </row>
    <row r="30" spans="1:18" s="314" customFormat="1" ht="25.5" customHeight="1">
      <c r="A30" s="334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262"/>
      <c r="Q30" s="262"/>
      <c r="R30" s="327"/>
    </row>
  </sheetData>
  <sheetProtection/>
  <mergeCells count="5">
    <mergeCell ref="B25:D25"/>
    <mergeCell ref="K25:L25"/>
    <mergeCell ref="K19:L19"/>
    <mergeCell ref="K20:L20"/>
    <mergeCell ref="K21:L2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3"/>
  <sheetViews>
    <sheetView view="pageBreakPreview" zoomScaleNormal="75" zoomScaleSheetLayoutView="100" workbookViewId="0" topLeftCell="A1">
      <selection activeCell="A1" sqref="A1:IV16384"/>
    </sheetView>
  </sheetViews>
  <sheetFormatPr defaultColWidth="9.00390625" defaultRowHeight="24.75" customHeight="1"/>
  <cols>
    <col min="1" max="1" width="2.25390625" style="268" customWidth="1"/>
    <col min="2" max="2" width="2.75390625" style="268" customWidth="1"/>
    <col min="3" max="4" width="2.625" style="268" customWidth="1"/>
    <col min="5" max="5" width="15.625" style="268" customWidth="1"/>
    <col min="6" max="6" width="12.00390625" style="267" customWidth="1"/>
    <col min="7" max="8" width="18.625" style="268" customWidth="1"/>
    <col min="9" max="9" width="2.625" style="268" customWidth="1"/>
    <col min="10" max="16384" width="9.00390625" style="268" customWidth="1"/>
  </cols>
  <sheetData>
    <row r="1" spans="1:9" s="308" customFormat="1" ht="24.75" customHeight="1">
      <c r="A1" s="369" t="s">
        <v>148</v>
      </c>
      <c r="B1" s="369"/>
      <c r="C1" s="369"/>
      <c r="D1" s="369"/>
      <c r="E1" s="369"/>
      <c r="F1" s="369"/>
      <c r="G1" s="369"/>
      <c r="H1" s="369"/>
      <c r="I1" s="369"/>
    </row>
    <row r="2" spans="1:8" ht="24.75" customHeight="1">
      <c r="A2" s="273"/>
      <c r="B2" s="273"/>
      <c r="C2" s="273"/>
      <c r="D2" s="273"/>
      <c r="E2" s="273"/>
      <c r="F2" s="273"/>
      <c r="G2" s="273"/>
      <c r="H2" s="273"/>
    </row>
    <row r="3" spans="1:8" ht="30" customHeight="1">
      <c r="A3" s="268" t="s">
        <v>247</v>
      </c>
      <c r="F3" s="273"/>
      <c r="G3" s="368"/>
      <c r="H3" s="368"/>
    </row>
    <row r="4" spans="1:8" ht="30" customHeight="1">
      <c r="A4" s="273"/>
      <c r="B4" s="273"/>
      <c r="C4" s="273"/>
      <c r="D4" s="273"/>
      <c r="E4" s="273"/>
      <c r="F4" s="273"/>
      <c r="G4" s="273"/>
      <c r="H4" s="300" t="s">
        <v>149</v>
      </c>
    </row>
    <row r="5" spans="1:9" ht="30" customHeight="1">
      <c r="A5" s="312"/>
      <c r="B5" s="275"/>
      <c r="C5" s="275"/>
      <c r="D5" s="275"/>
      <c r="E5" s="275"/>
      <c r="F5" s="275"/>
      <c r="G5" s="275"/>
      <c r="H5" s="302"/>
      <c r="I5" s="277"/>
    </row>
    <row r="6" spans="1:9" ht="30" customHeight="1">
      <c r="A6" s="313"/>
      <c r="B6" s="279"/>
      <c r="C6" s="279"/>
      <c r="D6" s="279"/>
      <c r="E6" s="279"/>
      <c r="F6" s="279"/>
      <c r="G6" s="279" t="s">
        <v>195</v>
      </c>
      <c r="H6" s="279" t="s">
        <v>196</v>
      </c>
      <c r="I6" s="280"/>
    </row>
    <row r="7" spans="1:9" s="311" customFormat="1" ht="12">
      <c r="A7" s="309"/>
      <c r="B7" s="297"/>
      <c r="C7" s="297"/>
      <c r="D7" s="297"/>
      <c r="E7" s="297"/>
      <c r="F7" s="297"/>
      <c r="G7" s="355" t="s">
        <v>241</v>
      </c>
      <c r="H7" s="355" t="s">
        <v>251</v>
      </c>
      <c r="I7" s="310"/>
    </row>
    <row r="8" spans="1:9" s="311" customFormat="1" ht="12">
      <c r="A8" s="309"/>
      <c r="B8" s="297"/>
      <c r="C8" s="297"/>
      <c r="D8" s="297"/>
      <c r="E8" s="297"/>
      <c r="F8" s="297"/>
      <c r="G8" s="355" t="s">
        <v>250</v>
      </c>
      <c r="H8" s="355" t="s">
        <v>252</v>
      </c>
      <c r="I8" s="310"/>
    </row>
    <row r="9" spans="1:9" ht="21" customHeight="1">
      <c r="A9" s="278"/>
      <c r="B9" s="270"/>
      <c r="C9" s="270"/>
      <c r="D9" s="270"/>
      <c r="E9" s="270"/>
      <c r="F9" s="279"/>
      <c r="G9" s="269"/>
      <c r="H9" s="269"/>
      <c r="I9" s="280"/>
    </row>
    <row r="10" spans="1:9" ht="21" customHeight="1">
      <c r="A10" s="278"/>
      <c r="B10" s="270" t="s">
        <v>36</v>
      </c>
      <c r="C10" s="270"/>
      <c r="D10" s="270"/>
      <c r="E10" s="270"/>
      <c r="F10" s="263"/>
      <c r="G10" s="287">
        <v>70541</v>
      </c>
      <c r="H10" s="287">
        <v>69411</v>
      </c>
      <c r="I10" s="280"/>
    </row>
    <row r="11" spans="1:9" ht="21" customHeight="1">
      <c r="A11" s="278"/>
      <c r="B11" s="270" t="s">
        <v>186</v>
      </c>
      <c r="C11" s="270"/>
      <c r="D11" s="270"/>
      <c r="E11" s="270"/>
      <c r="F11" s="263"/>
      <c r="G11" s="287">
        <v>5458</v>
      </c>
      <c r="H11" s="287">
        <v>5293</v>
      </c>
      <c r="I11" s="280"/>
    </row>
    <row r="12" spans="1:9" ht="21" customHeight="1">
      <c r="A12" s="278"/>
      <c r="B12" s="270" t="s">
        <v>197</v>
      </c>
      <c r="C12" s="270"/>
      <c r="D12" s="270"/>
      <c r="E12" s="270"/>
      <c r="F12" s="263"/>
      <c r="G12" s="287">
        <v>7764</v>
      </c>
      <c r="H12" s="287">
        <v>-786</v>
      </c>
      <c r="I12" s="280"/>
    </row>
    <row r="13" spans="1:9" ht="21" customHeight="1">
      <c r="A13" s="278"/>
      <c r="B13" s="270" t="s">
        <v>165</v>
      </c>
      <c r="C13" s="270"/>
      <c r="D13" s="270"/>
      <c r="E13" s="270"/>
      <c r="F13" s="263"/>
      <c r="G13" s="287">
        <v>771183</v>
      </c>
      <c r="H13" s="287">
        <v>782556</v>
      </c>
      <c r="I13" s="280"/>
    </row>
    <row r="14" spans="1:9" ht="21" customHeight="1">
      <c r="A14" s="278"/>
      <c r="B14" s="270" t="s">
        <v>228</v>
      </c>
      <c r="C14" s="270"/>
      <c r="D14" s="270"/>
      <c r="E14" s="270"/>
      <c r="F14" s="263"/>
      <c r="G14" s="287">
        <v>119024</v>
      </c>
      <c r="H14" s="287">
        <v>121142</v>
      </c>
      <c r="I14" s="280"/>
    </row>
    <row r="15" spans="1:9" ht="21" customHeight="1">
      <c r="A15" s="278"/>
      <c r="B15" s="270" t="s">
        <v>170</v>
      </c>
      <c r="C15" s="270"/>
      <c r="D15" s="270"/>
      <c r="E15" s="270"/>
      <c r="F15" s="263"/>
      <c r="G15" s="287">
        <v>1354214</v>
      </c>
      <c r="H15" s="287">
        <v>1264995</v>
      </c>
      <c r="I15" s="280"/>
    </row>
    <row r="16" spans="1:9" ht="21" customHeight="1">
      <c r="A16" s="278"/>
      <c r="B16" s="270" t="s">
        <v>187</v>
      </c>
      <c r="C16" s="270"/>
      <c r="D16" s="270"/>
      <c r="E16" s="270"/>
      <c r="F16" s="263"/>
      <c r="G16" s="287">
        <v>55521</v>
      </c>
      <c r="H16" s="287">
        <v>53930</v>
      </c>
      <c r="I16" s="280"/>
    </row>
    <row r="17" spans="1:9" ht="21" customHeight="1">
      <c r="A17" s="278"/>
      <c r="B17" s="270" t="s">
        <v>176</v>
      </c>
      <c r="C17" s="270"/>
      <c r="D17" s="270"/>
      <c r="E17" s="270"/>
      <c r="F17" s="263"/>
      <c r="G17" s="287">
        <v>54879</v>
      </c>
      <c r="H17" s="287">
        <v>50377</v>
      </c>
      <c r="I17" s="280"/>
    </row>
    <row r="18" spans="1:9" ht="21" customHeight="1">
      <c r="A18" s="278"/>
      <c r="B18" s="270" t="s">
        <v>73</v>
      </c>
      <c r="C18" s="270"/>
      <c r="D18" s="270"/>
      <c r="E18" s="270"/>
      <c r="F18" s="263"/>
      <c r="G18" s="287">
        <v>181514</v>
      </c>
      <c r="H18" s="287">
        <v>176141</v>
      </c>
      <c r="I18" s="280"/>
    </row>
    <row r="19" spans="1:9" ht="21" customHeight="1">
      <c r="A19" s="278"/>
      <c r="B19" s="270" t="s">
        <v>39</v>
      </c>
      <c r="C19" s="270"/>
      <c r="D19" s="270"/>
      <c r="E19" s="270"/>
      <c r="F19" s="263"/>
      <c r="G19" s="287">
        <v>52592</v>
      </c>
      <c r="H19" s="287">
        <v>51220</v>
      </c>
      <c r="I19" s="280"/>
    </row>
    <row r="20" spans="1:9" ht="21" customHeight="1">
      <c r="A20" s="278"/>
      <c r="B20" s="270" t="s">
        <v>188</v>
      </c>
      <c r="C20" s="270"/>
      <c r="D20" s="270"/>
      <c r="E20" s="270"/>
      <c r="F20" s="263"/>
      <c r="G20" s="287">
        <v>15</v>
      </c>
      <c r="H20" s="287">
        <v>16</v>
      </c>
      <c r="I20" s="280"/>
    </row>
    <row r="21" spans="1:9" ht="21" customHeight="1">
      <c r="A21" s="278"/>
      <c r="B21" s="270" t="s">
        <v>189</v>
      </c>
      <c r="C21" s="270"/>
      <c r="D21" s="270"/>
      <c r="E21" s="270"/>
      <c r="F21" s="263"/>
      <c r="G21" s="287">
        <v>124506</v>
      </c>
      <c r="H21" s="287">
        <v>119607</v>
      </c>
      <c r="I21" s="280"/>
    </row>
    <row r="22" spans="1:9" ht="21" customHeight="1">
      <c r="A22" s="278"/>
      <c r="B22" s="270" t="s">
        <v>191</v>
      </c>
      <c r="C22" s="270"/>
      <c r="D22" s="270"/>
      <c r="E22" s="270"/>
      <c r="F22" s="263"/>
      <c r="G22" s="287">
        <v>107</v>
      </c>
      <c r="H22" s="287">
        <v>104</v>
      </c>
      <c r="I22" s="280"/>
    </row>
    <row r="23" spans="1:9" ht="21" customHeight="1">
      <c r="A23" s="278"/>
      <c r="B23" s="270" t="s">
        <v>231</v>
      </c>
      <c r="C23" s="270"/>
      <c r="D23" s="270"/>
      <c r="E23" s="270"/>
      <c r="F23" s="263"/>
      <c r="G23" s="287">
        <v>314</v>
      </c>
      <c r="H23" s="287">
        <v>299</v>
      </c>
      <c r="I23" s="280"/>
    </row>
    <row r="24" spans="1:9" ht="21" customHeight="1">
      <c r="A24" s="278"/>
      <c r="B24" s="270" t="s">
        <v>167</v>
      </c>
      <c r="C24" s="270"/>
      <c r="D24" s="270"/>
      <c r="E24" s="270"/>
      <c r="F24" s="263"/>
      <c r="G24" s="287">
        <v>101296</v>
      </c>
      <c r="H24" s="287">
        <v>97769</v>
      </c>
      <c r="I24" s="280"/>
    </row>
    <row r="25" spans="1:9" ht="21" customHeight="1">
      <c r="A25" s="278"/>
      <c r="B25" s="270" t="s">
        <v>168</v>
      </c>
      <c r="C25" s="270"/>
      <c r="D25" s="270"/>
      <c r="E25" s="270"/>
      <c r="F25" s="263"/>
      <c r="G25" s="287">
        <v>39749</v>
      </c>
      <c r="H25" s="287">
        <v>38741</v>
      </c>
      <c r="I25" s="280"/>
    </row>
    <row r="26" spans="1:9" ht="21" customHeight="1">
      <c r="A26" s="278"/>
      <c r="B26" s="270" t="s">
        <v>40</v>
      </c>
      <c r="C26" s="270"/>
      <c r="D26" s="270"/>
      <c r="E26" s="270"/>
      <c r="F26" s="263"/>
      <c r="G26" s="287">
        <v>16660</v>
      </c>
      <c r="H26" s="287">
        <v>19236</v>
      </c>
      <c r="I26" s="280"/>
    </row>
    <row r="27" spans="1:9" ht="21" customHeight="1">
      <c r="A27" s="278"/>
      <c r="B27" s="270" t="s">
        <v>243</v>
      </c>
      <c r="C27" s="270"/>
      <c r="D27" s="270"/>
      <c r="E27" s="270"/>
      <c r="F27" s="263"/>
      <c r="G27" s="287">
        <v>2442</v>
      </c>
      <c r="H27" s="287">
        <v>3179</v>
      </c>
      <c r="I27" s="280"/>
    </row>
    <row r="28" spans="1:9" ht="21" customHeight="1">
      <c r="A28" s="278"/>
      <c r="B28" s="270" t="s">
        <v>169</v>
      </c>
      <c r="C28" s="270"/>
      <c r="D28" s="270"/>
      <c r="E28" s="270"/>
      <c r="F28" s="263"/>
      <c r="G28" s="287">
        <v>12684</v>
      </c>
      <c r="H28" s="287">
        <v>11770</v>
      </c>
      <c r="I28" s="280"/>
    </row>
    <row r="29" spans="1:9" ht="21" customHeight="1">
      <c r="A29" s="278"/>
      <c r="B29" s="270" t="s">
        <v>242</v>
      </c>
      <c r="C29" s="270"/>
      <c r="D29" s="270"/>
      <c r="E29" s="270"/>
      <c r="F29" s="263"/>
      <c r="G29" s="287">
        <v>-32718</v>
      </c>
      <c r="H29" s="287">
        <v>-21228</v>
      </c>
      <c r="I29" s="280"/>
    </row>
    <row r="30" spans="1:9" ht="21" customHeight="1">
      <c r="A30" s="278"/>
      <c r="B30" s="270" t="s">
        <v>184</v>
      </c>
      <c r="C30" s="270"/>
      <c r="D30" s="270"/>
      <c r="E30" s="270"/>
      <c r="F30" s="263"/>
      <c r="G30" s="287">
        <v>5077</v>
      </c>
      <c r="H30" s="287">
        <v>-1836</v>
      </c>
      <c r="I30" s="280"/>
    </row>
    <row r="31" spans="1:9" ht="21" customHeight="1">
      <c r="A31" s="278"/>
      <c r="B31" s="270"/>
      <c r="C31" s="270"/>
      <c r="D31" s="270"/>
      <c r="E31" s="270"/>
      <c r="F31" s="263"/>
      <c r="G31" s="287"/>
      <c r="H31" s="287"/>
      <c r="I31" s="280"/>
    </row>
    <row r="32" spans="1:9" ht="21" customHeight="1">
      <c r="A32" s="278"/>
      <c r="B32" s="270" t="s">
        <v>150</v>
      </c>
      <c r="C32" s="270"/>
      <c r="D32" s="270"/>
      <c r="E32" s="270"/>
      <c r="F32" s="263"/>
      <c r="G32" s="287">
        <v>2942831</v>
      </c>
      <c r="H32" s="287">
        <v>2841943</v>
      </c>
      <c r="I32" s="280"/>
    </row>
    <row r="33" spans="1:9" ht="21" customHeight="1">
      <c r="A33" s="265"/>
      <c r="B33" s="304"/>
      <c r="C33" s="304"/>
      <c r="D33" s="304"/>
      <c r="E33" s="304"/>
      <c r="F33" s="306"/>
      <c r="G33" s="304"/>
      <c r="H33" s="304"/>
      <c r="I33" s="307"/>
    </row>
  </sheetData>
  <sheetProtection/>
  <mergeCells count="2">
    <mergeCell ref="G3:H3"/>
    <mergeCell ref="A1:I1"/>
  </mergeCells>
  <printOptions horizontalCentered="1"/>
  <pageMargins left="0.56" right="0.4" top="0.984251968503937" bottom="0.984251968503937" header="0.5118110236220472" footer="0.5118110236220472"/>
  <pageSetup fitToHeight="1" fitToWidth="1"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31"/>
  <sheetViews>
    <sheetView view="pageBreakPreview" zoomScaleSheetLayoutView="100" workbookViewId="0" topLeftCell="A13">
      <selection activeCell="A1" sqref="A1:IV16384"/>
    </sheetView>
  </sheetViews>
  <sheetFormatPr defaultColWidth="9.00390625" defaultRowHeight="24.75" customHeight="1"/>
  <cols>
    <col min="1" max="2" width="2.625" style="268" customWidth="1"/>
    <col min="3" max="3" width="2.625" style="300" customWidth="1"/>
    <col min="4" max="7" width="2.625" style="268" customWidth="1"/>
    <col min="8" max="8" width="15.625" style="268" customWidth="1"/>
    <col min="9" max="9" width="5.50390625" style="267" customWidth="1"/>
    <col min="10" max="11" width="15.625" style="268" customWidth="1"/>
    <col min="12" max="12" width="2.625" style="268" customWidth="1"/>
    <col min="13" max="16384" width="9.00390625" style="268" customWidth="1"/>
  </cols>
  <sheetData>
    <row r="1" spans="2:11" s="308" customFormat="1" ht="24.75" customHeight="1">
      <c r="B1" s="369" t="s">
        <v>185</v>
      </c>
      <c r="C1" s="369"/>
      <c r="D1" s="369"/>
      <c r="E1" s="369"/>
      <c r="F1" s="369"/>
      <c r="G1" s="369"/>
      <c r="H1" s="369"/>
      <c r="I1" s="369"/>
      <c r="J1" s="369"/>
      <c r="K1" s="370"/>
    </row>
    <row r="2" spans="2:11" ht="21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2:11" ht="21" customHeight="1">
      <c r="B3" s="299" t="s">
        <v>23</v>
      </c>
      <c r="C3" s="299"/>
      <c r="I3" s="273"/>
      <c r="J3" s="368"/>
      <c r="K3" s="368"/>
    </row>
    <row r="4" spans="9:11" ht="21" customHeight="1">
      <c r="I4" s="273"/>
      <c r="J4" s="273"/>
      <c r="K4" s="300" t="s">
        <v>149</v>
      </c>
    </row>
    <row r="5" spans="1:12" ht="21" customHeight="1">
      <c r="A5" s="264"/>
      <c r="B5" s="301"/>
      <c r="C5" s="302"/>
      <c r="D5" s="301"/>
      <c r="E5" s="301"/>
      <c r="F5" s="301"/>
      <c r="G5" s="301"/>
      <c r="H5" s="301"/>
      <c r="I5" s="275"/>
      <c r="J5" s="275"/>
      <c r="K5" s="302"/>
      <c r="L5" s="277"/>
    </row>
    <row r="6" spans="1:12" ht="21" customHeight="1">
      <c r="A6" s="278"/>
      <c r="B6" s="270"/>
      <c r="C6" s="269"/>
      <c r="D6" s="270"/>
      <c r="E6" s="270"/>
      <c r="F6" s="270"/>
      <c r="G6" s="270"/>
      <c r="H6" s="270"/>
      <c r="I6" s="279"/>
      <c r="J6" s="279" t="s">
        <v>195</v>
      </c>
      <c r="K6" s="279" t="s">
        <v>196</v>
      </c>
      <c r="L6" s="280"/>
    </row>
    <row r="7" spans="1:12" s="311" customFormat="1" ht="12">
      <c r="A7" s="313"/>
      <c r="B7" s="279"/>
      <c r="C7" s="279"/>
      <c r="D7" s="279"/>
      <c r="E7" s="279"/>
      <c r="F7" s="279"/>
      <c r="G7" s="279"/>
      <c r="H7" s="279"/>
      <c r="I7" s="279"/>
      <c r="J7" s="357" t="s">
        <v>241</v>
      </c>
      <c r="K7" s="357" t="s">
        <v>251</v>
      </c>
      <c r="L7" s="356"/>
    </row>
    <row r="8" spans="1:12" s="311" customFormat="1" ht="12">
      <c r="A8" s="313"/>
      <c r="B8" s="279"/>
      <c r="C8" s="279"/>
      <c r="D8" s="279"/>
      <c r="E8" s="279"/>
      <c r="F8" s="279"/>
      <c r="G8" s="279"/>
      <c r="H8" s="279"/>
      <c r="I8" s="279"/>
      <c r="J8" s="357" t="s">
        <v>244</v>
      </c>
      <c r="K8" s="357" t="s">
        <v>254</v>
      </c>
      <c r="L8" s="356"/>
    </row>
    <row r="9" spans="1:12" ht="21" customHeight="1">
      <c r="A9" s="278"/>
      <c r="B9" s="270"/>
      <c r="C9" s="269"/>
      <c r="D9" s="270"/>
      <c r="E9" s="270"/>
      <c r="F9" s="270"/>
      <c r="G9" s="270"/>
      <c r="H9" s="270"/>
      <c r="I9" s="279"/>
      <c r="J9" s="269"/>
      <c r="K9" s="269"/>
      <c r="L9" s="280"/>
    </row>
    <row r="10" spans="1:12" ht="21" customHeight="1">
      <c r="A10" s="278"/>
      <c r="B10" s="270" t="s">
        <v>237</v>
      </c>
      <c r="C10" s="269"/>
      <c r="D10" s="270" t="s">
        <v>234</v>
      </c>
      <c r="E10" s="270"/>
      <c r="F10" s="270"/>
      <c r="G10" s="270"/>
      <c r="H10" s="270"/>
      <c r="I10" s="279"/>
      <c r="J10" s="269">
        <v>2877567</v>
      </c>
      <c r="K10" s="269">
        <v>4349691</v>
      </c>
      <c r="L10" s="280"/>
    </row>
    <row r="11" spans="1:12" ht="21" customHeight="1">
      <c r="A11" s="278"/>
      <c r="B11" s="270"/>
      <c r="C11" s="269"/>
      <c r="D11" s="270"/>
      <c r="E11" s="270"/>
      <c r="F11" s="270"/>
      <c r="G11" s="270"/>
      <c r="H11" s="270"/>
      <c r="I11" s="279"/>
      <c r="J11" s="269"/>
      <c r="K11" s="269"/>
      <c r="L11" s="280"/>
    </row>
    <row r="12" spans="1:12" ht="21" customHeight="1">
      <c r="A12" s="278"/>
      <c r="B12" s="270" t="s">
        <v>151</v>
      </c>
      <c r="C12" s="269"/>
      <c r="D12" s="270" t="s">
        <v>150</v>
      </c>
      <c r="E12" s="270"/>
      <c r="F12" s="270"/>
      <c r="G12" s="270"/>
      <c r="H12" s="270"/>
      <c r="I12" s="279"/>
      <c r="J12" s="269">
        <v>-2942831</v>
      </c>
      <c r="K12" s="269">
        <v>-2841943</v>
      </c>
      <c r="L12" s="280"/>
    </row>
    <row r="13" spans="1:12" ht="21" customHeight="1">
      <c r="A13" s="278"/>
      <c r="B13" s="270"/>
      <c r="C13" s="269"/>
      <c r="D13" s="270"/>
      <c r="E13" s="270"/>
      <c r="F13" s="270"/>
      <c r="G13" s="270"/>
      <c r="H13" s="270"/>
      <c r="I13" s="279"/>
      <c r="J13" s="269"/>
      <c r="K13" s="269"/>
      <c r="L13" s="280"/>
    </row>
    <row r="14" spans="1:12" ht="21" customHeight="1">
      <c r="A14" s="278"/>
      <c r="B14" s="270" t="s">
        <v>152</v>
      </c>
      <c r="C14" s="269"/>
      <c r="D14" s="270" t="s">
        <v>153</v>
      </c>
      <c r="E14" s="270"/>
      <c r="F14" s="270"/>
      <c r="G14" s="270"/>
      <c r="H14" s="270"/>
      <c r="I14" s="279"/>
      <c r="J14" s="269">
        <v>4445995</v>
      </c>
      <c r="K14" s="269">
        <v>4514736</v>
      </c>
      <c r="L14" s="280"/>
    </row>
    <row r="15" spans="1:12" ht="21" customHeight="1">
      <c r="A15" s="278"/>
      <c r="B15" s="270"/>
      <c r="C15" s="269">
        <v>1</v>
      </c>
      <c r="D15" s="270"/>
      <c r="E15" s="270" t="s">
        <v>181</v>
      </c>
      <c r="F15" s="270"/>
      <c r="G15" s="270"/>
      <c r="H15" s="270"/>
      <c r="I15" s="279"/>
      <c r="J15" s="269">
        <v>4148956</v>
      </c>
      <c r="K15" s="269">
        <v>4241995</v>
      </c>
      <c r="L15" s="280"/>
    </row>
    <row r="16" spans="1:12" ht="21" customHeight="1">
      <c r="A16" s="278"/>
      <c r="B16" s="270"/>
      <c r="C16" s="269"/>
      <c r="D16" s="270"/>
      <c r="E16" s="270" t="s">
        <v>229</v>
      </c>
      <c r="F16" s="270"/>
      <c r="G16" s="270"/>
      <c r="H16" s="270"/>
      <c r="I16" s="279"/>
      <c r="J16" s="269">
        <v>3988782</v>
      </c>
      <c r="K16" s="269">
        <v>4069008</v>
      </c>
      <c r="L16" s="280"/>
    </row>
    <row r="17" spans="1:12" ht="21" customHeight="1">
      <c r="A17" s="278"/>
      <c r="B17" s="270"/>
      <c r="C17" s="269"/>
      <c r="D17" s="270"/>
      <c r="E17" s="270" t="s">
        <v>230</v>
      </c>
      <c r="F17" s="270"/>
      <c r="G17" s="270"/>
      <c r="H17" s="270"/>
      <c r="I17" s="279"/>
      <c r="J17" s="269">
        <v>113866</v>
      </c>
      <c r="K17" s="269">
        <v>131946</v>
      </c>
      <c r="L17" s="280"/>
    </row>
    <row r="18" spans="1:12" ht="21" customHeight="1">
      <c r="A18" s="278"/>
      <c r="B18" s="270"/>
      <c r="C18" s="269"/>
      <c r="D18" s="270"/>
      <c r="E18" s="270" t="s">
        <v>232</v>
      </c>
      <c r="F18" s="270"/>
      <c r="G18" s="270"/>
      <c r="H18" s="270"/>
      <c r="I18" s="279"/>
      <c r="J18" s="269">
        <v>46307</v>
      </c>
      <c r="K18" s="269">
        <v>41040</v>
      </c>
      <c r="L18" s="280"/>
    </row>
    <row r="19" spans="1:12" ht="21" customHeight="1">
      <c r="A19" s="278"/>
      <c r="B19" s="270"/>
      <c r="C19" s="269"/>
      <c r="D19" s="270"/>
      <c r="E19" s="270"/>
      <c r="F19" s="270"/>
      <c r="G19" s="270"/>
      <c r="H19" s="270"/>
      <c r="I19" s="279"/>
      <c r="J19" s="269"/>
      <c r="K19" s="269"/>
      <c r="L19" s="280"/>
    </row>
    <row r="20" spans="1:12" ht="21" customHeight="1">
      <c r="A20" s="278"/>
      <c r="B20" s="270"/>
      <c r="C20" s="269">
        <v>2</v>
      </c>
      <c r="D20" s="270"/>
      <c r="E20" s="270" t="s">
        <v>178</v>
      </c>
      <c r="F20" s="270"/>
      <c r="G20" s="270"/>
      <c r="H20" s="270"/>
      <c r="I20" s="279"/>
      <c r="J20" s="269">
        <v>297039</v>
      </c>
      <c r="K20" s="269">
        <v>272740</v>
      </c>
      <c r="L20" s="280"/>
    </row>
    <row r="21" spans="1:12" ht="21" customHeight="1" hidden="1">
      <c r="A21" s="278"/>
      <c r="B21" s="270"/>
      <c r="C21" s="269"/>
      <c r="D21" s="270"/>
      <c r="E21" s="270" t="s">
        <v>260</v>
      </c>
      <c r="F21" s="270"/>
      <c r="G21" s="270"/>
      <c r="H21" s="270"/>
      <c r="I21" s="279"/>
      <c r="J21" s="269">
        <v>297039</v>
      </c>
      <c r="K21" s="269">
        <v>272740</v>
      </c>
      <c r="L21" s="280"/>
    </row>
    <row r="22" spans="1:12" ht="21" customHeight="1" hidden="1">
      <c r="A22" s="278"/>
      <c r="B22" s="270"/>
      <c r="C22" s="269"/>
      <c r="D22" s="270"/>
      <c r="E22" s="270" t="s">
        <v>259</v>
      </c>
      <c r="F22" s="270"/>
      <c r="G22" s="270"/>
      <c r="H22" s="270"/>
      <c r="I22" s="279"/>
      <c r="J22" s="303">
        <v>0</v>
      </c>
      <c r="K22" s="269" t="e">
        <v>#REF!</v>
      </c>
      <c r="L22" s="280"/>
    </row>
    <row r="23" spans="1:12" ht="21" customHeight="1">
      <c r="A23" s="278"/>
      <c r="B23" s="270"/>
      <c r="C23" s="269"/>
      <c r="D23" s="270"/>
      <c r="E23" s="270"/>
      <c r="F23" s="270"/>
      <c r="G23" s="270"/>
      <c r="H23" s="270"/>
      <c r="I23" s="263"/>
      <c r="J23" s="270"/>
      <c r="K23" s="270"/>
      <c r="L23" s="280"/>
    </row>
    <row r="24" spans="1:12" ht="21" customHeight="1">
      <c r="A24" s="278"/>
      <c r="B24" s="270" t="s">
        <v>238</v>
      </c>
      <c r="C24" s="269"/>
      <c r="D24" s="270" t="s">
        <v>154</v>
      </c>
      <c r="E24" s="270"/>
      <c r="F24" s="270"/>
      <c r="G24" s="270"/>
      <c r="H24" s="270"/>
      <c r="I24" s="263"/>
      <c r="J24" s="269">
        <v>235</v>
      </c>
      <c r="K24" s="269">
        <v>610</v>
      </c>
      <c r="L24" s="280"/>
    </row>
    <row r="25" spans="1:12" ht="21" customHeight="1">
      <c r="A25" s="278"/>
      <c r="B25" s="270"/>
      <c r="C25" s="269"/>
      <c r="D25" s="270"/>
      <c r="E25" s="270"/>
      <c r="F25" s="270"/>
      <c r="G25" s="270"/>
      <c r="H25" s="270"/>
      <c r="I25" s="263"/>
      <c r="J25" s="269"/>
      <c r="K25" s="269"/>
      <c r="L25" s="280"/>
    </row>
    <row r="26" spans="1:12" ht="21" customHeight="1">
      <c r="A26" s="278"/>
      <c r="B26" s="270" t="s">
        <v>155</v>
      </c>
      <c r="C26" s="269"/>
      <c r="D26" s="270" t="s">
        <v>156</v>
      </c>
      <c r="E26" s="270"/>
      <c r="F26" s="270"/>
      <c r="G26" s="270"/>
      <c r="H26" s="270"/>
      <c r="I26" s="263"/>
      <c r="J26" s="269">
        <v>-31275</v>
      </c>
      <c r="K26" s="269">
        <v>-43156</v>
      </c>
      <c r="L26" s="280"/>
    </row>
    <row r="27" spans="1:12" ht="21" customHeight="1">
      <c r="A27" s="278"/>
      <c r="B27" s="270"/>
      <c r="C27" s="269"/>
      <c r="D27" s="270"/>
      <c r="E27" s="270"/>
      <c r="F27" s="270"/>
      <c r="G27" s="270"/>
      <c r="H27" s="270"/>
      <c r="I27" s="263"/>
      <c r="J27" s="269"/>
      <c r="K27" s="269"/>
      <c r="L27" s="280"/>
    </row>
    <row r="28" spans="1:12" ht="21" customHeight="1">
      <c r="A28" s="278"/>
      <c r="B28" s="270" t="s">
        <v>255</v>
      </c>
      <c r="C28" s="269"/>
      <c r="D28" s="270" t="s">
        <v>257</v>
      </c>
      <c r="E28" s="270"/>
      <c r="F28" s="270"/>
      <c r="G28" s="270"/>
      <c r="H28" s="270"/>
      <c r="I28" s="263"/>
      <c r="J28" s="303">
        <v>0</v>
      </c>
      <c r="K28" s="269">
        <v>13133</v>
      </c>
      <c r="L28" s="280"/>
    </row>
    <row r="29" spans="1:12" ht="21" customHeight="1">
      <c r="A29" s="278"/>
      <c r="B29" s="270"/>
      <c r="C29" s="269"/>
      <c r="D29" s="270"/>
      <c r="E29" s="270"/>
      <c r="F29" s="270"/>
      <c r="G29" s="270"/>
      <c r="H29" s="270"/>
      <c r="I29" s="263"/>
      <c r="J29" s="269"/>
      <c r="K29" s="269"/>
      <c r="L29" s="280"/>
    </row>
    <row r="30" spans="1:12" ht="21" customHeight="1">
      <c r="A30" s="278"/>
      <c r="B30" s="270" t="s">
        <v>256</v>
      </c>
      <c r="C30" s="269"/>
      <c r="D30" s="270" t="s">
        <v>233</v>
      </c>
      <c r="E30" s="270"/>
      <c r="F30" s="270"/>
      <c r="G30" s="270"/>
      <c r="H30" s="270"/>
      <c r="I30" s="263"/>
      <c r="J30" s="269">
        <v>4349691</v>
      </c>
      <c r="K30" s="269">
        <v>5993072</v>
      </c>
      <c r="L30" s="280"/>
    </row>
    <row r="31" spans="1:12" ht="21" customHeight="1">
      <c r="A31" s="265"/>
      <c r="B31" s="304"/>
      <c r="C31" s="305"/>
      <c r="D31" s="304"/>
      <c r="E31" s="304"/>
      <c r="F31" s="304"/>
      <c r="G31" s="304"/>
      <c r="H31" s="304"/>
      <c r="I31" s="306"/>
      <c r="J31" s="304"/>
      <c r="K31" s="304"/>
      <c r="L31" s="307"/>
    </row>
  </sheetData>
  <sheetProtection/>
  <mergeCells count="2">
    <mergeCell ref="J3:K3"/>
    <mergeCell ref="B1:K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58"/>
  <sheetViews>
    <sheetView tabSelected="1" view="pageBreakPreview" zoomScaleSheetLayoutView="100" workbookViewId="0" topLeftCell="A1">
      <selection activeCell="L37" sqref="L37"/>
    </sheetView>
  </sheetViews>
  <sheetFormatPr defaultColWidth="9.00390625" defaultRowHeight="24.75" customHeight="1"/>
  <cols>
    <col min="1" max="6" width="2.625" style="272" customWidth="1"/>
    <col min="7" max="7" width="15.625" style="272" customWidth="1"/>
    <col min="8" max="8" width="12.625" style="272" customWidth="1"/>
    <col min="9" max="10" width="17.625" style="293" customWidth="1"/>
    <col min="11" max="11" width="2.625" style="272" customWidth="1"/>
    <col min="12" max="16384" width="9.00390625" style="272" customWidth="1"/>
  </cols>
  <sheetData>
    <row r="1" spans="2:10" s="294" customFormat="1" ht="24.75" customHeight="1">
      <c r="B1" s="371" t="s">
        <v>53</v>
      </c>
      <c r="C1" s="371"/>
      <c r="D1" s="371"/>
      <c r="E1" s="371"/>
      <c r="F1" s="371"/>
      <c r="G1" s="371"/>
      <c r="H1" s="371"/>
      <c r="I1" s="371"/>
      <c r="J1" s="370"/>
    </row>
    <row r="2" spans="2:10" ht="15.75" customHeight="1">
      <c r="B2" s="288"/>
      <c r="C2" s="288"/>
      <c r="D2" s="288"/>
      <c r="E2" s="288"/>
      <c r="F2" s="288"/>
      <c r="G2" s="288"/>
      <c r="H2" s="288"/>
      <c r="I2" s="288"/>
      <c r="J2" s="288"/>
    </row>
    <row r="3" spans="2:10" ht="12.75" customHeight="1">
      <c r="B3" s="295" t="s">
        <v>23</v>
      </c>
      <c r="C3" s="296"/>
      <c r="I3" s="272"/>
      <c r="J3" s="272"/>
    </row>
    <row r="4" spans="2:10" s="268" customFormat="1" ht="12.75" customHeight="1">
      <c r="B4" s="273"/>
      <c r="C4" s="273"/>
      <c r="D4" s="273"/>
      <c r="E4" s="273"/>
      <c r="F4" s="273"/>
      <c r="G4" s="273"/>
      <c r="H4" s="273"/>
      <c r="I4" s="273"/>
      <c r="J4" s="274" t="s">
        <v>149</v>
      </c>
    </row>
    <row r="5" spans="1:11" s="268" customFormat="1" ht="12.75" customHeight="1">
      <c r="A5" s="264"/>
      <c r="B5" s="275"/>
      <c r="C5" s="275"/>
      <c r="D5" s="275"/>
      <c r="E5" s="275"/>
      <c r="F5" s="275"/>
      <c r="G5" s="275"/>
      <c r="H5" s="275"/>
      <c r="I5" s="275"/>
      <c r="J5" s="276"/>
      <c r="K5" s="277"/>
    </row>
    <row r="6" spans="1:11" s="268" customFormat="1" ht="12.75" customHeight="1">
      <c r="A6" s="278"/>
      <c r="B6" s="279"/>
      <c r="C6" s="279"/>
      <c r="D6" s="279"/>
      <c r="E6" s="279"/>
      <c r="F6" s="279"/>
      <c r="G6" s="279"/>
      <c r="H6" s="279"/>
      <c r="I6" s="279" t="s">
        <v>195</v>
      </c>
      <c r="J6" s="279" t="s">
        <v>196</v>
      </c>
      <c r="K6" s="280"/>
    </row>
    <row r="7" spans="1:11" s="298" customFormat="1" ht="12">
      <c r="A7" s="278"/>
      <c r="B7" s="279"/>
      <c r="C7" s="279"/>
      <c r="D7" s="279"/>
      <c r="E7" s="279"/>
      <c r="F7" s="279"/>
      <c r="G7" s="279"/>
      <c r="H7" s="279"/>
      <c r="I7" s="355" t="s">
        <v>241</v>
      </c>
      <c r="J7" s="355" t="s">
        <v>251</v>
      </c>
      <c r="K7" s="280"/>
    </row>
    <row r="8" spans="1:11" s="298" customFormat="1" ht="12">
      <c r="A8" s="278"/>
      <c r="B8" s="279"/>
      <c r="C8" s="279"/>
      <c r="D8" s="279"/>
      <c r="E8" s="279"/>
      <c r="F8" s="279"/>
      <c r="G8" s="279"/>
      <c r="H8" s="279"/>
      <c r="I8" s="355" t="s">
        <v>244</v>
      </c>
      <c r="J8" s="355" t="s">
        <v>254</v>
      </c>
      <c r="K8" s="280"/>
    </row>
    <row r="9" spans="1:11" s="268" customFormat="1" ht="12.75" customHeight="1">
      <c r="A9" s="278"/>
      <c r="B9" s="279"/>
      <c r="C9" s="279"/>
      <c r="D9" s="279"/>
      <c r="E9" s="279"/>
      <c r="F9" s="279"/>
      <c r="G9" s="279"/>
      <c r="H9" s="279"/>
      <c r="I9" s="281"/>
      <c r="J9" s="281"/>
      <c r="K9" s="280"/>
    </row>
    <row r="10" spans="1:11" ht="13.5" customHeight="1">
      <c r="A10" s="282"/>
      <c r="B10" s="283" t="s">
        <v>237</v>
      </c>
      <c r="C10" s="283"/>
      <c r="D10" s="283" t="s">
        <v>54</v>
      </c>
      <c r="E10" s="283"/>
      <c r="F10" s="283"/>
      <c r="G10" s="283"/>
      <c r="H10" s="283"/>
      <c r="I10" s="284"/>
      <c r="J10" s="284"/>
      <c r="K10" s="285"/>
    </row>
    <row r="11" spans="1:11" ht="13.5" customHeight="1">
      <c r="A11" s="282"/>
      <c r="B11" s="283"/>
      <c r="C11" s="283">
        <v>1</v>
      </c>
      <c r="D11" s="283"/>
      <c r="E11" s="283" t="s">
        <v>153</v>
      </c>
      <c r="F11" s="283"/>
      <c r="G11" s="283"/>
      <c r="H11" s="283"/>
      <c r="I11" s="263"/>
      <c r="J11" s="263"/>
      <c r="K11" s="285"/>
    </row>
    <row r="12" spans="1:11" ht="13.5" customHeight="1">
      <c r="A12" s="282"/>
      <c r="B12" s="283"/>
      <c r="C12" s="283"/>
      <c r="D12" s="283"/>
      <c r="E12" s="283" t="s">
        <v>46</v>
      </c>
      <c r="F12" s="283"/>
      <c r="G12" s="283"/>
      <c r="H12" s="283"/>
      <c r="I12" s="263">
        <v>3982442</v>
      </c>
      <c r="J12" s="263">
        <v>4057629</v>
      </c>
      <c r="K12" s="285"/>
    </row>
    <row r="13" spans="1:11" ht="13.5" customHeight="1">
      <c r="A13" s="282"/>
      <c r="B13" s="283"/>
      <c r="C13" s="283"/>
      <c r="D13" s="283"/>
      <c r="E13" s="283" t="s">
        <v>171</v>
      </c>
      <c r="F13" s="283"/>
      <c r="G13" s="283"/>
      <c r="H13" s="283"/>
      <c r="I13" s="263">
        <v>108523</v>
      </c>
      <c r="J13" s="263">
        <v>118492</v>
      </c>
      <c r="K13" s="285"/>
    </row>
    <row r="14" spans="1:11" ht="13.5" customHeight="1">
      <c r="A14" s="282"/>
      <c r="B14" s="283"/>
      <c r="C14" s="283"/>
      <c r="D14" s="283"/>
      <c r="E14" s="283" t="s">
        <v>177</v>
      </c>
      <c r="F14" s="283"/>
      <c r="G14" s="283"/>
      <c r="H14" s="283"/>
      <c r="I14" s="263">
        <v>40311</v>
      </c>
      <c r="J14" s="263">
        <v>42373</v>
      </c>
      <c r="K14" s="285"/>
    </row>
    <row r="15" spans="1:11" ht="13.5" customHeight="1">
      <c r="A15" s="282"/>
      <c r="B15" s="283"/>
      <c r="C15" s="283"/>
      <c r="D15" s="283"/>
      <c r="E15" s="283" t="s">
        <v>57</v>
      </c>
      <c r="F15" s="283"/>
      <c r="G15" s="283"/>
      <c r="H15" s="283"/>
      <c r="I15" s="263">
        <v>348319</v>
      </c>
      <c r="J15" s="263">
        <v>198031</v>
      </c>
      <c r="K15" s="285"/>
    </row>
    <row r="16" spans="1:11" ht="13.5" customHeight="1">
      <c r="A16" s="282"/>
      <c r="B16" s="283"/>
      <c r="C16" s="283"/>
      <c r="D16" s="283"/>
      <c r="E16" s="283" t="s">
        <v>59</v>
      </c>
      <c r="F16" s="283"/>
      <c r="G16" s="283"/>
      <c r="H16" s="283"/>
      <c r="I16" s="263">
        <v>369811</v>
      </c>
      <c r="J16" s="263">
        <v>443536</v>
      </c>
      <c r="K16" s="285"/>
    </row>
    <row r="17" spans="1:11" ht="13.5" customHeight="1">
      <c r="A17" s="282"/>
      <c r="B17" s="283"/>
      <c r="C17" s="283"/>
      <c r="D17" s="283"/>
      <c r="E17" s="283" t="s">
        <v>157</v>
      </c>
      <c r="F17" s="283"/>
      <c r="G17" s="283"/>
      <c r="H17" s="283"/>
      <c r="I17" s="263">
        <v>4849409</v>
      </c>
      <c r="J17" s="263">
        <v>4860063</v>
      </c>
      <c r="K17" s="285"/>
    </row>
    <row r="18" spans="1:11" ht="13.5" customHeight="1">
      <c r="A18" s="282"/>
      <c r="B18" s="283"/>
      <c r="C18" s="283"/>
      <c r="D18" s="283"/>
      <c r="E18" s="283"/>
      <c r="F18" s="283"/>
      <c r="G18" s="283"/>
      <c r="H18" s="283"/>
      <c r="I18" s="263"/>
      <c r="J18" s="263"/>
      <c r="K18" s="285"/>
    </row>
    <row r="19" spans="1:11" ht="13.5" customHeight="1">
      <c r="A19" s="282"/>
      <c r="B19" s="283"/>
      <c r="C19" s="283">
        <v>2</v>
      </c>
      <c r="D19" s="283"/>
      <c r="E19" s="283" t="s">
        <v>158</v>
      </c>
      <c r="F19" s="283"/>
      <c r="G19" s="283"/>
      <c r="H19" s="283"/>
      <c r="I19" s="284"/>
      <c r="J19" s="284"/>
      <c r="K19" s="285"/>
    </row>
    <row r="20" spans="1:11" ht="13.5" customHeight="1">
      <c r="A20" s="282"/>
      <c r="B20" s="283"/>
      <c r="C20" s="283"/>
      <c r="D20" s="286" t="s">
        <v>192</v>
      </c>
      <c r="E20" s="283"/>
      <c r="F20" s="283" t="s">
        <v>193</v>
      </c>
      <c r="G20" s="283"/>
      <c r="H20" s="283"/>
      <c r="I20" s="284"/>
      <c r="J20" s="284"/>
      <c r="K20" s="285"/>
    </row>
    <row r="21" spans="1:11" ht="13.5" customHeight="1">
      <c r="A21" s="282"/>
      <c r="B21" s="283"/>
      <c r="C21" s="283"/>
      <c r="D21" s="283"/>
      <c r="E21" s="283"/>
      <c r="F21" s="283" t="s">
        <v>36</v>
      </c>
      <c r="G21" s="283"/>
      <c r="H21" s="283"/>
      <c r="I21" s="263">
        <v>-85287</v>
      </c>
      <c r="J21" s="263">
        <v>-83758</v>
      </c>
      <c r="K21" s="285"/>
    </row>
    <row r="22" spans="1:11" ht="13.5" customHeight="1">
      <c r="A22" s="282"/>
      <c r="B22" s="283"/>
      <c r="C22" s="283"/>
      <c r="D22" s="283"/>
      <c r="E22" s="283"/>
      <c r="F22" s="283" t="s">
        <v>165</v>
      </c>
      <c r="G22" s="283"/>
      <c r="H22" s="283"/>
      <c r="I22" s="263">
        <v>-772303</v>
      </c>
      <c r="J22" s="263">
        <v>-780587</v>
      </c>
      <c r="K22" s="285"/>
    </row>
    <row r="23" spans="1:11" ht="13.5" customHeight="1">
      <c r="A23" s="282"/>
      <c r="B23" s="283"/>
      <c r="C23" s="283"/>
      <c r="D23" s="283"/>
      <c r="E23" s="283"/>
      <c r="F23" s="283" t="s">
        <v>166</v>
      </c>
      <c r="G23" s="283"/>
      <c r="H23" s="283"/>
      <c r="I23" s="263">
        <v>-119024</v>
      </c>
      <c r="J23" s="263">
        <v>-121153</v>
      </c>
      <c r="K23" s="285"/>
    </row>
    <row r="24" spans="1:11" ht="13.5" customHeight="1">
      <c r="A24" s="282"/>
      <c r="B24" s="283"/>
      <c r="C24" s="283"/>
      <c r="D24" s="283"/>
      <c r="E24" s="283"/>
      <c r="F24" s="283" t="s">
        <v>170</v>
      </c>
      <c r="G24" s="283"/>
      <c r="H24" s="283"/>
      <c r="I24" s="263">
        <v>-1377171</v>
      </c>
      <c r="J24" s="263">
        <v>-1280278</v>
      </c>
      <c r="K24" s="285"/>
    </row>
    <row r="25" spans="1:11" ht="13.5" customHeight="1">
      <c r="A25" s="282"/>
      <c r="B25" s="283"/>
      <c r="C25" s="283"/>
      <c r="D25" s="283"/>
      <c r="E25" s="283"/>
      <c r="F25" s="283" t="s">
        <v>187</v>
      </c>
      <c r="G25" s="283"/>
      <c r="H25" s="283"/>
      <c r="I25" s="263">
        <v>-55521</v>
      </c>
      <c r="J25" s="263">
        <v>-53941</v>
      </c>
      <c r="K25" s="285"/>
    </row>
    <row r="26" spans="1:11" ht="13.5" customHeight="1">
      <c r="A26" s="282"/>
      <c r="B26" s="283"/>
      <c r="C26" s="283"/>
      <c r="D26" s="283"/>
      <c r="E26" s="283"/>
      <c r="F26" s="283" t="s">
        <v>176</v>
      </c>
      <c r="G26" s="283"/>
      <c r="H26" s="283"/>
      <c r="I26" s="263">
        <v>-54879</v>
      </c>
      <c r="J26" s="263">
        <v>-50377</v>
      </c>
      <c r="K26" s="285"/>
    </row>
    <row r="27" spans="1:11" ht="13.5" customHeight="1">
      <c r="A27" s="282"/>
      <c r="B27" s="283"/>
      <c r="C27" s="283"/>
      <c r="D27" s="283"/>
      <c r="E27" s="283"/>
      <c r="F27" s="283" t="s">
        <v>73</v>
      </c>
      <c r="G27" s="283"/>
      <c r="H27" s="283"/>
      <c r="I27" s="263">
        <v>-181514</v>
      </c>
      <c r="J27" s="263">
        <v>-176141</v>
      </c>
      <c r="K27" s="285"/>
    </row>
    <row r="28" spans="1:11" ht="13.5" customHeight="1">
      <c r="A28" s="282"/>
      <c r="B28" s="283"/>
      <c r="C28" s="283"/>
      <c r="D28" s="283"/>
      <c r="E28" s="283"/>
      <c r="F28" s="283" t="s">
        <v>39</v>
      </c>
      <c r="G28" s="283"/>
      <c r="H28" s="283"/>
      <c r="I28" s="263">
        <v>-52592</v>
      </c>
      <c r="J28" s="263">
        <v>-51220</v>
      </c>
      <c r="K28" s="285"/>
    </row>
    <row r="29" spans="1:11" ht="13.5" customHeight="1">
      <c r="A29" s="282"/>
      <c r="B29" s="283"/>
      <c r="C29" s="283"/>
      <c r="D29" s="283"/>
      <c r="E29" s="283"/>
      <c r="F29" s="283" t="s">
        <v>188</v>
      </c>
      <c r="G29" s="283"/>
      <c r="H29" s="283"/>
      <c r="I29" s="263">
        <v>-15</v>
      </c>
      <c r="J29" s="263">
        <v>-16</v>
      </c>
      <c r="K29" s="285"/>
    </row>
    <row r="30" spans="1:11" ht="13.5" customHeight="1">
      <c r="A30" s="282"/>
      <c r="B30" s="283"/>
      <c r="C30" s="283"/>
      <c r="D30" s="283"/>
      <c r="E30" s="283"/>
      <c r="F30" s="283" t="s">
        <v>189</v>
      </c>
      <c r="G30" s="283"/>
      <c r="H30" s="283"/>
      <c r="I30" s="263">
        <v>-124506</v>
      </c>
      <c r="J30" s="263">
        <v>-119607</v>
      </c>
      <c r="K30" s="285"/>
    </row>
    <row r="31" spans="1:11" ht="13.5" customHeight="1">
      <c r="A31" s="282"/>
      <c r="B31" s="283"/>
      <c r="C31" s="283"/>
      <c r="D31" s="283"/>
      <c r="E31" s="283"/>
      <c r="F31" s="283" t="s">
        <v>190</v>
      </c>
      <c r="G31" s="283"/>
      <c r="H31" s="283"/>
      <c r="I31" s="263">
        <v>-107</v>
      </c>
      <c r="J31" s="263">
        <v>-104</v>
      </c>
      <c r="K31" s="285"/>
    </row>
    <row r="32" spans="1:11" ht="13.5" customHeight="1">
      <c r="A32" s="282"/>
      <c r="B32" s="283"/>
      <c r="C32" s="283"/>
      <c r="D32" s="283"/>
      <c r="E32" s="283"/>
      <c r="F32" s="283" t="s">
        <v>231</v>
      </c>
      <c r="G32" s="283"/>
      <c r="H32" s="283"/>
      <c r="I32" s="263">
        <v>-359</v>
      </c>
      <c r="J32" s="263">
        <v>-344</v>
      </c>
      <c r="K32" s="285"/>
    </row>
    <row r="33" spans="1:11" ht="13.5" customHeight="1">
      <c r="A33" s="282"/>
      <c r="B33" s="283"/>
      <c r="C33" s="283"/>
      <c r="D33" s="283"/>
      <c r="E33" s="283"/>
      <c r="F33" s="283" t="s">
        <v>175</v>
      </c>
      <c r="G33" s="283"/>
      <c r="H33" s="283"/>
      <c r="I33" s="263">
        <v>-105807</v>
      </c>
      <c r="J33" s="263">
        <v>-102726</v>
      </c>
      <c r="K33" s="285"/>
    </row>
    <row r="34" spans="1:11" ht="13.5" customHeight="1">
      <c r="A34" s="282"/>
      <c r="B34" s="283"/>
      <c r="C34" s="283"/>
      <c r="D34" s="283"/>
      <c r="E34" s="283"/>
      <c r="F34" s="283" t="s">
        <v>159</v>
      </c>
      <c r="G34" s="283"/>
      <c r="H34" s="283"/>
      <c r="I34" s="263">
        <v>-40619</v>
      </c>
      <c r="J34" s="263">
        <v>-38741</v>
      </c>
      <c r="K34" s="285"/>
    </row>
    <row r="35" spans="1:11" ht="13.5" customHeight="1">
      <c r="A35" s="282"/>
      <c r="B35" s="283"/>
      <c r="C35" s="283"/>
      <c r="D35" s="283"/>
      <c r="E35" s="283"/>
      <c r="F35" s="283" t="s">
        <v>246</v>
      </c>
      <c r="G35" s="283"/>
      <c r="H35" s="283"/>
      <c r="I35" s="263">
        <v>-2969712</v>
      </c>
      <c r="J35" s="263">
        <v>-2859000</v>
      </c>
      <c r="K35" s="285"/>
    </row>
    <row r="36" spans="1:11" ht="13.5" customHeight="1">
      <c r="A36" s="282"/>
      <c r="B36" s="283"/>
      <c r="C36" s="283"/>
      <c r="D36" s="283"/>
      <c r="E36" s="283"/>
      <c r="F36" s="283"/>
      <c r="G36" s="283"/>
      <c r="H36" s="283"/>
      <c r="I36" s="263"/>
      <c r="J36" s="263"/>
      <c r="K36" s="285"/>
    </row>
    <row r="37" spans="1:11" ht="13.5" customHeight="1">
      <c r="A37" s="282"/>
      <c r="B37" s="283"/>
      <c r="C37" s="283"/>
      <c r="D37" s="286" t="s">
        <v>194</v>
      </c>
      <c r="E37" s="283"/>
      <c r="F37" s="283" t="s">
        <v>160</v>
      </c>
      <c r="G37" s="283"/>
      <c r="H37" s="283"/>
      <c r="I37" s="284"/>
      <c r="J37" s="284"/>
      <c r="K37" s="285"/>
    </row>
    <row r="38" spans="1:11" ht="13.5" customHeight="1">
      <c r="A38" s="282"/>
      <c r="B38" s="283"/>
      <c r="C38" s="283"/>
      <c r="D38" s="286"/>
      <c r="E38" s="283"/>
      <c r="F38" s="283" t="s">
        <v>179</v>
      </c>
      <c r="G38" s="283"/>
      <c r="H38" s="283"/>
      <c r="I38" s="284">
        <v>-523</v>
      </c>
      <c r="J38" s="360" t="s">
        <v>258</v>
      </c>
      <c r="K38" s="285"/>
    </row>
    <row r="39" spans="1:11" ht="13.5" customHeight="1">
      <c r="A39" s="282"/>
      <c r="B39" s="283"/>
      <c r="C39" s="283"/>
      <c r="D39" s="286"/>
      <c r="E39" s="283"/>
      <c r="F39" s="283" t="s">
        <v>198</v>
      </c>
      <c r="G39" s="283"/>
      <c r="H39" s="283"/>
      <c r="I39" s="284">
        <v>-5</v>
      </c>
      <c r="J39" s="263">
        <v>-2</v>
      </c>
      <c r="K39" s="285"/>
    </row>
    <row r="40" spans="1:11" ht="13.5" customHeight="1">
      <c r="A40" s="282"/>
      <c r="B40" s="283"/>
      <c r="C40" s="283"/>
      <c r="D40" s="286"/>
      <c r="E40" s="283"/>
      <c r="F40" s="283" t="s">
        <v>172</v>
      </c>
      <c r="G40" s="283"/>
      <c r="H40" s="283"/>
      <c r="I40" s="284">
        <v>-395</v>
      </c>
      <c r="J40" s="263">
        <v>-1394</v>
      </c>
      <c r="K40" s="285"/>
    </row>
    <row r="41" spans="1:11" ht="13.5" customHeight="1">
      <c r="A41" s="282"/>
      <c r="B41" s="283"/>
      <c r="C41" s="283"/>
      <c r="D41" s="286"/>
      <c r="E41" s="283"/>
      <c r="F41" s="283" t="s">
        <v>173</v>
      </c>
      <c r="G41" s="283"/>
      <c r="H41" s="283"/>
      <c r="I41" s="284">
        <v>-478</v>
      </c>
      <c r="J41" s="263">
        <v>-1395</v>
      </c>
      <c r="K41" s="285"/>
    </row>
    <row r="42" spans="1:11" ht="13.5" customHeight="1">
      <c r="A42" s="282"/>
      <c r="B42" s="283"/>
      <c r="C42" s="283"/>
      <c r="D42" s="286"/>
      <c r="E42" s="283"/>
      <c r="F42" s="283" t="s">
        <v>174</v>
      </c>
      <c r="G42" s="283"/>
      <c r="H42" s="283"/>
      <c r="I42" s="284">
        <v>-720</v>
      </c>
      <c r="J42" s="263">
        <v>-1679</v>
      </c>
      <c r="K42" s="285"/>
    </row>
    <row r="43" spans="1:11" ht="13.5" customHeight="1">
      <c r="A43" s="282"/>
      <c r="B43" s="283"/>
      <c r="C43" s="283"/>
      <c r="D43" s="286"/>
      <c r="E43" s="283"/>
      <c r="F43" s="283" t="s">
        <v>161</v>
      </c>
      <c r="G43" s="283"/>
      <c r="H43" s="283"/>
      <c r="I43" s="284">
        <v>-2122</v>
      </c>
      <c r="J43" s="263">
        <v>-4471</v>
      </c>
      <c r="K43" s="285"/>
    </row>
    <row r="44" spans="1:11" ht="13.5" customHeight="1">
      <c r="A44" s="282"/>
      <c r="B44" s="283"/>
      <c r="C44" s="283"/>
      <c r="D44" s="286"/>
      <c r="E44" s="283"/>
      <c r="F44" s="283"/>
      <c r="G44" s="283"/>
      <c r="H44" s="283"/>
      <c r="I44" s="287"/>
      <c r="J44" s="287"/>
      <c r="K44" s="285"/>
    </row>
    <row r="45" spans="1:11" ht="13.5" customHeight="1">
      <c r="A45" s="282"/>
      <c r="B45" s="283"/>
      <c r="C45" s="283"/>
      <c r="D45" s="286"/>
      <c r="E45" s="283" t="s">
        <v>162</v>
      </c>
      <c r="F45" s="283"/>
      <c r="G45" s="283"/>
      <c r="H45" s="283"/>
      <c r="I45" s="284">
        <v>-2971835</v>
      </c>
      <c r="J45" s="263">
        <v>-2863472</v>
      </c>
      <c r="K45" s="285"/>
    </row>
    <row r="46" spans="1:11" ht="13.5" customHeight="1">
      <c r="A46" s="282"/>
      <c r="B46" s="283"/>
      <c r="C46" s="283"/>
      <c r="D46" s="283"/>
      <c r="E46" s="283"/>
      <c r="F46" s="283"/>
      <c r="G46" s="283"/>
      <c r="H46" s="283"/>
      <c r="I46" s="284"/>
      <c r="J46" s="284"/>
      <c r="K46" s="285"/>
    </row>
    <row r="47" spans="1:11" ht="13.5" customHeight="1">
      <c r="A47" s="282"/>
      <c r="B47" s="283"/>
      <c r="C47" s="283"/>
      <c r="D47" s="283" t="s">
        <v>54</v>
      </c>
      <c r="E47" s="283"/>
      <c r="F47" s="283"/>
      <c r="G47" s="283"/>
      <c r="H47" s="283"/>
      <c r="I47" s="284">
        <v>1877573</v>
      </c>
      <c r="J47" s="263">
        <v>1996591</v>
      </c>
      <c r="K47" s="285"/>
    </row>
    <row r="48" spans="1:11" ht="13.5" customHeight="1">
      <c r="A48" s="282"/>
      <c r="B48" s="283"/>
      <c r="C48" s="283"/>
      <c r="D48" s="283"/>
      <c r="E48" s="283"/>
      <c r="F48" s="283"/>
      <c r="G48" s="283"/>
      <c r="H48" s="283"/>
      <c r="I48" s="284"/>
      <c r="J48" s="284"/>
      <c r="K48" s="285"/>
    </row>
    <row r="49" spans="1:11" ht="13.5" customHeight="1">
      <c r="A49" s="282"/>
      <c r="B49" s="283" t="s">
        <v>245</v>
      </c>
      <c r="C49" s="283" t="s">
        <v>134</v>
      </c>
      <c r="D49" s="283"/>
      <c r="E49" s="283"/>
      <c r="F49" s="283"/>
      <c r="G49" s="283"/>
      <c r="H49" s="283"/>
      <c r="I49" s="284">
        <v>1877573</v>
      </c>
      <c r="J49" s="263">
        <v>1996591</v>
      </c>
      <c r="K49" s="285"/>
    </row>
    <row r="50" spans="1:11" ht="13.5" customHeight="1">
      <c r="A50" s="282"/>
      <c r="B50" s="283"/>
      <c r="C50" s="283"/>
      <c r="D50" s="283"/>
      <c r="E50" s="283"/>
      <c r="F50" s="283"/>
      <c r="G50" s="283"/>
      <c r="H50" s="283"/>
      <c r="I50" s="284"/>
      <c r="J50" s="284"/>
      <c r="K50" s="285"/>
    </row>
    <row r="51" spans="1:11" ht="13.5" customHeight="1">
      <c r="A51" s="282"/>
      <c r="B51" s="283"/>
      <c r="C51" s="283"/>
      <c r="D51" s="283" t="s">
        <v>180</v>
      </c>
      <c r="E51" s="283"/>
      <c r="F51" s="283"/>
      <c r="G51" s="283"/>
      <c r="H51" s="283"/>
      <c r="I51" s="284">
        <v>-1434036</v>
      </c>
      <c r="J51" s="263">
        <v>-1580215</v>
      </c>
      <c r="K51" s="285"/>
    </row>
    <row r="52" spans="1:11" ht="13.5" customHeight="1">
      <c r="A52" s="282"/>
      <c r="B52" s="283"/>
      <c r="C52" s="283"/>
      <c r="D52" s="283"/>
      <c r="E52" s="283"/>
      <c r="F52" s="283"/>
      <c r="G52" s="283"/>
      <c r="H52" s="283"/>
      <c r="I52" s="284" t="s">
        <v>239</v>
      </c>
      <c r="J52" s="284" t="s">
        <v>239</v>
      </c>
      <c r="K52" s="285"/>
    </row>
    <row r="53" spans="1:11" ht="13.5" customHeight="1">
      <c r="A53" s="282"/>
      <c r="B53" s="283"/>
      <c r="C53" s="283" t="s">
        <v>66</v>
      </c>
      <c r="D53" s="283"/>
      <c r="E53" s="283"/>
      <c r="F53" s="283"/>
      <c r="G53" s="283"/>
      <c r="H53" s="283"/>
      <c r="I53" s="284">
        <v>443536</v>
      </c>
      <c r="J53" s="263">
        <v>416376</v>
      </c>
      <c r="K53" s="285"/>
    </row>
    <row r="54" spans="1:11" ht="13.5" customHeight="1">
      <c r="A54" s="282"/>
      <c r="B54" s="283"/>
      <c r="C54" s="283"/>
      <c r="D54" s="283"/>
      <c r="E54" s="283"/>
      <c r="F54" s="283"/>
      <c r="G54" s="283"/>
      <c r="H54" s="283"/>
      <c r="I54" s="284" t="s">
        <v>240</v>
      </c>
      <c r="J54" s="284" t="s">
        <v>240</v>
      </c>
      <c r="K54" s="285"/>
    </row>
    <row r="55" spans="1:11" ht="13.5" customHeight="1">
      <c r="A55" s="282"/>
      <c r="B55" s="283"/>
      <c r="C55" s="283"/>
      <c r="D55" s="283" t="s">
        <v>163</v>
      </c>
      <c r="E55" s="283"/>
      <c r="F55" s="283"/>
      <c r="G55" s="283"/>
      <c r="H55" s="283"/>
      <c r="I55" s="284">
        <v>11266768</v>
      </c>
      <c r="J55" s="263">
        <v>12846983</v>
      </c>
      <c r="K55" s="285"/>
    </row>
    <row r="56" spans="1:11" ht="13.5" customHeight="1">
      <c r="A56" s="282"/>
      <c r="B56" s="283"/>
      <c r="C56" s="283"/>
      <c r="D56" s="283"/>
      <c r="E56" s="283"/>
      <c r="F56" s="283"/>
      <c r="G56" s="283"/>
      <c r="H56" s="283"/>
      <c r="I56" s="284" t="s">
        <v>239</v>
      </c>
      <c r="J56" s="284" t="s">
        <v>239</v>
      </c>
      <c r="K56" s="285"/>
    </row>
    <row r="57" spans="1:11" ht="13.5" customHeight="1">
      <c r="A57" s="282"/>
      <c r="B57" s="283"/>
      <c r="C57" s="283" t="s">
        <v>164</v>
      </c>
      <c r="D57" s="283"/>
      <c r="E57" s="283"/>
      <c r="F57" s="283"/>
      <c r="G57" s="283"/>
      <c r="H57" s="283"/>
      <c r="I57" s="284">
        <v>11710305</v>
      </c>
      <c r="J57" s="263">
        <v>13263360</v>
      </c>
      <c r="K57" s="285"/>
    </row>
    <row r="58" spans="1:11" ht="13.5" customHeight="1">
      <c r="A58" s="289"/>
      <c r="B58" s="290"/>
      <c r="C58" s="290"/>
      <c r="D58" s="290"/>
      <c r="E58" s="290"/>
      <c r="F58" s="290"/>
      <c r="G58" s="290"/>
      <c r="H58" s="290"/>
      <c r="I58" s="291"/>
      <c r="J58" s="291"/>
      <c r="K58" s="292"/>
    </row>
  </sheetData>
  <sheetProtection/>
  <mergeCells count="1">
    <mergeCell ref="B1:J1"/>
  </mergeCells>
  <printOptions/>
  <pageMargins left="0.984251968503937" right="0.7874015748031497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2008-03-12T10:51:18Z</cp:lastPrinted>
  <dcterms:created xsi:type="dcterms:W3CDTF">2003-06-25T08:18:33Z</dcterms:created>
  <dcterms:modified xsi:type="dcterms:W3CDTF">2008-03-21T02:13:59Z</dcterms:modified>
  <cp:category/>
  <cp:version/>
  <cp:contentType/>
  <cp:contentStatus/>
</cp:coreProperties>
</file>