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635" yWindow="495" windowWidth="6870" windowHeight="7620" tabRatio="834"/>
  </bookViews>
  <sheets>
    <sheet name="【年金全体】" sheetId="55" r:id="rId1"/>
    <sheet name="⇒厚年国年" sheetId="94" r:id="rId2"/>
    <sheet name="【国民年金】" sheetId="29" r:id="rId3"/>
    <sheet name="国民年金" sheetId="98" r:id="rId4"/>
    <sheet name="【厚生年金】" sheetId="31" r:id="rId5"/>
    <sheet name="厚生年金" sheetId="99" r:id="rId6"/>
    <sheet name="人口等補正" sheetId="44" r:id="rId7"/>
    <sheet name="厚年比例の計算" sheetId="22" r:id="rId8"/>
    <sheet name="厚年定額の計算" sheetId="23" r:id="rId9"/>
    <sheet name="基礎年金拠出金の計算" sheetId="24" r:id="rId10"/>
    <sheet name="経済前提" sheetId="25" r:id="rId11"/>
    <sheet name="マクロ経済スライド" sheetId="45" r:id="rId12"/>
    <sheet name="⇒三共済・旧３公社等" sheetId="61" r:id="rId13"/>
    <sheet name="【三共済旧３公社等】" sheetId="58" r:id="rId14"/>
    <sheet name="共済" sheetId="66" r:id="rId15"/>
    <sheet name="⇒年金生活者支援給付金" sheetId="82" r:id="rId16"/>
    <sheet name="【年金生活者支援給付金】" sheetId="72" r:id="rId17"/>
    <sheet name="⇒恩給" sheetId="81" r:id="rId18"/>
    <sheet name="【恩給】" sheetId="77" r:id="rId19"/>
    <sheet name="⇒その他" sheetId="211" r:id="rId20"/>
    <sheet name="【その他（恩給を除く）】" sheetId="56" r:id="rId21"/>
  </sheets>
  <definedNames>
    <definedName name="__123Graph_B" localSheetId="20" hidden="1">#REF!</definedName>
    <definedName name="__123Graph_B" localSheetId="18" hidden="1">#REF!</definedName>
    <definedName name="__123Graph_B" localSheetId="19" hidden="1">#REF!</definedName>
    <definedName name="__123Graph_B" localSheetId="1" hidden="1">#REF!</definedName>
    <definedName name="__123Graph_B" localSheetId="5" hidden="1">#REF!</definedName>
    <definedName name="__123Graph_B" localSheetId="3" hidden="1">#REF!</definedName>
    <definedName name="__123Graph_B" hidden="1">#REF!</definedName>
    <definedName name="__123Graph_X" localSheetId="20" hidden="1">#REF!</definedName>
    <definedName name="__123Graph_X" localSheetId="18" hidden="1">#REF!</definedName>
    <definedName name="__123Graph_X" localSheetId="19" hidden="1">#REF!</definedName>
    <definedName name="__123Graph_X" localSheetId="1" hidden="1">#REF!</definedName>
    <definedName name="__123Graph_X" localSheetId="5" hidden="1">#REF!</definedName>
    <definedName name="__123Graph_X" localSheetId="3" hidden="1">#REF!</definedName>
    <definedName name="__123Graph_X" hidden="1">#REF!</definedName>
    <definedName name="_Fill" localSheetId="20" hidden="1">#REF!</definedName>
    <definedName name="_Fill" localSheetId="18" hidden="1">#REF!</definedName>
    <definedName name="_Fill" localSheetId="19" hidden="1">#REF!</definedName>
    <definedName name="_Fill" localSheetId="1" hidden="1">#REF!</definedName>
    <definedName name="_Fill" localSheetId="5" hidden="1">#REF!</definedName>
    <definedName name="_Fill" localSheetId="3" hidden="1">#REF!</definedName>
    <definedName name="_Fill" hidden="1">#REF!</definedName>
    <definedName name="_Order1" hidden="1">255</definedName>
  </definedNames>
  <calcPr calcId="145621"/>
</workbook>
</file>

<file path=xl/calcChain.xml><?xml version="1.0" encoding="utf-8"?>
<calcChain xmlns="http://schemas.openxmlformats.org/spreadsheetml/2006/main">
  <c r="N5" i="98" l="1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B35" i="66"/>
  <c r="B36" i="66"/>
  <c r="B37" i="66"/>
  <c r="B38" i="66"/>
  <c r="B39" i="66"/>
  <c r="B40" i="66"/>
  <c r="B41" i="66"/>
  <c r="B42" i="66"/>
  <c r="B43" i="66"/>
  <c r="B44" i="66"/>
  <c r="B45" i="66"/>
  <c r="B46" i="66"/>
  <c r="B47" i="66"/>
  <c r="B48" i="66"/>
  <c r="B49" i="66"/>
  <c r="B50" i="66"/>
  <c r="B51" i="66"/>
  <c r="B52" i="66"/>
  <c r="B53" i="66"/>
  <c r="B54" i="66"/>
  <c r="B55" i="66"/>
  <c r="B34" i="66"/>
  <c r="AC5" i="66"/>
  <c r="AD5" i="66"/>
  <c r="AB5" i="66"/>
  <c r="AA5" i="66"/>
  <c r="Z5" i="66"/>
  <c r="U6" i="66"/>
  <c r="U7" i="66"/>
  <c r="U8" i="66"/>
  <c r="U9" i="66"/>
  <c r="U10" i="66"/>
  <c r="U11" i="66"/>
  <c r="U12" i="66"/>
  <c r="U13" i="66"/>
  <c r="U14" i="66"/>
  <c r="U15" i="66"/>
  <c r="U16" i="66"/>
  <c r="U17" i="66"/>
  <c r="U18" i="66"/>
  <c r="U19" i="66"/>
  <c r="U20" i="66"/>
  <c r="U21" i="66"/>
  <c r="U22" i="66"/>
  <c r="U23" i="66"/>
  <c r="U24" i="66"/>
  <c r="U25" i="66"/>
  <c r="U26" i="66"/>
  <c r="U27" i="66"/>
  <c r="V5" i="66"/>
  <c r="W5" i="66"/>
  <c r="X5" i="66"/>
  <c r="U5" i="66"/>
  <c r="F5" i="55" l="1"/>
  <c r="E5" i="55"/>
  <c r="C5" i="58"/>
  <c r="C5" i="55" s="1"/>
  <c r="C52" i="98" l="1"/>
  <c r="G52" i="98"/>
  <c r="F52" i="98" s="1"/>
  <c r="H52" i="98"/>
  <c r="C53" i="98"/>
  <c r="G53" i="98"/>
  <c r="H53" i="98"/>
  <c r="C54" i="98"/>
  <c r="G54" i="98"/>
  <c r="H54" i="98"/>
  <c r="C55" i="98"/>
  <c r="G55" i="98"/>
  <c r="H55" i="98"/>
  <c r="B22" i="44"/>
  <c r="B23" i="44"/>
  <c r="C17" i="99" s="1"/>
  <c r="B24" i="44"/>
  <c r="B25" i="44"/>
  <c r="B26" i="44"/>
  <c r="B27" i="44"/>
  <c r="C21" i="99" s="1"/>
  <c r="B28" i="44"/>
  <c r="B29" i="44"/>
  <c r="B30" i="44"/>
  <c r="B31" i="44"/>
  <c r="C25" i="99" s="1"/>
  <c r="B32" i="44"/>
  <c r="B33" i="44"/>
  <c r="B21" i="44"/>
  <c r="C15" i="99" s="1"/>
  <c r="C7" i="99"/>
  <c r="C8" i="99"/>
  <c r="C9" i="99"/>
  <c r="C10" i="99"/>
  <c r="C11" i="99"/>
  <c r="C12" i="99"/>
  <c r="C13" i="99"/>
  <c r="C14" i="99"/>
  <c r="C16" i="99"/>
  <c r="C18" i="99"/>
  <c r="C19" i="99"/>
  <c r="C20" i="99"/>
  <c r="C22" i="99"/>
  <c r="C23" i="99"/>
  <c r="C24" i="99"/>
  <c r="C26" i="99"/>
  <c r="C27" i="99"/>
  <c r="B13" i="44"/>
  <c r="B14" i="44"/>
  <c r="B15" i="44"/>
  <c r="B16" i="44"/>
  <c r="B17" i="44"/>
  <c r="B18" i="44"/>
  <c r="B19" i="44"/>
  <c r="B20" i="44"/>
  <c r="B12" i="44"/>
  <c r="C6" i="99"/>
  <c r="B11" i="44"/>
  <c r="C11" i="44"/>
  <c r="U8" i="44"/>
  <c r="AA8" i="44" s="1"/>
  <c r="T7" i="44"/>
  <c r="T9" i="44" s="1"/>
  <c r="S7" i="44"/>
  <c r="S9" i="44" s="1"/>
  <c r="T5" i="44"/>
  <c r="S5" i="44"/>
  <c r="U5" i="44" s="1"/>
  <c r="AA5" i="44" s="1"/>
  <c r="U4" i="44"/>
  <c r="AA4" i="44" s="1"/>
  <c r="F5" i="31"/>
  <c r="F54" i="98" l="1"/>
  <c r="F53" i="98"/>
  <c r="F55" i="98"/>
  <c r="U9" i="44"/>
  <c r="AA9" i="44" s="1"/>
  <c r="U7" i="44"/>
  <c r="AA7" i="44" s="1"/>
  <c r="AA10" i="44" s="1"/>
  <c r="AC10" i="44" s="1"/>
  <c r="U10" i="44"/>
  <c r="E5" i="31" l="1"/>
  <c r="D5" i="31"/>
  <c r="C5" i="31"/>
  <c r="C5" i="29"/>
  <c r="I7" i="98"/>
  <c r="I8" i="98"/>
  <c r="I9" i="98"/>
  <c r="I10" i="98"/>
  <c r="I11" i="98"/>
  <c r="I12" i="98"/>
  <c r="I13" i="98"/>
  <c r="I14" i="98"/>
  <c r="I15" i="98"/>
  <c r="I16" i="98"/>
  <c r="I17" i="98"/>
  <c r="I18" i="98"/>
  <c r="I19" i="98"/>
  <c r="I20" i="98"/>
  <c r="I21" i="98"/>
  <c r="I22" i="98"/>
  <c r="I23" i="98"/>
  <c r="I24" i="98"/>
  <c r="I25" i="98"/>
  <c r="I26" i="98"/>
  <c r="I27" i="98"/>
  <c r="I6" i="98"/>
  <c r="G6" i="77" l="1"/>
  <c r="O5" i="66"/>
  <c r="P5" i="66"/>
  <c r="Q5" i="66"/>
  <c r="R5" i="66"/>
  <c r="O6" i="66"/>
  <c r="P6" i="66"/>
  <c r="Q6" i="66"/>
  <c r="R6" i="66"/>
  <c r="O7" i="66"/>
  <c r="P7" i="66"/>
  <c r="Q7" i="66"/>
  <c r="R7" i="66"/>
  <c r="O8" i="66"/>
  <c r="P8" i="66"/>
  <c r="Q8" i="66"/>
  <c r="R8" i="66"/>
  <c r="O9" i="66"/>
  <c r="P9" i="66"/>
  <c r="Q9" i="66"/>
  <c r="R9" i="66"/>
  <c r="O10" i="66"/>
  <c r="P10" i="66"/>
  <c r="Q10" i="66"/>
  <c r="R10" i="66"/>
  <c r="O11" i="66"/>
  <c r="P11" i="66"/>
  <c r="Q11" i="66"/>
  <c r="R11" i="66"/>
  <c r="O12" i="66"/>
  <c r="P12" i="66"/>
  <c r="Q12" i="66"/>
  <c r="R12" i="66"/>
  <c r="O13" i="66"/>
  <c r="P13" i="66"/>
  <c r="Q13" i="66"/>
  <c r="R13" i="66"/>
  <c r="O14" i="66"/>
  <c r="P14" i="66"/>
  <c r="Q14" i="66"/>
  <c r="R14" i="66"/>
  <c r="O15" i="66"/>
  <c r="P15" i="66"/>
  <c r="Q15" i="66"/>
  <c r="R15" i="66"/>
  <c r="O16" i="66"/>
  <c r="P16" i="66"/>
  <c r="Q16" i="66"/>
  <c r="R16" i="66"/>
  <c r="O17" i="66"/>
  <c r="P17" i="66"/>
  <c r="Q17" i="66"/>
  <c r="R17" i="66"/>
  <c r="O18" i="66"/>
  <c r="P18" i="66"/>
  <c r="Q18" i="66"/>
  <c r="R18" i="66"/>
  <c r="O19" i="66"/>
  <c r="P19" i="66"/>
  <c r="Q19" i="66"/>
  <c r="R19" i="66"/>
  <c r="O20" i="66"/>
  <c r="P20" i="66"/>
  <c r="Q20" i="66"/>
  <c r="R20" i="66"/>
  <c r="O21" i="66"/>
  <c r="P21" i="66"/>
  <c r="Q21" i="66"/>
  <c r="R21" i="66"/>
  <c r="O22" i="66"/>
  <c r="P22" i="66"/>
  <c r="Q22" i="66"/>
  <c r="R22" i="66"/>
  <c r="O23" i="66"/>
  <c r="P23" i="66"/>
  <c r="Q23" i="66"/>
  <c r="R23" i="66"/>
  <c r="O24" i="66"/>
  <c r="P24" i="66"/>
  <c r="Q24" i="66"/>
  <c r="R24" i="66"/>
  <c r="O25" i="66"/>
  <c r="P25" i="66"/>
  <c r="Q25" i="66"/>
  <c r="R25" i="66"/>
  <c r="O26" i="66"/>
  <c r="P26" i="66"/>
  <c r="Q26" i="66"/>
  <c r="R26" i="66"/>
  <c r="O27" i="66"/>
  <c r="P27" i="66"/>
  <c r="Q27" i="66"/>
  <c r="R27" i="66"/>
  <c r="E6" i="77" l="1"/>
  <c r="C6" i="77"/>
  <c r="D6" i="77"/>
  <c r="G7" i="77"/>
  <c r="H5" i="98"/>
  <c r="G5" i="98"/>
  <c r="C5" i="98"/>
  <c r="D5" i="29" s="1"/>
  <c r="H51" i="98"/>
  <c r="G51" i="98"/>
  <c r="C51" i="98"/>
  <c r="H50" i="98"/>
  <c r="G50" i="98"/>
  <c r="C50" i="98"/>
  <c r="H49" i="98"/>
  <c r="G49" i="98"/>
  <c r="C49" i="98"/>
  <c r="H48" i="98"/>
  <c r="G48" i="98"/>
  <c r="C48" i="98"/>
  <c r="H47" i="98"/>
  <c r="G47" i="98"/>
  <c r="C47" i="98"/>
  <c r="H46" i="98"/>
  <c r="G46" i="98"/>
  <c r="C46" i="98"/>
  <c r="H45" i="98"/>
  <c r="G45" i="98"/>
  <c r="C45" i="98"/>
  <c r="H44" i="98"/>
  <c r="G44" i="98"/>
  <c r="C44" i="98"/>
  <c r="H43" i="98"/>
  <c r="G43" i="98"/>
  <c r="C43" i="98"/>
  <c r="H42" i="98"/>
  <c r="G42" i="98"/>
  <c r="C42" i="98"/>
  <c r="H41" i="98"/>
  <c r="G41" i="98"/>
  <c r="C41" i="98"/>
  <c r="H40" i="98"/>
  <c r="G40" i="98"/>
  <c r="C40" i="98"/>
  <c r="H39" i="98"/>
  <c r="G39" i="98"/>
  <c r="C39" i="98"/>
  <c r="H38" i="98"/>
  <c r="G38" i="98"/>
  <c r="C38" i="98"/>
  <c r="H37" i="98"/>
  <c r="G37" i="98"/>
  <c r="C37" i="98"/>
  <c r="H36" i="98"/>
  <c r="G36" i="98"/>
  <c r="C36" i="98"/>
  <c r="H35" i="98"/>
  <c r="G35" i="98"/>
  <c r="C35" i="98"/>
  <c r="H34" i="98"/>
  <c r="G34" i="98"/>
  <c r="C34" i="98"/>
  <c r="H33" i="98"/>
  <c r="G33" i="98"/>
  <c r="C33" i="98"/>
  <c r="G8" i="77" l="1"/>
  <c r="D7" i="77"/>
  <c r="E7" i="77"/>
  <c r="C7" i="77"/>
  <c r="F36" i="98"/>
  <c r="F40" i="98"/>
  <c r="F44" i="98"/>
  <c r="F34" i="98"/>
  <c r="F49" i="98"/>
  <c r="F42" i="98"/>
  <c r="F46" i="98"/>
  <c r="F50" i="98"/>
  <c r="F48" i="98"/>
  <c r="F43" i="98"/>
  <c r="F47" i="98"/>
  <c r="F38" i="98"/>
  <c r="F33" i="98"/>
  <c r="F35" i="98"/>
  <c r="F39" i="98"/>
  <c r="F45" i="98"/>
  <c r="F51" i="98"/>
  <c r="F5" i="98"/>
  <c r="E5" i="29" s="1"/>
  <c r="F37" i="98"/>
  <c r="F41" i="98"/>
  <c r="G9" i="77" l="1"/>
  <c r="D8" i="77"/>
  <c r="E8" i="77"/>
  <c r="C8" i="77"/>
  <c r="G10" i="77" l="1"/>
  <c r="E9" i="77"/>
  <c r="C9" i="77"/>
  <c r="D9" i="77"/>
  <c r="G56" i="25"/>
  <c r="H56" i="25" s="1"/>
  <c r="G11" i="77" l="1"/>
  <c r="E10" i="77"/>
  <c r="C10" i="77"/>
  <c r="D10" i="77"/>
  <c r="G12" i="77" l="1"/>
  <c r="E11" i="77"/>
  <c r="D11" i="77"/>
  <c r="C11" i="77"/>
  <c r="G13" i="77" l="1"/>
  <c r="C12" i="77"/>
  <c r="D12" i="77"/>
  <c r="E12" i="77"/>
  <c r="G14" i="77" l="1"/>
  <c r="E13" i="77"/>
  <c r="C13" i="77"/>
  <c r="D13" i="77"/>
  <c r="B6" i="56"/>
  <c r="B7" i="56" s="1"/>
  <c r="B8" i="56" s="1"/>
  <c r="B9" i="56" s="1"/>
  <c r="B10" i="56" s="1"/>
  <c r="B11" i="56" s="1"/>
  <c r="B12" i="56" s="1"/>
  <c r="B13" i="56" s="1"/>
  <c r="B14" i="56" s="1"/>
  <c r="B15" i="56" s="1"/>
  <c r="B16" i="56" s="1"/>
  <c r="B17" i="56" s="1"/>
  <c r="B18" i="56" s="1"/>
  <c r="B19" i="56" s="1"/>
  <c r="B20" i="56" s="1"/>
  <c r="B21" i="56" s="1"/>
  <c r="B22" i="56" s="1"/>
  <c r="B23" i="56" s="1"/>
  <c r="B24" i="56" s="1"/>
  <c r="B25" i="56" s="1"/>
  <c r="B26" i="56" s="1"/>
  <c r="B27" i="56" s="1"/>
  <c r="A6" i="56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G6" i="56"/>
  <c r="G7" i="56"/>
  <c r="G8" i="56"/>
  <c r="G9" i="56"/>
  <c r="G10" i="56"/>
  <c r="G11" i="56"/>
  <c r="G12" i="56"/>
  <c r="G13" i="56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5" i="56"/>
  <c r="G15" i="77" l="1"/>
  <c r="E14" i="77"/>
  <c r="C14" i="77"/>
  <c r="D14" i="77"/>
  <c r="G16" i="77" l="1"/>
  <c r="D15" i="77"/>
  <c r="E15" i="77"/>
  <c r="C15" i="77"/>
  <c r="G17" i="77" l="1"/>
  <c r="D16" i="77"/>
  <c r="E16" i="77"/>
  <c r="C16" i="77"/>
  <c r="T58" i="25"/>
  <c r="V58" i="25" s="1"/>
  <c r="T59" i="25"/>
  <c r="T60" i="25"/>
  <c r="T61" i="25"/>
  <c r="T62" i="25"/>
  <c r="T63" i="25"/>
  <c r="T64" i="25"/>
  <c r="T65" i="25"/>
  <c r="T66" i="25"/>
  <c r="T67" i="25"/>
  <c r="T68" i="25"/>
  <c r="T69" i="25"/>
  <c r="T70" i="25"/>
  <c r="T71" i="25"/>
  <c r="T72" i="25"/>
  <c r="T73" i="25"/>
  <c r="T74" i="25"/>
  <c r="T75" i="25"/>
  <c r="T76" i="25"/>
  <c r="T77" i="25"/>
  <c r="T78" i="25"/>
  <c r="T79" i="25"/>
  <c r="T57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G18" i="77" l="1"/>
  <c r="E17" i="77"/>
  <c r="C17" i="77"/>
  <c r="D17" i="77"/>
  <c r="Q35" i="25"/>
  <c r="T35" i="25" s="1"/>
  <c r="Q31" i="25"/>
  <c r="T31" i="25" s="1"/>
  <c r="Q27" i="25"/>
  <c r="T27" i="25" s="1"/>
  <c r="Q23" i="25"/>
  <c r="T23" i="25" s="1"/>
  <c r="Q19" i="25"/>
  <c r="T19" i="25" s="1"/>
  <c r="Q15" i="25"/>
  <c r="T15" i="25" s="1"/>
  <c r="V59" i="25"/>
  <c r="Q37" i="25"/>
  <c r="T37" i="25" s="1"/>
  <c r="Q33" i="25"/>
  <c r="T33" i="25" s="1"/>
  <c r="Q29" i="25"/>
  <c r="T29" i="25" s="1"/>
  <c r="Q25" i="25"/>
  <c r="T25" i="25" s="1"/>
  <c r="Q21" i="25"/>
  <c r="T21" i="25" s="1"/>
  <c r="Q17" i="25"/>
  <c r="T17" i="25" s="1"/>
  <c r="Q13" i="25"/>
  <c r="Q38" i="25"/>
  <c r="T38" i="25" s="1"/>
  <c r="Q34" i="25"/>
  <c r="T34" i="25" s="1"/>
  <c r="Q30" i="25"/>
  <c r="T30" i="25" s="1"/>
  <c r="Q26" i="25"/>
  <c r="T26" i="25" s="1"/>
  <c r="Q22" i="25"/>
  <c r="T22" i="25" s="1"/>
  <c r="Q18" i="25"/>
  <c r="T18" i="25" s="1"/>
  <c r="Q14" i="25"/>
  <c r="Q36" i="25"/>
  <c r="T36" i="25" s="1"/>
  <c r="Q32" i="25"/>
  <c r="T32" i="25" s="1"/>
  <c r="Q28" i="25"/>
  <c r="T28" i="25" s="1"/>
  <c r="Q24" i="25"/>
  <c r="T24" i="25" s="1"/>
  <c r="Q20" i="25"/>
  <c r="T20" i="25" s="1"/>
  <c r="Q16" i="25"/>
  <c r="T16" i="25" s="1"/>
  <c r="Q12" i="25"/>
  <c r="G19" i="77" l="1"/>
  <c r="D18" i="77"/>
  <c r="E18" i="77"/>
  <c r="C18" i="77"/>
  <c r="U19" i="25"/>
  <c r="U35" i="25"/>
  <c r="U31" i="25"/>
  <c r="U23" i="25"/>
  <c r="U21" i="25"/>
  <c r="U37" i="25"/>
  <c r="U27" i="25"/>
  <c r="U38" i="25"/>
  <c r="V60" i="25"/>
  <c r="U25" i="25"/>
  <c r="U29" i="25"/>
  <c r="U17" i="25"/>
  <c r="V17" i="25" s="1"/>
  <c r="U33" i="25"/>
  <c r="U22" i="25"/>
  <c r="U18" i="25"/>
  <c r="U34" i="25"/>
  <c r="U20" i="25"/>
  <c r="U36" i="25"/>
  <c r="U30" i="25"/>
  <c r="U26" i="25"/>
  <c r="U28" i="25"/>
  <c r="U16" i="25"/>
  <c r="U32" i="25"/>
  <c r="U24" i="25"/>
  <c r="G20" i="77" l="1"/>
  <c r="D19" i="77"/>
  <c r="E19" i="77"/>
  <c r="C19" i="77"/>
  <c r="V61" i="25"/>
  <c r="V18" i="25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53" i="99"/>
  <c r="E54" i="99"/>
  <c r="E55" i="99"/>
  <c r="G21" i="77" l="1"/>
  <c r="C20" i="77"/>
  <c r="D20" i="77"/>
  <c r="E20" i="77"/>
  <c r="D38" i="99"/>
  <c r="D45" i="99"/>
  <c r="D41" i="99"/>
  <c r="D52" i="99"/>
  <c r="D36" i="99"/>
  <c r="D48" i="99"/>
  <c r="D44" i="99"/>
  <c r="D40" i="99"/>
  <c r="D55" i="99"/>
  <c r="D51" i="99"/>
  <c r="D47" i="99"/>
  <c r="D43" i="99"/>
  <c r="D39" i="99"/>
  <c r="D35" i="99"/>
  <c r="D54" i="99"/>
  <c r="D50" i="99"/>
  <c r="D46" i="99"/>
  <c r="D42" i="99"/>
  <c r="D34" i="99"/>
  <c r="D53" i="99"/>
  <c r="D49" i="99"/>
  <c r="D37" i="99"/>
  <c r="D33" i="99"/>
  <c r="V19" i="25"/>
  <c r="V62" i="25"/>
  <c r="G22" i="77" l="1"/>
  <c r="E21" i="77"/>
  <c r="C21" i="77"/>
  <c r="D21" i="77"/>
  <c r="V20" i="25"/>
  <c r="V63" i="25"/>
  <c r="G23" i="77" l="1"/>
  <c r="E22" i="77"/>
  <c r="C22" i="77"/>
  <c r="D22" i="77"/>
  <c r="V21" i="25"/>
  <c r="V64" i="25"/>
  <c r="G24" i="77" l="1"/>
  <c r="D23" i="77"/>
  <c r="E23" i="77"/>
  <c r="C23" i="77"/>
  <c r="V22" i="25"/>
  <c r="V65" i="25"/>
  <c r="G25" i="77" l="1"/>
  <c r="D24" i="77"/>
  <c r="E24" i="77"/>
  <c r="C24" i="77"/>
  <c r="V23" i="25"/>
  <c r="V66" i="25"/>
  <c r="G26" i="77" l="1"/>
  <c r="E25" i="77"/>
  <c r="C25" i="77"/>
  <c r="D25" i="77"/>
  <c r="V24" i="25"/>
  <c r="V67" i="25"/>
  <c r="G27" i="77" l="1"/>
  <c r="D26" i="77"/>
  <c r="E26" i="77"/>
  <c r="C26" i="77"/>
  <c r="V25" i="25"/>
  <c r="V68" i="25"/>
  <c r="D56" i="25"/>
  <c r="C27" i="77" l="1"/>
  <c r="D27" i="77"/>
  <c r="E27" i="77"/>
  <c r="V26" i="25"/>
  <c r="V69" i="25"/>
  <c r="V27" i="25" l="1"/>
  <c r="V70" i="25"/>
  <c r="V28" i="25" l="1"/>
  <c r="V71" i="25"/>
  <c r="V29" i="25" l="1"/>
  <c r="V72" i="25"/>
  <c r="V30" i="25" l="1"/>
  <c r="V73" i="25"/>
  <c r="E21" i="56"/>
  <c r="C21" i="56"/>
  <c r="F21" i="56"/>
  <c r="E17" i="56"/>
  <c r="C17" i="56"/>
  <c r="F17" i="56"/>
  <c r="E13" i="56"/>
  <c r="F13" i="56"/>
  <c r="C13" i="56"/>
  <c r="E9" i="56"/>
  <c r="F9" i="56"/>
  <c r="C9" i="56"/>
  <c r="C20" i="56"/>
  <c r="F20" i="56"/>
  <c r="E20" i="56"/>
  <c r="C12" i="56"/>
  <c r="F12" i="56"/>
  <c r="E12" i="56"/>
  <c r="C27" i="56"/>
  <c r="F27" i="56"/>
  <c r="E27" i="56"/>
  <c r="C23" i="56"/>
  <c r="F23" i="56"/>
  <c r="E23" i="56"/>
  <c r="C19" i="56"/>
  <c r="F19" i="56"/>
  <c r="E19" i="56"/>
  <c r="C15" i="56"/>
  <c r="F15" i="56"/>
  <c r="E15" i="56"/>
  <c r="C11" i="56"/>
  <c r="F11" i="56"/>
  <c r="E11" i="56"/>
  <c r="C7" i="56"/>
  <c r="F7" i="56"/>
  <c r="E7" i="56"/>
  <c r="E25" i="56"/>
  <c r="F25" i="56"/>
  <c r="C25" i="56"/>
  <c r="C24" i="56"/>
  <c r="F24" i="56"/>
  <c r="E24" i="56"/>
  <c r="C16" i="56"/>
  <c r="F16" i="56"/>
  <c r="E16" i="56"/>
  <c r="C8" i="56"/>
  <c r="F8" i="56"/>
  <c r="E8" i="56"/>
  <c r="C26" i="56"/>
  <c r="F26" i="56"/>
  <c r="E26" i="56"/>
  <c r="C22" i="56"/>
  <c r="E22" i="56"/>
  <c r="F22" i="56"/>
  <c r="C18" i="56"/>
  <c r="F18" i="56"/>
  <c r="E18" i="56"/>
  <c r="C14" i="56"/>
  <c r="F14" i="56"/>
  <c r="E14" i="56"/>
  <c r="C10" i="56"/>
  <c r="E10" i="56"/>
  <c r="F10" i="56"/>
  <c r="E6" i="56"/>
  <c r="F6" i="56"/>
  <c r="C6" i="56"/>
  <c r="V31" i="25" l="1"/>
  <c r="V74" i="25"/>
  <c r="C8" i="72"/>
  <c r="C7" i="72"/>
  <c r="V32" i="25" l="1"/>
  <c r="V75" i="25"/>
  <c r="C9" i="72"/>
  <c r="B6" i="58"/>
  <c r="B7" i="58" s="1"/>
  <c r="B8" i="58" s="1"/>
  <c r="B9" i="58" s="1"/>
  <c r="B10" i="58" s="1"/>
  <c r="B11" i="58" s="1"/>
  <c r="B12" i="58" s="1"/>
  <c r="B13" i="58" s="1"/>
  <c r="B14" i="58" s="1"/>
  <c r="B15" i="58" s="1"/>
  <c r="B16" i="58" s="1"/>
  <c r="B17" i="58" s="1"/>
  <c r="B18" i="58" s="1"/>
  <c r="B19" i="58" s="1"/>
  <c r="B20" i="58" s="1"/>
  <c r="B21" i="58" s="1"/>
  <c r="B22" i="58" s="1"/>
  <c r="B23" i="58" s="1"/>
  <c r="B24" i="58" s="1"/>
  <c r="B25" i="58" s="1"/>
  <c r="B26" i="58" s="1"/>
  <c r="B27" i="58" s="1"/>
  <c r="A6" i="58"/>
  <c r="A7" i="58" s="1"/>
  <c r="A8" i="58" s="1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D27" i="56"/>
  <c r="D26" i="56"/>
  <c r="D25" i="56"/>
  <c r="D24" i="56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V33" i="25" l="1"/>
  <c r="V76" i="25"/>
  <c r="C10" i="72"/>
  <c r="V34" i="25" l="1"/>
  <c r="V77" i="25"/>
  <c r="C11" i="72"/>
  <c r="V35" i="25" l="1"/>
  <c r="V78" i="25"/>
  <c r="C12" i="72"/>
  <c r="V36" i="25" l="1"/>
  <c r="V79" i="25"/>
  <c r="C13" i="72"/>
  <c r="V37" i="25" l="1"/>
  <c r="C14" i="72"/>
  <c r="V38" i="25" l="1"/>
  <c r="C15" i="72"/>
  <c r="C16" i="72" l="1"/>
  <c r="C17" i="72" l="1"/>
  <c r="C18" i="72" l="1"/>
  <c r="C19" i="72" l="1"/>
  <c r="C20" i="72" l="1"/>
  <c r="C21" i="72" l="1"/>
  <c r="C22" i="72" l="1"/>
  <c r="C23" i="72" l="1"/>
  <c r="C24" i="72" l="1"/>
  <c r="C25" i="72" l="1"/>
  <c r="C26" i="72" l="1"/>
  <c r="C27" i="72" l="1"/>
  <c r="C28" i="72" l="1"/>
  <c r="D5" i="45" l="1"/>
  <c r="D6" i="45"/>
  <c r="G6" i="45" s="1"/>
  <c r="D7" i="45"/>
  <c r="G7" i="45" s="1"/>
  <c r="H7" i="45" s="1"/>
  <c r="D8" i="45"/>
  <c r="G8" i="45" s="1"/>
  <c r="D9" i="45"/>
  <c r="G9" i="45"/>
  <c r="J9" i="45"/>
  <c r="K9" i="45" s="1"/>
  <c r="D10" i="45"/>
  <c r="G10" i="45"/>
  <c r="H10" i="45" s="1"/>
  <c r="I10" i="45" s="1"/>
  <c r="J10" i="45"/>
  <c r="K10" i="45" s="1"/>
  <c r="D11" i="45"/>
  <c r="G11" i="45"/>
  <c r="D12" i="45"/>
  <c r="G12" i="45" s="1"/>
  <c r="H12" i="45" s="1"/>
  <c r="I12" i="45" s="1"/>
  <c r="D13" i="45"/>
  <c r="G13" i="45"/>
  <c r="D14" i="45"/>
  <c r="G14" i="45" s="1"/>
  <c r="H14" i="45" s="1"/>
  <c r="I14" i="45" s="1"/>
  <c r="D15" i="45"/>
  <c r="G15" i="45"/>
  <c r="D16" i="45"/>
  <c r="G16" i="45" s="1"/>
  <c r="H16" i="45" s="1"/>
  <c r="I16" i="45" s="1"/>
  <c r="D17" i="45"/>
  <c r="G17" i="45"/>
  <c r="D18" i="45"/>
  <c r="G18" i="45" s="1"/>
  <c r="H18" i="45" s="1"/>
  <c r="I18" i="45" s="1"/>
  <c r="D19" i="45"/>
  <c r="G19" i="45"/>
  <c r="D20" i="45"/>
  <c r="G20" i="45" s="1"/>
  <c r="H20" i="45" s="1"/>
  <c r="I20" i="45" s="1"/>
  <c r="D21" i="45"/>
  <c r="G21" i="45"/>
  <c r="D22" i="45"/>
  <c r="G22" i="45" s="1"/>
  <c r="H22" i="45" s="1"/>
  <c r="I22" i="45" s="1"/>
  <c r="D23" i="45"/>
  <c r="G23" i="45"/>
  <c r="D24" i="45"/>
  <c r="G24" i="45" s="1"/>
  <c r="H24" i="45" s="1"/>
  <c r="I24" i="45" s="1"/>
  <c r="D25" i="45"/>
  <c r="G25" i="45"/>
  <c r="D26" i="45"/>
  <c r="G26" i="45" s="1"/>
  <c r="H26" i="45" s="1"/>
  <c r="I26" i="45" s="1"/>
  <c r="D27" i="45"/>
  <c r="G27" i="45"/>
  <c r="D28" i="45"/>
  <c r="G28" i="45" s="1"/>
  <c r="D29" i="45"/>
  <c r="G29" i="45"/>
  <c r="D30" i="45"/>
  <c r="G30" i="45" s="1"/>
  <c r="D31" i="45"/>
  <c r="G31" i="45"/>
  <c r="D32" i="45"/>
  <c r="G32" i="45" s="1"/>
  <c r="H32" i="45" s="1"/>
  <c r="I32" i="45" s="1"/>
  <c r="H8" i="45" l="1"/>
  <c r="H9" i="45"/>
  <c r="I9" i="45" s="1"/>
  <c r="J11" i="45" s="1"/>
  <c r="K11" i="45" s="1"/>
  <c r="N17" i="25" s="1"/>
  <c r="H30" i="45"/>
  <c r="I30" i="45" s="1"/>
  <c r="H31" i="45"/>
  <c r="I31" i="45" s="1"/>
  <c r="H28" i="45"/>
  <c r="I28" i="45" s="1"/>
  <c r="H29" i="45"/>
  <c r="I29" i="45" s="1"/>
  <c r="H27" i="45"/>
  <c r="I27" i="45" s="1"/>
  <c r="H25" i="45"/>
  <c r="I25" i="45" s="1"/>
  <c r="H23" i="45"/>
  <c r="I23" i="45" s="1"/>
  <c r="H21" i="45"/>
  <c r="I21" i="45" s="1"/>
  <c r="H19" i="45"/>
  <c r="I19" i="45" s="1"/>
  <c r="J23" i="45" s="1"/>
  <c r="K23" i="45" s="1"/>
  <c r="N29" i="25" s="1"/>
  <c r="H17" i="45"/>
  <c r="I17" i="45" s="1"/>
  <c r="H15" i="45"/>
  <c r="I15" i="45" s="1"/>
  <c r="H13" i="45"/>
  <c r="I13" i="45" s="1"/>
  <c r="J12" i="45"/>
  <c r="K12" i="45" s="1"/>
  <c r="N18" i="25" s="1"/>
  <c r="H11" i="45"/>
  <c r="I11" i="45" s="1"/>
  <c r="J15" i="45" l="1"/>
  <c r="K15" i="45" s="1"/>
  <c r="N21" i="25" s="1"/>
  <c r="J21" i="45"/>
  <c r="K21" i="45" s="1"/>
  <c r="N27" i="25" s="1"/>
  <c r="J29" i="45"/>
  <c r="K29" i="45" s="1"/>
  <c r="N35" i="25" s="1"/>
  <c r="J13" i="45"/>
  <c r="K13" i="45" s="1"/>
  <c r="N19" i="25" s="1"/>
  <c r="J19" i="45"/>
  <c r="K19" i="45" s="1"/>
  <c r="N25" i="25" s="1"/>
  <c r="J27" i="45"/>
  <c r="K27" i="45" s="1"/>
  <c r="N33" i="25" s="1"/>
  <c r="J32" i="45"/>
  <c r="K32" i="45" s="1"/>
  <c r="N38" i="25" s="1"/>
  <c r="J18" i="45"/>
  <c r="K18" i="45" s="1"/>
  <c r="N24" i="25" s="1"/>
  <c r="J26" i="45"/>
  <c r="K26" i="45" s="1"/>
  <c r="N32" i="25" s="1"/>
  <c r="J20" i="45"/>
  <c r="K20" i="45" s="1"/>
  <c r="N26" i="25" s="1"/>
  <c r="J28" i="45"/>
  <c r="K28" i="45" s="1"/>
  <c r="N34" i="25" s="1"/>
  <c r="J14" i="45"/>
  <c r="K14" i="45" s="1"/>
  <c r="N20" i="25" s="1"/>
  <c r="J31" i="45"/>
  <c r="K31" i="45" s="1"/>
  <c r="N37" i="25" s="1"/>
  <c r="J22" i="45"/>
  <c r="K22" i="45" s="1"/>
  <c r="N28" i="25" s="1"/>
  <c r="J30" i="45"/>
  <c r="K30" i="45" s="1"/>
  <c r="N36" i="25" s="1"/>
  <c r="J17" i="45"/>
  <c r="K17" i="45" s="1"/>
  <c r="N23" i="25" s="1"/>
  <c r="J25" i="45"/>
  <c r="K25" i="45" s="1"/>
  <c r="N31" i="25" s="1"/>
  <c r="J16" i="45"/>
  <c r="K16" i="45" s="1"/>
  <c r="N22" i="25" s="1"/>
  <c r="J24" i="45"/>
  <c r="K24" i="45" s="1"/>
  <c r="N30" i="25" s="1"/>
  <c r="G6" i="44" l="1"/>
  <c r="H6" i="44"/>
  <c r="G7" i="44"/>
  <c r="H7" i="44"/>
  <c r="G8" i="44"/>
  <c r="H8" i="44"/>
  <c r="G9" i="44"/>
  <c r="H9" i="44"/>
  <c r="G10" i="44"/>
  <c r="H10" i="44"/>
  <c r="G11" i="44"/>
  <c r="H11" i="44"/>
  <c r="D11" i="44" s="1"/>
  <c r="G12" i="44"/>
  <c r="H12" i="44"/>
  <c r="G13" i="44"/>
  <c r="C13" i="44" s="1"/>
  <c r="H13" i="44"/>
  <c r="D13" i="44" s="1"/>
  <c r="G14" i="44"/>
  <c r="H14" i="44"/>
  <c r="G15" i="44"/>
  <c r="C15" i="44" s="1"/>
  <c r="H15" i="44"/>
  <c r="D15" i="44" s="1"/>
  <c r="G16" i="44"/>
  <c r="H16" i="44"/>
  <c r="G17" i="44"/>
  <c r="C17" i="44" s="1"/>
  <c r="H17" i="44"/>
  <c r="D17" i="44" s="1"/>
  <c r="G18" i="44"/>
  <c r="H18" i="44"/>
  <c r="G19" i="44"/>
  <c r="C19" i="44" s="1"/>
  <c r="H19" i="44"/>
  <c r="D19" i="44" s="1"/>
  <c r="G20" i="44"/>
  <c r="C20" i="44" s="1"/>
  <c r="H20" i="44"/>
  <c r="G21" i="44"/>
  <c r="C21" i="44" s="1"/>
  <c r="H21" i="44"/>
  <c r="D21" i="44" s="1"/>
  <c r="G22" i="44"/>
  <c r="C22" i="44" s="1"/>
  <c r="H22" i="44"/>
  <c r="G23" i="44"/>
  <c r="C23" i="44" s="1"/>
  <c r="H23" i="44"/>
  <c r="D23" i="44" s="1"/>
  <c r="G24" i="44"/>
  <c r="C24" i="44" s="1"/>
  <c r="H24" i="44"/>
  <c r="G25" i="44"/>
  <c r="C25" i="44" s="1"/>
  <c r="H25" i="44"/>
  <c r="D25" i="44" s="1"/>
  <c r="G26" i="44"/>
  <c r="C26" i="44" s="1"/>
  <c r="H26" i="44"/>
  <c r="G27" i="44"/>
  <c r="C27" i="44" s="1"/>
  <c r="H27" i="44"/>
  <c r="D27" i="44" s="1"/>
  <c r="G28" i="44"/>
  <c r="C28" i="44" s="1"/>
  <c r="H28" i="44"/>
  <c r="G29" i="44"/>
  <c r="C29" i="44" s="1"/>
  <c r="H29" i="44"/>
  <c r="D29" i="44" s="1"/>
  <c r="G30" i="44"/>
  <c r="C30" i="44" s="1"/>
  <c r="H30" i="44"/>
  <c r="G31" i="44"/>
  <c r="C31" i="44" s="1"/>
  <c r="H31" i="44"/>
  <c r="D31" i="44" s="1"/>
  <c r="G32" i="44"/>
  <c r="C32" i="44" s="1"/>
  <c r="H32" i="44"/>
  <c r="G33" i="44"/>
  <c r="C33" i="44" s="1"/>
  <c r="H33" i="44"/>
  <c r="D33" i="44" s="1"/>
  <c r="H5" i="44"/>
  <c r="G5" i="44"/>
  <c r="D27" i="98" l="1"/>
  <c r="E27" i="98"/>
  <c r="D25" i="98"/>
  <c r="E25" i="98"/>
  <c r="D23" i="98"/>
  <c r="E23" i="98"/>
  <c r="E21" i="98"/>
  <c r="D21" i="98"/>
  <c r="C21" i="98" s="1"/>
  <c r="D21" i="29" s="1"/>
  <c r="D19" i="98"/>
  <c r="E19" i="98"/>
  <c r="D17" i="98"/>
  <c r="E17" i="98"/>
  <c r="E15" i="98"/>
  <c r="D15" i="98"/>
  <c r="E13" i="98"/>
  <c r="D13" i="98"/>
  <c r="C13" i="98" s="1"/>
  <c r="D13" i="29" s="1"/>
  <c r="D11" i="98"/>
  <c r="E11" i="98"/>
  <c r="D9" i="98"/>
  <c r="E9" i="98"/>
  <c r="D7" i="98"/>
  <c r="E7" i="98"/>
  <c r="D26" i="98"/>
  <c r="E26" i="98"/>
  <c r="E24" i="98"/>
  <c r="D24" i="98"/>
  <c r="C24" i="98" s="1"/>
  <c r="D24" i="29" s="1"/>
  <c r="D22" i="98"/>
  <c r="E22" i="98"/>
  <c r="E20" i="98"/>
  <c r="D20" i="98"/>
  <c r="D18" i="98"/>
  <c r="E18" i="98"/>
  <c r="E16" i="98"/>
  <c r="D16" i="98"/>
  <c r="C16" i="98" s="1"/>
  <c r="D16" i="29" s="1"/>
  <c r="D14" i="98"/>
  <c r="E14" i="98"/>
  <c r="D32" i="44"/>
  <c r="D30" i="44"/>
  <c r="D28" i="44"/>
  <c r="D26" i="44"/>
  <c r="D24" i="44"/>
  <c r="D22" i="44"/>
  <c r="D20" i="44"/>
  <c r="D18" i="44"/>
  <c r="D16" i="44"/>
  <c r="D14" i="44"/>
  <c r="D12" i="44"/>
  <c r="C18" i="44"/>
  <c r="C16" i="44"/>
  <c r="C14" i="44"/>
  <c r="C12" i="44"/>
  <c r="C14" i="98" l="1"/>
  <c r="D14" i="29" s="1"/>
  <c r="C22" i="98"/>
  <c r="D22" i="29" s="1"/>
  <c r="C9" i="98"/>
  <c r="D9" i="29" s="1"/>
  <c r="C17" i="98"/>
  <c r="D17" i="29" s="1"/>
  <c r="C25" i="98"/>
  <c r="D25" i="29" s="1"/>
  <c r="C7" i="98"/>
  <c r="D7" i="29" s="1"/>
  <c r="C23" i="98"/>
  <c r="D23" i="29" s="1"/>
  <c r="E8" i="98"/>
  <c r="D8" i="98"/>
  <c r="C18" i="98"/>
  <c r="D18" i="29" s="1"/>
  <c r="C26" i="98"/>
  <c r="D26" i="29" s="1"/>
  <c r="E12" i="98"/>
  <c r="D12" i="98"/>
  <c r="C11" i="98"/>
  <c r="D11" i="29" s="1"/>
  <c r="C19" i="98"/>
  <c r="D19" i="29" s="1"/>
  <c r="C27" i="98"/>
  <c r="D27" i="29" s="1"/>
  <c r="D10" i="98"/>
  <c r="E10" i="98"/>
  <c r="E6" i="98"/>
  <c r="D6" i="98"/>
  <c r="C20" i="98"/>
  <c r="D20" i="29" s="1"/>
  <c r="C15" i="98"/>
  <c r="D15" i="29" s="1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13" i="24"/>
  <c r="C12" i="98" l="1"/>
  <c r="D12" i="29" s="1"/>
  <c r="C8" i="98"/>
  <c r="D8" i="29" s="1"/>
  <c r="C6" i="98"/>
  <c r="D6" i="29" s="1"/>
  <c r="C10" i="98"/>
  <c r="D10" i="29" s="1"/>
  <c r="B6" i="22"/>
  <c r="C6" i="22"/>
  <c r="D6" i="22"/>
  <c r="E6" i="22"/>
  <c r="B7" i="22"/>
  <c r="C7" i="22"/>
  <c r="D7" i="22"/>
  <c r="E7" i="22"/>
  <c r="B8" i="22"/>
  <c r="C8" i="22"/>
  <c r="D8" i="22"/>
  <c r="E8" i="22"/>
  <c r="B9" i="22"/>
  <c r="C9" i="22"/>
  <c r="D9" i="22"/>
  <c r="E9" i="22"/>
  <c r="B10" i="22"/>
  <c r="C10" i="22"/>
  <c r="D10" i="22"/>
  <c r="E10" i="22"/>
  <c r="B11" i="22"/>
  <c r="C11" i="22"/>
  <c r="D11" i="22"/>
  <c r="E11" i="22"/>
  <c r="B12" i="22"/>
  <c r="C12" i="22"/>
  <c r="D12" i="22"/>
  <c r="E12" i="22"/>
  <c r="B13" i="22"/>
  <c r="C13" i="22"/>
  <c r="D13" i="22"/>
  <c r="E13" i="22"/>
  <c r="E5" i="22"/>
  <c r="D5" i="22"/>
  <c r="C5" i="22"/>
  <c r="B5" i="22"/>
  <c r="B6" i="24"/>
  <c r="K6" i="24" s="1"/>
  <c r="C6" i="24"/>
  <c r="L6" i="24" s="1"/>
  <c r="D6" i="24"/>
  <c r="M6" i="24" s="1"/>
  <c r="E6" i="24"/>
  <c r="N6" i="24" s="1"/>
  <c r="B7" i="24"/>
  <c r="C7" i="24"/>
  <c r="D7" i="24"/>
  <c r="E7" i="24"/>
  <c r="B8" i="24"/>
  <c r="C8" i="24"/>
  <c r="D8" i="24"/>
  <c r="E8" i="24"/>
  <c r="B9" i="24"/>
  <c r="C9" i="24"/>
  <c r="D9" i="24"/>
  <c r="E9" i="24"/>
  <c r="B10" i="24"/>
  <c r="C10" i="24"/>
  <c r="D10" i="24"/>
  <c r="E10" i="24"/>
  <c r="B11" i="24"/>
  <c r="C11" i="24"/>
  <c r="D11" i="24"/>
  <c r="E11" i="24"/>
  <c r="B12" i="24"/>
  <c r="C12" i="24"/>
  <c r="D12" i="24"/>
  <c r="E12" i="24"/>
  <c r="B13" i="24"/>
  <c r="C13" i="24"/>
  <c r="D13" i="24"/>
  <c r="E13" i="24"/>
  <c r="E5" i="24"/>
  <c r="D5" i="24"/>
  <c r="C5" i="24"/>
  <c r="B5" i="24"/>
  <c r="M7" i="24" l="1"/>
  <c r="M8" i="24" s="1"/>
  <c r="M9" i="24" s="1"/>
  <c r="M10" i="24" s="1"/>
  <c r="L7" i="24"/>
  <c r="L8" i="24" s="1"/>
  <c r="L9" i="24" s="1"/>
  <c r="L10" i="24" s="1"/>
  <c r="K7" i="24"/>
  <c r="K8" i="24" s="1"/>
  <c r="K9" i="24" s="1"/>
  <c r="N7" i="24"/>
  <c r="N8" i="24" s="1"/>
  <c r="N9" i="24" s="1"/>
  <c r="N10" i="24" s="1"/>
  <c r="B79" i="25"/>
  <c r="B78" i="25"/>
  <c r="B77" i="25"/>
  <c r="B76" i="25"/>
  <c r="B75" i="25"/>
  <c r="B74" i="25"/>
  <c r="B73" i="25"/>
  <c r="B72" i="25"/>
  <c r="B71" i="25"/>
  <c r="B70" i="25"/>
  <c r="B48" i="25"/>
  <c r="B47" i="25"/>
  <c r="L11" i="24" l="1"/>
  <c r="Q10" i="24"/>
  <c r="M11" i="24"/>
  <c r="R10" i="24"/>
  <c r="N11" i="24"/>
  <c r="S10" i="24"/>
  <c r="K10" i="24"/>
  <c r="P10" i="24" s="1"/>
  <c r="N12" i="24" l="1"/>
  <c r="S12" i="24" s="1"/>
  <c r="S11" i="24"/>
  <c r="L12" i="24"/>
  <c r="Q11" i="24"/>
  <c r="K11" i="24"/>
  <c r="M12" i="24"/>
  <c r="R12" i="24" s="1"/>
  <c r="R11" i="24"/>
  <c r="D5" i="23"/>
  <c r="E5" i="23"/>
  <c r="F5" i="23"/>
  <c r="C5" i="23"/>
  <c r="H5" i="22"/>
  <c r="I5" i="22"/>
  <c r="J5" i="22"/>
  <c r="G5" i="22"/>
  <c r="L13" i="24" l="1"/>
  <c r="Q13" i="24" s="1"/>
  <c r="Q12" i="24"/>
  <c r="K12" i="24"/>
  <c r="P11" i="24"/>
  <c r="D79" i="25"/>
  <c r="D78" i="25"/>
  <c r="D77" i="25"/>
  <c r="D76" i="25"/>
  <c r="D75" i="25"/>
  <c r="D74" i="25"/>
  <c r="D73" i="25"/>
  <c r="D72" i="25"/>
  <c r="D71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5" i="25"/>
  <c r="D54" i="25"/>
  <c r="D53" i="25"/>
  <c r="D52" i="25"/>
  <c r="D51" i="25"/>
  <c r="D50" i="25"/>
  <c r="D49" i="25"/>
  <c r="D48" i="25"/>
  <c r="D47" i="25"/>
  <c r="A47" i="25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P12" i="24" l="1"/>
  <c r="K13" i="24"/>
  <c r="P13" i="24" s="1"/>
  <c r="E56" i="25"/>
  <c r="E59" i="25"/>
  <c r="G62" i="25" s="1"/>
  <c r="H62" i="25" s="1"/>
  <c r="E67" i="25"/>
  <c r="G70" i="25" s="1"/>
  <c r="H70" i="25" s="1"/>
  <c r="E57" i="25"/>
  <c r="G60" i="25" s="1"/>
  <c r="H60" i="25" s="1"/>
  <c r="E61" i="25"/>
  <c r="I65" i="25" s="1"/>
  <c r="E50" i="25"/>
  <c r="I54" i="25" s="1"/>
  <c r="E78" i="25"/>
  <c r="E66" i="25"/>
  <c r="I70" i="25" s="1"/>
  <c r="E68" i="25"/>
  <c r="E52" i="25"/>
  <c r="I56" i="25" s="1"/>
  <c r="J56" i="25" s="1"/>
  <c r="E75" i="25"/>
  <c r="E77" i="25"/>
  <c r="E79" i="25"/>
  <c r="E58" i="25"/>
  <c r="G61" i="25" s="1"/>
  <c r="H61" i="25" s="1"/>
  <c r="E60" i="25"/>
  <c r="E63" i="25"/>
  <c r="G66" i="25" s="1"/>
  <c r="H66" i="25" s="1"/>
  <c r="E55" i="25"/>
  <c r="E62" i="25"/>
  <c r="E73" i="25"/>
  <c r="G76" i="25" s="1"/>
  <c r="H76" i="25" s="1"/>
  <c r="E48" i="25"/>
  <c r="I52" i="25" s="1"/>
  <c r="E54" i="25"/>
  <c r="G57" i="25" s="1"/>
  <c r="E53" i="25"/>
  <c r="E49" i="25"/>
  <c r="I53" i="25" s="1"/>
  <c r="E74" i="25"/>
  <c r="E64" i="25"/>
  <c r="E76" i="25"/>
  <c r="E72" i="25"/>
  <c r="E51" i="25"/>
  <c r="I55" i="25" s="1"/>
  <c r="E65" i="25"/>
  <c r="D70" i="25"/>
  <c r="I71" i="25" l="1"/>
  <c r="I63" i="25"/>
  <c r="I78" i="25"/>
  <c r="I61" i="25"/>
  <c r="I77" i="25"/>
  <c r="I62" i="25"/>
  <c r="I64" i="25"/>
  <c r="I59" i="25"/>
  <c r="I60" i="25"/>
  <c r="G69" i="25"/>
  <c r="D28" i="22" s="1"/>
  <c r="I67" i="25"/>
  <c r="G71" i="25"/>
  <c r="H71" i="25" s="1"/>
  <c r="G64" i="25"/>
  <c r="D23" i="24" s="1"/>
  <c r="E29" i="22"/>
  <c r="E29" i="24"/>
  <c r="D29" i="24"/>
  <c r="D29" i="22"/>
  <c r="D20" i="24"/>
  <c r="D20" i="22"/>
  <c r="D25" i="24"/>
  <c r="D25" i="22"/>
  <c r="D19" i="24"/>
  <c r="D19" i="22"/>
  <c r="D35" i="24"/>
  <c r="D35" i="22"/>
  <c r="D21" i="24"/>
  <c r="D21" i="22"/>
  <c r="G55" i="25"/>
  <c r="H55" i="25" s="1"/>
  <c r="I72" i="25"/>
  <c r="G78" i="25"/>
  <c r="H78" i="25" s="1"/>
  <c r="G65" i="25"/>
  <c r="H65" i="25" s="1"/>
  <c r="I79" i="25"/>
  <c r="I66" i="25"/>
  <c r="G59" i="25"/>
  <c r="H59" i="25" s="1"/>
  <c r="G58" i="25"/>
  <c r="H58" i="25" s="1"/>
  <c r="G63" i="25"/>
  <c r="H63" i="25" s="1"/>
  <c r="I58" i="25"/>
  <c r="H57" i="25"/>
  <c r="G67" i="25"/>
  <c r="H67" i="25" s="1"/>
  <c r="I68" i="25"/>
  <c r="E70" i="25"/>
  <c r="E69" i="25"/>
  <c r="E71" i="25"/>
  <c r="G68" i="25"/>
  <c r="H68" i="25" s="1"/>
  <c r="I69" i="25"/>
  <c r="G79" i="25"/>
  <c r="H79" i="25" s="1"/>
  <c r="G75" i="25"/>
  <c r="H75" i="25" s="1"/>
  <c r="G77" i="25"/>
  <c r="H77" i="25" s="1"/>
  <c r="I76" i="25"/>
  <c r="I57" i="25"/>
  <c r="J57" i="25" s="1"/>
  <c r="J58" i="25" l="1"/>
  <c r="J59" i="25" s="1"/>
  <c r="J60" i="25" s="1"/>
  <c r="J61" i="25" s="1"/>
  <c r="J62" i="25" s="1"/>
  <c r="J63" i="25" s="1"/>
  <c r="J64" i="25" s="1"/>
  <c r="J65" i="25" s="1"/>
  <c r="J66" i="25" s="1"/>
  <c r="J67" i="25" s="1"/>
  <c r="J68" i="25" s="1"/>
  <c r="J69" i="25" s="1"/>
  <c r="J70" i="25" s="1"/>
  <c r="J71" i="25" s="1"/>
  <c r="J72" i="25" s="1"/>
  <c r="D30" i="24"/>
  <c r="D30" i="22"/>
  <c r="D23" i="22"/>
  <c r="H64" i="25"/>
  <c r="E23" i="24" s="1"/>
  <c r="H69" i="25"/>
  <c r="E28" i="22" s="1"/>
  <c r="E22" i="22"/>
  <c r="D28" i="24"/>
  <c r="E24" i="22"/>
  <c r="E24" i="24"/>
  <c r="D26" i="24"/>
  <c r="D26" i="22"/>
  <c r="D24" i="24"/>
  <c r="D24" i="22"/>
  <c r="D36" i="24"/>
  <c r="D36" i="22"/>
  <c r="D37" i="22"/>
  <c r="D37" i="24"/>
  <c r="D34" i="24"/>
  <c r="D34" i="22"/>
  <c r="E35" i="22"/>
  <c r="E35" i="24"/>
  <c r="E19" i="22"/>
  <c r="E19" i="24"/>
  <c r="E37" i="22"/>
  <c r="E37" i="24"/>
  <c r="D22" i="24"/>
  <c r="D22" i="22"/>
  <c r="E30" i="22"/>
  <c r="E30" i="24"/>
  <c r="E21" i="22"/>
  <c r="E21" i="24"/>
  <c r="D38" i="24"/>
  <c r="D38" i="22"/>
  <c r="E20" i="22"/>
  <c r="E20" i="24"/>
  <c r="D27" i="24"/>
  <c r="D27" i="22"/>
  <c r="E14" i="22"/>
  <c r="E14" i="24"/>
  <c r="D18" i="22"/>
  <c r="D18" i="24"/>
  <c r="D17" i="22"/>
  <c r="D17" i="24"/>
  <c r="D16" i="22"/>
  <c r="D16" i="24"/>
  <c r="D14" i="22"/>
  <c r="D14" i="24"/>
  <c r="I75" i="25"/>
  <c r="G74" i="25"/>
  <c r="H74" i="25" s="1"/>
  <c r="G72" i="25"/>
  <c r="H72" i="25" s="1"/>
  <c r="I73" i="25"/>
  <c r="G73" i="25"/>
  <c r="H73" i="25" s="1"/>
  <c r="I74" i="25"/>
  <c r="J73" i="25" l="1"/>
  <c r="J74" i="25" s="1"/>
  <c r="J75" i="25" s="1"/>
  <c r="J76" i="25" s="1"/>
  <c r="J77" i="25" s="1"/>
  <c r="J78" i="25" s="1"/>
  <c r="J79" i="25" s="1"/>
  <c r="E23" i="22"/>
  <c r="E28" i="24"/>
  <c r="E22" i="24"/>
  <c r="D32" i="24"/>
  <c r="D32" i="22"/>
  <c r="D31" i="24"/>
  <c r="D31" i="22"/>
  <c r="E34" i="22"/>
  <c r="E34" i="24"/>
  <c r="D33" i="24"/>
  <c r="D33" i="22"/>
  <c r="E26" i="22"/>
  <c r="E26" i="24"/>
  <c r="E38" i="22"/>
  <c r="E38" i="24"/>
  <c r="E27" i="22"/>
  <c r="E27" i="24"/>
  <c r="E36" i="22"/>
  <c r="E36" i="24"/>
  <c r="E25" i="22"/>
  <c r="E25" i="24"/>
  <c r="E17" i="22"/>
  <c r="E17" i="24"/>
  <c r="E18" i="22"/>
  <c r="E18" i="24"/>
  <c r="E16" i="22"/>
  <c r="E16" i="24"/>
  <c r="K58" i="25"/>
  <c r="L58" i="25" s="1"/>
  <c r="L57" i="25"/>
  <c r="E31" i="22" l="1"/>
  <c r="E31" i="24"/>
  <c r="E32" i="22"/>
  <c r="E32" i="24"/>
  <c r="E33" i="22"/>
  <c r="E33" i="24"/>
  <c r="K59" i="25"/>
  <c r="L59" i="25" s="1"/>
  <c r="K60" i="25" l="1"/>
  <c r="L60" i="25" s="1"/>
  <c r="K61" i="25" l="1"/>
  <c r="L61" i="25" s="1"/>
  <c r="K62" i="25" l="1"/>
  <c r="L62" i="25" s="1"/>
  <c r="K63" i="25" l="1"/>
  <c r="L63" i="25" s="1"/>
  <c r="K64" i="25" l="1"/>
  <c r="L64" i="25" s="1"/>
  <c r="K65" i="25" l="1"/>
  <c r="L65" i="25" s="1"/>
  <c r="K66" i="25" l="1"/>
  <c r="L66" i="25" s="1"/>
  <c r="K67" i="25" l="1"/>
  <c r="L67" i="25" s="1"/>
  <c r="K68" i="25" l="1"/>
  <c r="L68" i="25" s="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B6" i="31"/>
  <c r="B7" i="31" s="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K69" i="25" l="1"/>
  <c r="L69" i="25" s="1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K70" i="25" l="1"/>
  <c r="L70" i="25" s="1"/>
  <c r="K71" i="25" l="1"/>
  <c r="L71" i="25" s="1"/>
  <c r="K72" i="25" l="1"/>
  <c r="L72" i="25" s="1"/>
  <c r="K73" i="25" l="1"/>
  <c r="L73" i="25" s="1"/>
  <c r="K74" i="25" l="1"/>
  <c r="L74" i="25" s="1"/>
  <c r="K75" i="25" l="1"/>
  <c r="L75" i="25" s="1"/>
  <c r="K76" i="25" l="1"/>
  <c r="L76" i="25" s="1"/>
  <c r="K77" i="25" l="1"/>
  <c r="L77" i="25" s="1"/>
  <c r="K78" i="25" l="1"/>
  <c r="L78" i="25" s="1"/>
  <c r="K79" i="25" l="1"/>
  <c r="L79" i="25" s="1"/>
  <c r="G23" i="24" l="1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D6" i="25" l="1"/>
  <c r="D7" i="25"/>
  <c r="D8" i="25"/>
  <c r="D9" i="25"/>
  <c r="D14" i="25"/>
  <c r="E7" i="25" l="1"/>
  <c r="I11" i="25" s="1"/>
  <c r="E8" i="25"/>
  <c r="I12" i="25" s="1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3" i="25"/>
  <c r="D12" i="25"/>
  <c r="D11" i="25"/>
  <c r="D10" i="25"/>
  <c r="E9" i="25" s="1"/>
  <c r="I13" i="25" s="1"/>
  <c r="E20" i="25" l="1"/>
  <c r="E28" i="25"/>
  <c r="E38" i="25"/>
  <c r="E10" i="25"/>
  <c r="I14" i="25" s="1"/>
  <c r="E18" i="25"/>
  <c r="E26" i="25"/>
  <c r="E34" i="25"/>
  <c r="E16" i="25"/>
  <c r="E24" i="25"/>
  <c r="E32" i="25"/>
  <c r="E12" i="25"/>
  <c r="E22" i="25"/>
  <c r="E30" i="25"/>
  <c r="E36" i="25"/>
  <c r="E13" i="25"/>
  <c r="E11" i="25"/>
  <c r="E14" i="25"/>
  <c r="E17" i="25"/>
  <c r="E19" i="25"/>
  <c r="E21" i="25"/>
  <c r="E23" i="25"/>
  <c r="E25" i="25"/>
  <c r="E27" i="25"/>
  <c r="E29" i="25"/>
  <c r="E31" i="25"/>
  <c r="E33" i="25"/>
  <c r="E35" i="25"/>
  <c r="E37" i="25"/>
  <c r="E15" i="25"/>
  <c r="G30" i="25" l="1"/>
  <c r="G18" i="25"/>
  <c r="H18" i="25" s="1"/>
  <c r="I19" i="25"/>
  <c r="G26" i="25"/>
  <c r="H26" i="25" s="1"/>
  <c r="I27" i="25"/>
  <c r="G29" i="25"/>
  <c r="H29" i="25" s="1"/>
  <c r="I30" i="25"/>
  <c r="G31" i="25"/>
  <c r="H31" i="25" s="1"/>
  <c r="I32" i="25"/>
  <c r="G38" i="25"/>
  <c r="H38" i="25" s="1"/>
  <c r="I31" i="25"/>
  <c r="G22" i="25"/>
  <c r="H22" i="25" s="1"/>
  <c r="I23" i="25"/>
  <c r="G16" i="25"/>
  <c r="H16" i="25" s="1"/>
  <c r="I17" i="25"/>
  <c r="G25" i="25"/>
  <c r="H25" i="25" s="1"/>
  <c r="I26" i="25"/>
  <c r="G19" i="25"/>
  <c r="H19" i="25" s="1"/>
  <c r="I20" i="25"/>
  <c r="G36" i="25"/>
  <c r="H36" i="25" s="1"/>
  <c r="I37" i="25"/>
  <c r="G28" i="25"/>
  <c r="H28" i="25" s="1"/>
  <c r="I29" i="25"/>
  <c r="G20" i="25"/>
  <c r="H20" i="25" s="1"/>
  <c r="I21" i="25"/>
  <c r="G15" i="25"/>
  <c r="H15" i="25" s="1"/>
  <c r="I16" i="25"/>
  <c r="G37" i="25"/>
  <c r="H37" i="25" s="1"/>
  <c r="I38" i="25"/>
  <c r="G34" i="25"/>
  <c r="H34" i="25" s="1"/>
  <c r="I35" i="25"/>
  <c r="G17" i="25"/>
  <c r="H17" i="25" s="1"/>
  <c r="I18" i="25"/>
  <c r="G35" i="25"/>
  <c r="H35" i="25" s="1"/>
  <c r="I36" i="25"/>
  <c r="G32" i="25"/>
  <c r="H32" i="25" s="1"/>
  <c r="I33" i="25"/>
  <c r="G24" i="25"/>
  <c r="H24" i="25" s="1"/>
  <c r="I25" i="25"/>
  <c r="G14" i="25"/>
  <c r="H14" i="25" s="1"/>
  <c r="I15" i="25"/>
  <c r="J15" i="25" s="1"/>
  <c r="G33" i="25"/>
  <c r="H33" i="25" s="1"/>
  <c r="I34" i="25"/>
  <c r="G27" i="25"/>
  <c r="H27" i="25" s="1"/>
  <c r="I28" i="25"/>
  <c r="G21" i="25"/>
  <c r="H21" i="25" s="1"/>
  <c r="I22" i="25"/>
  <c r="G23" i="25"/>
  <c r="H23" i="25" s="1"/>
  <c r="I24" i="25"/>
  <c r="J16" i="25" l="1"/>
  <c r="B30" i="22"/>
  <c r="H30" i="25"/>
  <c r="C30" i="22" s="1"/>
  <c r="B30" i="24"/>
  <c r="C23" i="24"/>
  <c r="C23" i="22"/>
  <c r="B14" i="24"/>
  <c r="B14" i="22"/>
  <c r="B35" i="22"/>
  <c r="B35" i="24"/>
  <c r="C15" i="24"/>
  <c r="C15" i="22"/>
  <c r="B27" i="22"/>
  <c r="B27" i="24"/>
  <c r="C33" i="24"/>
  <c r="C33" i="22"/>
  <c r="B32" i="22"/>
  <c r="B32" i="24"/>
  <c r="C35" i="24"/>
  <c r="C35" i="22"/>
  <c r="C37" i="24"/>
  <c r="C37" i="22"/>
  <c r="B28" i="22"/>
  <c r="B28" i="24"/>
  <c r="C36" i="24"/>
  <c r="C36" i="22"/>
  <c r="B19" i="22"/>
  <c r="B19" i="24"/>
  <c r="C25" i="24"/>
  <c r="C25" i="22"/>
  <c r="C31" i="24"/>
  <c r="C31" i="22"/>
  <c r="B18" i="24"/>
  <c r="B18" i="22"/>
  <c r="B33" i="22"/>
  <c r="B33" i="24"/>
  <c r="B37" i="22"/>
  <c r="B37" i="24"/>
  <c r="C27" i="24"/>
  <c r="C27" i="22"/>
  <c r="C17" i="24"/>
  <c r="C17" i="22"/>
  <c r="B21" i="22"/>
  <c r="B21" i="24"/>
  <c r="B24" i="22"/>
  <c r="B24" i="24"/>
  <c r="C32" i="24"/>
  <c r="C32" i="22"/>
  <c r="B34" i="22"/>
  <c r="B34" i="24"/>
  <c r="L16" i="25"/>
  <c r="K17" i="25"/>
  <c r="L17" i="25" s="1"/>
  <c r="B20" i="22"/>
  <c r="B20" i="24"/>
  <c r="C28" i="24"/>
  <c r="C28" i="22"/>
  <c r="C19" i="24"/>
  <c r="C19" i="22"/>
  <c r="B22" i="22"/>
  <c r="B22" i="24"/>
  <c r="B38" i="22"/>
  <c r="B38" i="24"/>
  <c r="B26" i="22"/>
  <c r="B26" i="24"/>
  <c r="C18" i="22"/>
  <c r="C18" i="24"/>
  <c r="B23" i="22"/>
  <c r="B23" i="24"/>
  <c r="C21" i="24"/>
  <c r="C21" i="22"/>
  <c r="C14" i="22"/>
  <c r="C14" i="24"/>
  <c r="C24" i="24"/>
  <c r="C24" i="22"/>
  <c r="B17" i="22"/>
  <c r="B17" i="24"/>
  <c r="C34" i="24"/>
  <c r="C34" i="22"/>
  <c r="B15" i="22"/>
  <c r="B15" i="24"/>
  <c r="C20" i="24"/>
  <c r="C20" i="22"/>
  <c r="B16" i="24"/>
  <c r="B16" i="22"/>
  <c r="C22" i="24"/>
  <c r="C22" i="22"/>
  <c r="C38" i="24"/>
  <c r="C38" i="22"/>
  <c r="B29" i="22"/>
  <c r="B29" i="24"/>
  <c r="C26" i="24"/>
  <c r="C26" i="22"/>
  <c r="B36" i="22"/>
  <c r="B36" i="24"/>
  <c r="B25" i="22"/>
  <c r="B25" i="24"/>
  <c r="C16" i="22"/>
  <c r="C16" i="24"/>
  <c r="B31" i="22"/>
  <c r="B31" i="24"/>
  <c r="C29" i="24"/>
  <c r="C29" i="22"/>
  <c r="L14" i="24" l="1"/>
  <c r="K14" i="24"/>
  <c r="J17" i="25"/>
  <c r="C30" i="24"/>
  <c r="K18" i="25"/>
  <c r="L18" i="25" s="1"/>
  <c r="H24" i="24"/>
  <c r="I24" i="24"/>
  <c r="K15" i="24" l="1"/>
  <c r="P14" i="24"/>
  <c r="L15" i="24"/>
  <c r="Q14" i="24"/>
  <c r="J18" i="25"/>
  <c r="K19" i="25"/>
  <c r="I25" i="24"/>
  <c r="I23" i="24"/>
  <c r="H34" i="24"/>
  <c r="H26" i="24"/>
  <c r="I34" i="24"/>
  <c r="I26" i="24"/>
  <c r="H25" i="24"/>
  <c r="H23" i="24"/>
  <c r="A6" i="25"/>
  <c r="A7" i="25" s="1"/>
  <c r="A8" i="25" s="1"/>
  <c r="A9" i="25" s="1"/>
  <c r="G22" i="24"/>
  <c r="G21" i="24"/>
  <c r="G20" i="24"/>
  <c r="G19" i="24"/>
  <c r="I19" i="24" s="1"/>
  <c r="G18" i="24"/>
  <c r="G17" i="24"/>
  <c r="G16" i="24"/>
  <c r="G15" i="24"/>
  <c r="G14" i="24"/>
  <c r="G13" i="24"/>
  <c r="I12" i="24"/>
  <c r="H12" i="24"/>
  <c r="I11" i="24"/>
  <c r="H11" i="24"/>
  <c r="I10" i="24"/>
  <c r="H10" i="24"/>
  <c r="I9" i="24"/>
  <c r="H9" i="24"/>
  <c r="I8" i="24"/>
  <c r="H8" i="24"/>
  <c r="I7" i="24"/>
  <c r="H7" i="24"/>
  <c r="A6" i="24"/>
  <c r="A7" i="24" s="1"/>
  <c r="A8" i="24" s="1"/>
  <c r="A9" i="24" s="1"/>
  <c r="I5" i="24"/>
  <c r="H5" i="24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6" i="22"/>
  <c r="A7" i="22" s="1"/>
  <c r="A8" i="22" s="1"/>
  <c r="A9" i="22" s="1"/>
  <c r="A10" i="22" s="1"/>
  <c r="A11" i="22" s="1"/>
  <c r="A12" i="22" s="1"/>
  <c r="K16" i="24" l="1"/>
  <c r="P15" i="24"/>
  <c r="L16" i="24"/>
  <c r="Q15" i="24"/>
  <c r="N13" i="24"/>
  <c r="M13" i="24"/>
  <c r="J19" i="25"/>
  <c r="K20" i="25"/>
  <c r="L19" i="25"/>
  <c r="I13" i="24"/>
  <c r="H14" i="24"/>
  <c r="I17" i="24"/>
  <c r="H18" i="24"/>
  <c r="H22" i="24"/>
  <c r="I14" i="24"/>
  <c r="H19" i="24"/>
  <c r="I6" i="24"/>
  <c r="H16" i="24"/>
  <c r="H20" i="24"/>
  <c r="H6" i="24"/>
  <c r="H13" i="24"/>
  <c r="I16" i="24"/>
  <c r="H17" i="24"/>
  <c r="I20" i="24"/>
  <c r="I21" i="24"/>
  <c r="H21" i="24"/>
  <c r="I22" i="24"/>
  <c r="I18" i="24"/>
  <c r="I28" i="24"/>
  <c r="H27" i="24"/>
  <c r="H33" i="24"/>
  <c r="H35" i="24"/>
  <c r="I29" i="24"/>
  <c r="I30" i="24"/>
  <c r="I27" i="24"/>
  <c r="H38" i="24"/>
  <c r="I33" i="24"/>
  <c r="H31" i="24"/>
  <c r="I35" i="24"/>
  <c r="H37" i="24"/>
  <c r="H32" i="24"/>
  <c r="H36" i="24"/>
  <c r="I38" i="24"/>
  <c r="I31" i="24"/>
  <c r="H29" i="24"/>
  <c r="H30" i="24"/>
  <c r="H28" i="24"/>
  <c r="I37" i="24"/>
  <c r="I32" i="24"/>
  <c r="I36" i="24"/>
  <c r="A13" i="22"/>
  <c r="A10" i="24"/>
  <c r="A10" i="25"/>
  <c r="M14" i="24" l="1"/>
  <c r="R14" i="24" s="1"/>
  <c r="R13" i="24"/>
  <c r="N14" i="24"/>
  <c r="S14" i="24" s="1"/>
  <c r="S13" i="24"/>
  <c r="K17" i="24"/>
  <c r="P16" i="24"/>
  <c r="L17" i="24"/>
  <c r="Q16" i="24"/>
  <c r="J20" i="25"/>
  <c r="K21" i="25"/>
  <c r="L20" i="25"/>
  <c r="F7" i="23"/>
  <c r="J7" i="22"/>
  <c r="H6" i="22"/>
  <c r="D6" i="23"/>
  <c r="E6" i="23"/>
  <c r="I6" i="22"/>
  <c r="F6" i="23"/>
  <c r="J6" i="22"/>
  <c r="C6" i="23"/>
  <c r="G6" i="22"/>
  <c r="A14" i="22"/>
  <c r="A11" i="24"/>
  <c r="A11" i="25"/>
  <c r="K18" i="24" l="1"/>
  <c r="P17" i="24"/>
  <c r="L18" i="24"/>
  <c r="Q17" i="24"/>
  <c r="M6" i="22"/>
  <c r="L6" i="22"/>
  <c r="N6" i="22"/>
  <c r="O7" i="22"/>
  <c r="O6" i="22"/>
  <c r="H6" i="23"/>
  <c r="J6" i="23"/>
  <c r="I6" i="23"/>
  <c r="K7" i="23"/>
  <c r="K6" i="23"/>
  <c r="J21" i="25"/>
  <c r="K22" i="25"/>
  <c r="L22" i="25" s="1"/>
  <c r="L21" i="25"/>
  <c r="E8" i="23"/>
  <c r="I7" i="22"/>
  <c r="N7" i="22" s="1"/>
  <c r="E7" i="23"/>
  <c r="J7" i="23" s="1"/>
  <c r="H8" i="22"/>
  <c r="D8" i="23"/>
  <c r="H7" i="22"/>
  <c r="M7" i="22" s="1"/>
  <c r="D7" i="23"/>
  <c r="F8" i="23"/>
  <c r="J8" i="22"/>
  <c r="G7" i="22"/>
  <c r="C7" i="23"/>
  <c r="A15" i="22"/>
  <c r="A12" i="24"/>
  <c r="A12" i="25"/>
  <c r="K19" i="24" l="1"/>
  <c r="P18" i="24"/>
  <c r="L19" i="24"/>
  <c r="Q18" i="24"/>
  <c r="M8" i="22"/>
  <c r="O8" i="22"/>
  <c r="L7" i="22"/>
  <c r="I8" i="23"/>
  <c r="H7" i="23"/>
  <c r="I7" i="23"/>
  <c r="J8" i="23"/>
  <c r="K8" i="23"/>
  <c r="J22" i="25"/>
  <c r="K23" i="25"/>
  <c r="L23" i="25" s="1"/>
  <c r="I8" i="22"/>
  <c r="C8" i="23"/>
  <c r="G8" i="22"/>
  <c r="L8" i="22" s="1"/>
  <c r="F9" i="23"/>
  <c r="J9" i="22"/>
  <c r="H9" i="22"/>
  <c r="M9" i="22" s="1"/>
  <c r="D9" i="23"/>
  <c r="I9" i="23" s="1"/>
  <c r="A16" i="22"/>
  <c r="A13" i="24"/>
  <c r="A13" i="25"/>
  <c r="K20" i="24" l="1"/>
  <c r="P19" i="24"/>
  <c r="L20" i="24"/>
  <c r="Q19" i="24"/>
  <c r="O9" i="22"/>
  <c r="N8" i="22"/>
  <c r="K9" i="23"/>
  <c r="H8" i="23"/>
  <c r="J23" i="25"/>
  <c r="K24" i="25"/>
  <c r="L24" i="25" s="1"/>
  <c r="E9" i="23"/>
  <c r="I9" i="22"/>
  <c r="F10" i="23"/>
  <c r="J10" i="22"/>
  <c r="E10" i="23"/>
  <c r="I10" i="22"/>
  <c r="G9" i="22"/>
  <c r="C9" i="23"/>
  <c r="H9" i="23" s="1"/>
  <c r="H10" i="22"/>
  <c r="D10" i="23"/>
  <c r="A17" i="22"/>
  <c r="A14" i="24"/>
  <c r="A14" i="25"/>
  <c r="K21" i="24" l="1"/>
  <c r="P20" i="24"/>
  <c r="L21" i="24"/>
  <c r="Q20" i="24"/>
  <c r="L9" i="22"/>
  <c r="M10" i="22"/>
  <c r="R10" i="22" s="1"/>
  <c r="O10" i="22"/>
  <c r="T10" i="22" s="1"/>
  <c r="N10" i="22"/>
  <c r="N9" i="22"/>
  <c r="J10" i="23"/>
  <c r="J9" i="23"/>
  <c r="I10" i="23"/>
  <c r="N10" i="23" s="1"/>
  <c r="K10" i="23"/>
  <c r="J24" i="25"/>
  <c r="K25" i="25"/>
  <c r="L25" i="25" s="1"/>
  <c r="I11" i="22"/>
  <c r="N11" i="22" s="1"/>
  <c r="E11" i="23"/>
  <c r="J11" i="23" s="1"/>
  <c r="H11" i="22"/>
  <c r="D11" i="23"/>
  <c r="F11" i="23"/>
  <c r="J11" i="22"/>
  <c r="C10" i="23"/>
  <c r="G10" i="22"/>
  <c r="L10" i="22" s="1"/>
  <c r="A18" i="22"/>
  <c r="A15" i="24"/>
  <c r="A15" i="25"/>
  <c r="S10" i="22" l="1"/>
  <c r="O10" i="23"/>
  <c r="K22" i="24"/>
  <c r="P21" i="24"/>
  <c r="L22" i="24"/>
  <c r="Q21" i="24"/>
  <c r="M11" i="22"/>
  <c r="R11" i="22" s="1"/>
  <c r="Q10" i="22"/>
  <c r="O11" i="22"/>
  <c r="T11" i="22" s="1"/>
  <c r="H10" i="23"/>
  <c r="I11" i="23"/>
  <c r="N11" i="23" s="1"/>
  <c r="K11" i="23"/>
  <c r="P11" i="23" s="1"/>
  <c r="J25" i="25"/>
  <c r="K26" i="25"/>
  <c r="L26" i="25" s="1"/>
  <c r="O11" i="23"/>
  <c r="P10" i="23"/>
  <c r="S11" i="22"/>
  <c r="G11" i="22"/>
  <c r="L11" i="22" s="1"/>
  <c r="C11" i="23"/>
  <c r="F12" i="23"/>
  <c r="J12" i="22"/>
  <c r="E12" i="23"/>
  <c r="J12" i="23" s="1"/>
  <c r="I12" i="22"/>
  <c r="H12" i="22"/>
  <c r="D12" i="23"/>
  <c r="I12" i="23" s="1"/>
  <c r="A19" i="22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16" i="24"/>
  <c r="A16" i="25"/>
  <c r="K23" i="24" l="1"/>
  <c r="P22" i="24"/>
  <c r="L23" i="24"/>
  <c r="Q22" i="24"/>
  <c r="M12" i="22"/>
  <c r="R12" i="22" s="1"/>
  <c r="Q11" i="22"/>
  <c r="N12" i="22"/>
  <c r="S12" i="22" s="1"/>
  <c r="O12" i="22"/>
  <c r="T12" i="22" s="1"/>
  <c r="K12" i="23"/>
  <c r="N12" i="23"/>
  <c r="O12" i="23"/>
  <c r="H11" i="23"/>
  <c r="M11" i="23" s="1"/>
  <c r="J26" i="25"/>
  <c r="K27" i="25"/>
  <c r="L27" i="25" s="1"/>
  <c r="M10" i="23"/>
  <c r="J13" i="22"/>
  <c r="F13" i="23"/>
  <c r="E13" i="23"/>
  <c r="J13" i="23" s="1"/>
  <c r="I13" i="22"/>
  <c r="C12" i="23"/>
  <c r="G12" i="22"/>
  <c r="H13" i="22"/>
  <c r="D13" i="23"/>
  <c r="I13" i="23" s="1"/>
  <c r="A17" i="24"/>
  <c r="A17" i="25"/>
  <c r="K24" i="24" l="1"/>
  <c r="P23" i="24"/>
  <c r="L24" i="24"/>
  <c r="Q23" i="24"/>
  <c r="M13" i="22"/>
  <c r="R13" i="22" s="1"/>
  <c r="O13" i="22"/>
  <c r="T13" i="22" s="1"/>
  <c r="N13" i="22"/>
  <c r="S13" i="22" s="1"/>
  <c r="L12" i="22"/>
  <c r="Q12" i="22" s="1"/>
  <c r="N13" i="23"/>
  <c r="O13" i="23"/>
  <c r="H12" i="23"/>
  <c r="M12" i="23" s="1"/>
  <c r="K13" i="23"/>
  <c r="P13" i="23" s="1"/>
  <c r="J27" i="25"/>
  <c r="K28" i="25"/>
  <c r="L28" i="25" s="1"/>
  <c r="P12" i="23"/>
  <c r="C13" i="23"/>
  <c r="H13" i="23" s="1"/>
  <c r="G13" i="22"/>
  <c r="H14" i="22"/>
  <c r="M14" i="22" s="1"/>
  <c r="D14" i="23"/>
  <c r="I14" i="23" s="1"/>
  <c r="F14" i="23"/>
  <c r="J14" i="22"/>
  <c r="O14" i="22" s="1"/>
  <c r="E14" i="23"/>
  <c r="I14" i="22"/>
  <c r="A18" i="24"/>
  <c r="A18" i="25"/>
  <c r="K25" i="24" l="1"/>
  <c r="P24" i="24"/>
  <c r="L25" i="24"/>
  <c r="Q24" i="24"/>
  <c r="R14" i="22"/>
  <c r="T14" i="22"/>
  <c r="N14" i="22"/>
  <c r="S14" i="22" s="1"/>
  <c r="L13" i="22"/>
  <c r="Q13" i="22" s="1"/>
  <c r="N14" i="23"/>
  <c r="J14" i="23"/>
  <c r="O14" i="23" s="1"/>
  <c r="K14" i="23"/>
  <c r="P14" i="23" s="1"/>
  <c r="J28" i="25"/>
  <c r="K29" i="25"/>
  <c r="L29" i="25" s="1"/>
  <c r="M13" i="23"/>
  <c r="C14" i="23"/>
  <c r="G14" i="22"/>
  <c r="D15" i="23"/>
  <c r="I15" i="23" s="1"/>
  <c r="H15" i="22"/>
  <c r="M15" i="22" s="1"/>
  <c r="A19" i="24"/>
  <c r="A19" i="25"/>
  <c r="K26" i="24" l="1"/>
  <c r="P25" i="24"/>
  <c r="L26" i="24"/>
  <c r="Q25" i="24"/>
  <c r="L14" i="22"/>
  <c r="Q14" i="22" s="1"/>
  <c r="R15" i="22"/>
  <c r="N15" i="23"/>
  <c r="H14" i="23"/>
  <c r="M14" i="23" s="1"/>
  <c r="J29" i="25"/>
  <c r="K30" i="25"/>
  <c r="L30" i="25" s="1"/>
  <c r="C16" i="23"/>
  <c r="C15" i="23"/>
  <c r="G15" i="22"/>
  <c r="L15" i="22" s="1"/>
  <c r="H16" i="22"/>
  <c r="D16" i="23"/>
  <c r="I16" i="23" s="1"/>
  <c r="A20" i="24"/>
  <c r="A20" i="25"/>
  <c r="K27" i="24" l="1"/>
  <c r="P26" i="24"/>
  <c r="L27" i="24"/>
  <c r="Q26" i="24"/>
  <c r="H16" i="23"/>
  <c r="Q15" i="22"/>
  <c r="M16" i="22"/>
  <c r="R16" i="22" s="1"/>
  <c r="H15" i="23"/>
  <c r="M15" i="23" s="1"/>
  <c r="N16" i="23"/>
  <c r="J30" i="25"/>
  <c r="K31" i="25"/>
  <c r="L31" i="25" s="1"/>
  <c r="C17" i="23"/>
  <c r="G16" i="22"/>
  <c r="L16" i="22" s="1"/>
  <c r="D17" i="23"/>
  <c r="I17" i="23" s="1"/>
  <c r="H17" i="22"/>
  <c r="A21" i="24"/>
  <c r="A21" i="25"/>
  <c r="K28" i="24" l="1"/>
  <c r="P27" i="24"/>
  <c r="L28" i="24"/>
  <c r="Q27" i="24"/>
  <c r="M17" i="22"/>
  <c r="R17" i="22" s="1"/>
  <c r="Q16" i="22"/>
  <c r="N17" i="23"/>
  <c r="H17" i="23"/>
  <c r="M17" i="23" s="1"/>
  <c r="J31" i="25"/>
  <c r="K32" i="25"/>
  <c r="G18" i="22"/>
  <c r="M16" i="23"/>
  <c r="G17" i="22"/>
  <c r="L17" i="22" s="1"/>
  <c r="H18" i="22"/>
  <c r="M18" i="22" s="1"/>
  <c r="D18" i="23"/>
  <c r="I18" i="23" s="1"/>
  <c r="A22" i="24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22" i="25"/>
  <c r="K29" i="24" l="1"/>
  <c r="P28" i="24"/>
  <c r="L29" i="24"/>
  <c r="Q28" i="24"/>
  <c r="G19" i="22"/>
  <c r="L19" i="22" s="1"/>
  <c r="H19" i="22"/>
  <c r="Q17" i="22"/>
  <c r="L18" i="22"/>
  <c r="Q18" i="22" s="1"/>
  <c r="N18" i="23"/>
  <c r="J32" i="25"/>
  <c r="K33" i="25"/>
  <c r="L33" i="25" s="1"/>
  <c r="L32" i="25"/>
  <c r="R18" i="22"/>
  <c r="C18" i="23"/>
  <c r="D19" i="23"/>
  <c r="I19" i="23" s="1"/>
  <c r="A23" i="25"/>
  <c r="K30" i="24" l="1"/>
  <c r="P29" i="24"/>
  <c r="Q29" i="24"/>
  <c r="L30" i="24"/>
  <c r="H20" i="22"/>
  <c r="M20" i="22" s="1"/>
  <c r="G20" i="22"/>
  <c r="L20" i="22" s="1"/>
  <c r="M19" i="22"/>
  <c r="R19" i="22" s="1"/>
  <c r="H18" i="23"/>
  <c r="M18" i="23" s="1"/>
  <c r="N19" i="23"/>
  <c r="J33" i="25"/>
  <c r="C19" i="23"/>
  <c r="K34" i="25"/>
  <c r="L34" i="25" s="1"/>
  <c r="C20" i="23"/>
  <c r="D20" i="23"/>
  <c r="Q19" i="22"/>
  <c r="A24" i="25"/>
  <c r="K31" i="24" l="1"/>
  <c r="P30" i="24"/>
  <c r="L31" i="24"/>
  <c r="Q30" i="24"/>
  <c r="H21" i="22"/>
  <c r="M21" i="22" s="1"/>
  <c r="G21" i="22"/>
  <c r="L21" i="22"/>
  <c r="Q21" i="22" s="1"/>
  <c r="H20" i="23"/>
  <c r="I20" i="23"/>
  <c r="N20" i="23" s="1"/>
  <c r="H19" i="23"/>
  <c r="J34" i="25"/>
  <c r="K35" i="25"/>
  <c r="L35" i="25" s="1"/>
  <c r="Q20" i="22"/>
  <c r="R20" i="22"/>
  <c r="D21" i="23"/>
  <c r="A25" i="25"/>
  <c r="M20" i="23" l="1"/>
  <c r="M19" i="23"/>
  <c r="K32" i="24"/>
  <c r="P31" i="24"/>
  <c r="L32" i="24"/>
  <c r="Q31" i="24"/>
  <c r="G22" i="22"/>
  <c r="L22" i="22" s="1"/>
  <c r="Q22" i="22" s="1"/>
  <c r="H22" i="22"/>
  <c r="M22" i="22" s="1"/>
  <c r="I21" i="23"/>
  <c r="N21" i="23" s="1"/>
  <c r="J35" i="25"/>
  <c r="K36" i="25"/>
  <c r="L36" i="25" s="1"/>
  <c r="C21" i="23"/>
  <c r="D22" i="23"/>
  <c r="I22" i="23" s="1"/>
  <c r="R21" i="22"/>
  <c r="A26" i="25"/>
  <c r="K33" i="24" l="1"/>
  <c r="P32" i="24"/>
  <c r="L33" i="24"/>
  <c r="Q32" i="24"/>
  <c r="G23" i="22"/>
  <c r="L23" i="22" s="1"/>
  <c r="Q23" i="22" s="1"/>
  <c r="H23" i="22"/>
  <c r="M23" i="22" s="1"/>
  <c r="R23" i="22" s="1"/>
  <c r="H21" i="23"/>
  <c r="M21" i="23" s="1"/>
  <c r="N22" i="23"/>
  <c r="J36" i="25"/>
  <c r="K37" i="25"/>
  <c r="L37" i="25" s="1"/>
  <c r="C23" i="23"/>
  <c r="C22" i="23"/>
  <c r="H22" i="23" s="1"/>
  <c r="R22" i="22"/>
  <c r="D23" i="23"/>
  <c r="A27" i="25"/>
  <c r="K34" i="24" l="1"/>
  <c r="P33" i="24"/>
  <c r="L34" i="24"/>
  <c r="Q33" i="24"/>
  <c r="G24" i="22"/>
  <c r="L24" i="22" s="1"/>
  <c r="Q24" i="22" s="1"/>
  <c r="H24" i="22"/>
  <c r="M24" i="22" s="1"/>
  <c r="R24" i="22" s="1"/>
  <c r="M22" i="23"/>
  <c r="H23" i="23"/>
  <c r="I23" i="23"/>
  <c r="N23" i="23" s="1"/>
  <c r="J37" i="25"/>
  <c r="M23" i="23"/>
  <c r="K38" i="25"/>
  <c r="L38" i="25" s="1"/>
  <c r="C24" i="23"/>
  <c r="D24" i="23"/>
  <c r="A28" i="25"/>
  <c r="K35" i="24" l="1"/>
  <c r="P34" i="24"/>
  <c r="L35" i="24"/>
  <c r="Q34" i="24"/>
  <c r="G25" i="22"/>
  <c r="L25" i="22" s="1"/>
  <c r="Q25" i="22" s="1"/>
  <c r="H25" i="22"/>
  <c r="M25" i="22" s="1"/>
  <c r="R25" i="22" s="1"/>
  <c r="H24" i="23"/>
  <c r="M24" i="23" s="1"/>
  <c r="I24" i="23"/>
  <c r="N24" i="23" s="1"/>
  <c r="J38" i="25"/>
  <c r="D25" i="23"/>
  <c r="I25" i="23" s="1"/>
  <c r="A29" i="25"/>
  <c r="K36" i="24" l="1"/>
  <c r="P35" i="24"/>
  <c r="L36" i="24"/>
  <c r="Q35" i="24"/>
  <c r="G26" i="22"/>
  <c r="L26" i="22" s="1"/>
  <c r="H26" i="22"/>
  <c r="M26" i="22" s="1"/>
  <c r="R26" i="22" s="1"/>
  <c r="N25" i="23"/>
  <c r="C25" i="23"/>
  <c r="D26" i="23"/>
  <c r="I26" i="23" s="1"/>
  <c r="A30" i="25"/>
  <c r="K37" i="24" l="1"/>
  <c r="P36" i="24"/>
  <c r="L37" i="24"/>
  <c r="Q36" i="24"/>
  <c r="H27" i="22"/>
  <c r="M27" i="22" s="1"/>
  <c r="R27" i="22" s="1"/>
  <c r="G27" i="22"/>
  <c r="L27" i="22" s="1"/>
  <c r="H25" i="23"/>
  <c r="M25" i="23" s="1"/>
  <c r="N26" i="23"/>
  <c r="C26" i="23"/>
  <c r="D27" i="23"/>
  <c r="Q26" i="22"/>
  <c r="A31" i="25"/>
  <c r="K38" i="24" l="1"/>
  <c r="P38" i="24" s="1"/>
  <c r="P37" i="24"/>
  <c r="L38" i="24"/>
  <c r="Q38" i="24" s="1"/>
  <c r="Q37" i="24"/>
  <c r="H28" i="22"/>
  <c r="M28" i="22" s="1"/>
  <c r="R28" i="22" s="1"/>
  <c r="G28" i="22"/>
  <c r="L28" i="22" s="1"/>
  <c r="H26" i="23"/>
  <c r="M26" i="23" s="1"/>
  <c r="I27" i="23"/>
  <c r="N27" i="23" s="1"/>
  <c r="C27" i="23"/>
  <c r="H27" i="23" s="1"/>
  <c r="C28" i="23"/>
  <c r="D28" i="23"/>
  <c r="Q27" i="22"/>
  <c r="A32" i="25"/>
  <c r="H29" i="22" l="1"/>
  <c r="M29" i="22" s="1"/>
  <c r="R29" i="22" s="1"/>
  <c r="G29" i="22"/>
  <c r="L29" i="22" s="1"/>
  <c r="I28" i="23"/>
  <c r="N28" i="23" s="1"/>
  <c r="M27" i="23"/>
  <c r="H28" i="23"/>
  <c r="M28" i="23" s="1"/>
  <c r="Q28" i="22"/>
  <c r="D29" i="23"/>
  <c r="I29" i="23" s="1"/>
  <c r="A33" i="25"/>
  <c r="H30" i="22" l="1"/>
  <c r="M30" i="22" s="1"/>
  <c r="R30" i="22" s="1"/>
  <c r="G30" i="22"/>
  <c r="L30" i="22" s="1"/>
  <c r="N29" i="23"/>
  <c r="C29" i="23"/>
  <c r="C30" i="23"/>
  <c r="D30" i="23"/>
  <c r="I30" i="23" s="1"/>
  <c r="Q29" i="22"/>
  <c r="A34" i="25"/>
  <c r="H31" i="22" l="1"/>
  <c r="M31" i="22" s="1"/>
  <c r="R31" i="22" s="1"/>
  <c r="G31" i="22"/>
  <c r="L31" i="22" s="1"/>
  <c r="H30" i="23"/>
  <c r="H29" i="23"/>
  <c r="M29" i="23" s="1"/>
  <c r="N30" i="23"/>
  <c r="D31" i="23"/>
  <c r="I31" i="23" s="1"/>
  <c r="Q30" i="22"/>
  <c r="A35" i="25"/>
  <c r="M30" i="23" l="1"/>
  <c r="H32" i="22"/>
  <c r="M32" i="22" s="1"/>
  <c r="R32" i="22" s="1"/>
  <c r="G32" i="22"/>
  <c r="L32" i="22" s="1"/>
  <c r="N31" i="23"/>
  <c r="C31" i="23"/>
  <c r="C32" i="23"/>
  <c r="Q31" i="22"/>
  <c r="D32" i="23"/>
  <c r="I32" i="23" s="1"/>
  <c r="A36" i="25"/>
  <c r="H33" i="22" l="1"/>
  <c r="M33" i="22" s="1"/>
  <c r="G33" i="22"/>
  <c r="L33" i="22" s="1"/>
  <c r="H32" i="23"/>
  <c r="H31" i="23"/>
  <c r="M31" i="23" s="1"/>
  <c r="N32" i="23"/>
  <c r="C33" i="23"/>
  <c r="D33" i="23"/>
  <c r="I33" i="23" s="1"/>
  <c r="Q32" i="22"/>
  <c r="A37" i="25"/>
  <c r="A38" i="25" s="1"/>
  <c r="H34" i="22" l="1"/>
  <c r="M34" i="22" s="1"/>
  <c r="G34" i="22"/>
  <c r="L34" i="22" s="1"/>
  <c r="Q34" i="22" s="1"/>
  <c r="M32" i="23"/>
  <c r="N33" i="23"/>
  <c r="H33" i="23"/>
  <c r="M33" i="23" s="1"/>
  <c r="Q33" i="22"/>
  <c r="D34" i="23"/>
  <c r="I34" i="23" s="1"/>
  <c r="R33" i="22"/>
  <c r="G35" i="22" l="1"/>
  <c r="L35" i="22" s="1"/>
  <c r="Q35" i="22" s="1"/>
  <c r="H35" i="22"/>
  <c r="N34" i="23"/>
  <c r="C34" i="23"/>
  <c r="R34" i="22"/>
  <c r="D35" i="23"/>
  <c r="I35" i="23" s="1"/>
  <c r="H36" i="22" l="1"/>
  <c r="G36" i="22"/>
  <c r="L36" i="22" s="1"/>
  <c r="Q36" i="22" s="1"/>
  <c r="M35" i="22"/>
  <c r="R35" i="22" s="1"/>
  <c r="H34" i="23"/>
  <c r="M34" i="23" s="1"/>
  <c r="C35" i="23"/>
  <c r="N35" i="23"/>
  <c r="D36" i="23"/>
  <c r="H37" i="22" l="1"/>
  <c r="G37" i="22"/>
  <c r="L37" i="22" s="1"/>
  <c r="Q37" i="22" s="1"/>
  <c r="M36" i="22"/>
  <c r="R36" i="22" s="1"/>
  <c r="H35" i="23"/>
  <c r="M35" i="23" s="1"/>
  <c r="I36" i="23"/>
  <c r="N36" i="23" s="1"/>
  <c r="C36" i="23"/>
  <c r="C37" i="23"/>
  <c r="D37" i="23"/>
  <c r="H38" i="22" l="1"/>
  <c r="M38" i="22" s="1"/>
  <c r="G38" i="22"/>
  <c r="L38" i="22" s="1"/>
  <c r="Q38" i="22" s="1"/>
  <c r="M37" i="22"/>
  <c r="R37" i="22" s="1"/>
  <c r="H37" i="23"/>
  <c r="H36" i="23"/>
  <c r="M36" i="23" s="1"/>
  <c r="I37" i="23"/>
  <c r="N37" i="23" s="1"/>
  <c r="D38" i="23"/>
  <c r="M37" i="23" l="1"/>
  <c r="I38" i="23"/>
  <c r="N38" i="23" s="1"/>
  <c r="C38" i="23"/>
  <c r="R38" i="22"/>
  <c r="H38" i="23" l="1"/>
  <c r="M38" i="23" s="1"/>
  <c r="D15" i="22" l="1"/>
  <c r="E15" i="22"/>
  <c r="D15" i="24"/>
  <c r="M15" i="24" s="1"/>
  <c r="M16" i="24" l="1"/>
  <c r="R16" i="24" s="1"/>
  <c r="R15" i="24"/>
  <c r="E15" i="24"/>
  <c r="H15" i="24"/>
  <c r="M17" i="24" l="1"/>
  <c r="R17" i="24" s="1"/>
  <c r="N15" i="24"/>
  <c r="I15" i="24"/>
  <c r="E15" i="23"/>
  <c r="I15" i="22"/>
  <c r="M18" i="24" l="1"/>
  <c r="M19" i="24" s="1"/>
  <c r="N16" i="24"/>
  <c r="S15" i="24"/>
  <c r="F15" i="23"/>
  <c r="J16" i="22"/>
  <c r="N15" i="22"/>
  <c r="S15" i="22" s="1"/>
  <c r="J15" i="23"/>
  <c r="O15" i="23" s="1"/>
  <c r="K15" i="23"/>
  <c r="P15" i="23" s="1"/>
  <c r="J15" i="22"/>
  <c r="E16" i="23"/>
  <c r="I16" i="22"/>
  <c r="N16" i="22" s="1"/>
  <c r="R18" i="24" l="1"/>
  <c r="M20" i="24"/>
  <c r="R19" i="24"/>
  <c r="S16" i="24"/>
  <c r="N17" i="24"/>
  <c r="F16" i="23"/>
  <c r="K16" i="23" s="1"/>
  <c r="P16" i="23" s="1"/>
  <c r="O16" i="22"/>
  <c r="O15" i="22"/>
  <c r="T15" i="22" s="1"/>
  <c r="J16" i="23"/>
  <c r="O16" i="23" s="1"/>
  <c r="S16" i="22"/>
  <c r="E17" i="23"/>
  <c r="I17" i="22"/>
  <c r="N17" i="22" s="1"/>
  <c r="F17" i="23"/>
  <c r="J17" i="22"/>
  <c r="N18" i="24" l="1"/>
  <c r="F18" i="23" s="1"/>
  <c r="S17" i="24"/>
  <c r="M21" i="24"/>
  <c r="R20" i="24"/>
  <c r="T16" i="22"/>
  <c r="S17" i="22"/>
  <c r="O17" i="22"/>
  <c r="T17" i="22" s="1"/>
  <c r="K17" i="23"/>
  <c r="P17" i="23" s="1"/>
  <c r="J17" i="23"/>
  <c r="O17" i="23" s="1"/>
  <c r="E18" i="23"/>
  <c r="J18" i="23" s="1"/>
  <c r="I18" i="22"/>
  <c r="J18" i="22" l="1"/>
  <c r="M22" i="24"/>
  <c r="R21" i="24"/>
  <c r="S18" i="24"/>
  <c r="N19" i="24"/>
  <c r="O18" i="22"/>
  <c r="T18" i="22" s="1"/>
  <c r="N18" i="22"/>
  <c r="S18" i="22" s="1"/>
  <c r="K18" i="23"/>
  <c r="P18" i="23" s="1"/>
  <c r="O18" i="23"/>
  <c r="J19" i="22"/>
  <c r="O19" i="22" s="1"/>
  <c r="I19" i="22"/>
  <c r="N19" i="22" s="1"/>
  <c r="E19" i="23"/>
  <c r="N20" i="24" l="1"/>
  <c r="S19" i="24"/>
  <c r="M23" i="24"/>
  <c r="R22" i="24"/>
  <c r="F19" i="23"/>
  <c r="K19" i="23" s="1"/>
  <c r="P19" i="23" s="1"/>
  <c r="J19" i="23"/>
  <c r="O19" i="23" s="1"/>
  <c r="I20" i="22"/>
  <c r="E20" i="23"/>
  <c r="J20" i="23" s="1"/>
  <c r="S19" i="22"/>
  <c r="F20" i="23"/>
  <c r="J20" i="22"/>
  <c r="O20" i="22" s="1"/>
  <c r="T19" i="22"/>
  <c r="M24" i="24" l="1"/>
  <c r="R23" i="24"/>
  <c r="N21" i="24"/>
  <c r="S20" i="24"/>
  <c r="N20" i="22"/>
  <c r="S20" i="22" s="1"/>
  <c r="O20" i="23"/>
  <c r="K20" i="23"/>
  <c r="P20" i="23" s="1"/>
  <c r="J21" i="22"/>
  <c r="O21" i="22" s="1"/>
  <c r="F21" i="23"/>
  <c r="E21" i="23"/>
  <c r="J21" i="23" s="1"/>
  <c r="I21" i="22"/>
  <c r="T20" i="22"/>
  <c r="N22" i="24" l="1"/>
  <c r="S21" i="24"/>
  <c r="M25" i="24"/>
  <c r="R24" i="24"/>
  <c r="V16" i="24"/>
  <c r="W16" i="22"/>
  <c r="N21" i="22"/>
  <c r="S21" i="22" s="1"/>
  <c r="K21" i="23"/>
  <c r="P21" i="23" s="1"/>
  <c r="O21" i="23"/>
  <c r="S17" i="23"/>
  <c r="J6" i="99" s="1"/>
  <c r="AC6" i="66" s="1"/>
  <c r="S18" i="23"/>
  <c r="J7" i="99" s="1"/>
  <c r="AC7" i="66" s="1"/>
  <c r="V17" i="24"/>
  <c r="N6" i="98" s="1"/>
  <c r="S16" i="23"/>
  <c r="I22" i="22"/>
  <c r="E22" i="23"/>
  <c r="J22" i="22"/>
  <c r="T21" i="22"/>
  <c r="V18" i="24" l="1"/>
  <c r="N7" i="98" s="1"/>
  <c r="S19" i="23"/>
  <c r="J8" i="99" s="1"/>
  <c r="AC8" i="66" s="1"/>
  <c r="M26" i="24"/>
  <c r="R25" i="24"/>
  <c r="N23" i="24"/>
  <c r="S22" i="24"/>
  <c r="F22" i="23"/>
  <c r="M6" i="98"/>
  <c r="H6" i="98" s="1"/>
  <c r="M6" i="99"/>
  <c r="K6" i="99"/>
  <c r="AD6" i="66" s="1"/>
  <c r="L6" i="98"/>
  <c r="W17" i="22"/>
  <c r="I6" i="99" s="1"/>
  <c r="W18" i="22"/>
  <c r="I7" i="99" s="1"/>
  <c r="O22" i="22"/>
  <c r="T22" i="22" s="1"/>
  <c r="N22" i="22"/>
  <c r="S22" i="22" s="1"/>
  <c r="J22" i="23"/>
  <c r="O22" i="23" s="1"/>
  <c r="K22" i="23"/>
  <c r="P22" i="23" s="1"/>
  <c r="J23" i="22"/>
  <c r="I23" i="22"/>
  <c r="N23" i="22" s="1"/>
  <c r="E23" i="23"/>
  <c r="F23" i="23"/>
  <c r="K23" i="23" s="1"/>
  <c r="AA6" i="66" l="1"/>
  <c r="AB6" i="66"/>
  <c r="AB7" i="66"/>
  <c r="AA7" i="66"/>
  <c r="N24" i="24"/>
  <c r="F24" i="23" s="1"/>
  <c r="S23" i="24"/>
  <c r="M27" i="24"/>
  <c r="R26" i="24"/>
  <c r="M7" i="99"/>
  <c r="K7" i="99"/>
  <c r="L7" i="98"/>
  <c r="M7" i="98"/>
  <c r="H7" i="98" s="1"/>
  <c r="O7" i="99"/>
  <c r="Q7" i="99"/>
  <c r="R7" i="99"/>
  <c r="P7" i="99"/>
  <c r="G6" i="99"/>
  <c r="Z6" i="66" s="1"/>
  <c r="E6" i="99"/>
  <c r="W6" i="66" s="1"/>
  <c r="R6" i="99"/>
  <c r="Q6" i="99"/>
  <c r="F6" i="31" s="1"/>
  <c r="F6" i="55" s="1"/>
  <c r="O6" i="99"/>
  <c r="P6" i="99"/>
  <c r="C6" i="31"/>
  <c r="H6" i="99"/>
  <c r="K6" i="98"/>
  <c r="C6" i="29" s="1"/>
  <c r="G6" i="98"/>
  <c r="F6" i="98" s="1"/>
  <c r="E6" i="29" s="1"/>
  <c r="W19" i="22"/>
  <c r="I8" i="99" s="1"/>
  <c r="O23" i="22"/>
  <c r="T23" i="22" s="1"/>
  <c r="J23" i="23"/>
  <c r="O23" i="23" s="1"/>
  <c r="S20" i="23"/>
  <c r="J9" i="99" s="1"/>
  <c r="AC9" i="66" s="1"/>
  <c r="V19" i="24"/>
  <c r="N8" i="98" s="1"/>
  <c r="J24" i="22"/>
  <c r="O24" i="22" s="1"/>
  <c r="S23" i="22"/>
  <c r="E24" i="23"/>
  <c r="I24" i="22"/>
  <c r="P23" i="23"/>
  <c r="C7" i="31" l="1"/>
  <c r="AD7" i="66"/>
  <c r="D34" i="66"/>
  <c r="I34" i="66"/>
  <c r="C34" i="66"/>
  <c r="H34" i="66"/>
  <c r="J35" i="66"/>
  <c r="E35" i="66"/>
  <c r="M35" i="66"/>
  <c r="AA8" i="66"/>
  <c r="AB8" i="66"/>
  <c r="M34" i="66"/>
  <c r="J34" i="66"/>
  <c r="E34" i="66"/>
  <c r="S21" i="23"/>
  <c r="J10" i="99" s="1"/>
  <c r="AC10" i="66" s="1"/>
  <c r="N25" i="24"/>
  <c r="S24" i="24"/>
  <c r="M28" i="24"/>
  <c r="R27" i="24"/>
  <c r="G7" i="99"/>
  <c r="Z7" i="66" s="1"/>
  <c r="H7" i="99"/>
  <c r="P8" i="99"/>
  <c r="O8" i="99"/>
  <c r="Q8" i="99"/>
  <c r="R8" i="99"/>
  <c r="F7" i="99"/>
  <c r="X7" i="66" s="1"/>
  <c r="F6" i="99"/>
  <c r="X6" i="66" s="1"/>
  <c r="F7" i="31"/>
  <c r="F7" i="55" s="1"/>
  <c r="E7" i="99"/>
  <c r="W7" i="66" s="1"/>
  <c r="M8" i="98"/>
  <c r="H8" i="98" s="1"/>
  <c r="M8" i="99"/>
  <c r="K8" i="99"/>
  <c r="L8" i="98"/>
  <c r="G7" i="98"/>
  <c r="F7" i="98" s="1"/>
  <c r="E7" i="29" s="1"/>
  <c r="K7" i="98"/>
  <c r="C7" i="29" s="1"/>
  <c r="W20" i="22"/>
  <c r="I9" i="99" s="1"/>
  <c r="N24" i="22"/>
  <c r="S24" i="22" s="1"/>
  <c r="K24" i="23"/>
  <c r="P24" i="23" s="1"/>
  <c r="J24" i="23"/>
  <c r="O24" i="23" s="1"/>
  <c r="V20" i="24"/>
  <c r="N9" i="98" s="1"/>
  <c r="T24" i="22"/>
  <c r="E25" i="23"/>
  <c r="J25" i="23" s="1"/>
  <c r="I25" i="22"/>
  <c r="N25" i="22" s="1"/>
  <c r="F25" i="23"/>
  <c r="K25" i="23" s="1"/>
  <c r="J25" i="22"/>
  <c r="O25" i="22" s="1"/>
  <c r="G8" i="99" l="1"/>
  <c r="Z8" i="66" s="1"/>
  <c r="AD8" i="66"/>
  <c r="J36" i="66"/>
  <c r="M36" i="66"/>
  <c r="E36" i="66"/>
  <c r="AA9" i="66"/>
  <c r="AB9" i="66"/>
  <c r="D35" i="66"/>
  <c r="I35" i="66"/>
  <c r="H35" i="66"/>
  <c r="C35" i="66"/>
  <c r="C36" i="66"/>
  <c r="I36" i="66"/>
  <c r="D36" i="66"/>
  <c r="H36" i="66"/>
  <c r="N26" i="24"/>
  <c r="F26" i="23" s="1"/>
  <c r="S25" i="24"/>
  <c r="M29" i="24"/>
  <c r="R28" i="24"/>
  <c r="D6" i="99"/>
  <c r="V6" i="66" s="1"/>
  <c r="F8" i="99"/>
  <c r="X8" i="66" s="1"/>
  <c r="L9" i="98"/>
  <c r="M9" i="99"/>
  <c r="K9" i="99"/>
  <c r="M9" i="98"/>
  <c r="H9" i="98" s="1"/>
  <c r="P9" i="99"/>
  <c r="O9" i="99"/>
  <c r="Q9" i="99"/>
  <c r="R9" i="99"/>
  <c r="D7" i="99"/>
  <c r="V7" i="66" s="1"/>
  <c r="F8" i="31"/>
  <c r="F8" i="55" s="1"/>
  <c r="G8" i="98"/>
  <c r="F8" i="98" s="1"/>
  <c r="E8" i="29" s="1"/>
  <c r="K8" i="98"/>
  <c r="C8" i="29" s="1"/>
  <c r="H8" i="99"/>
  <c r="E8" i="99"/>
  <c r="W8" i="66" s="1"/>
  <c r="C8" i="31"/>
  <c r="E6" i="31"/>
  <c r="W21" i="22"/>
  <c r="I10" i="99" s="1"/>
  <c r="V21" i="24"/>
  <c r="N10" i="98" s="1"/>
  <c r="S22" i="23"/>
  <c r="J11" i="99" s="1"/>
  <c r="AC11" i="66" s="1"/>
  <c r="I26" i="22"/>
  <c r="P25" i="23"/>
  <c r="S25" i="22"/>
  <c r="J26" i="22"/>
  <c r="T25" i="22"/>
  <c r="O25" i="23"/>
  <c r="E26" i="23"/>
  <c r="H9" i="99" l="1"/>
  <c r="AD9" i="66"/>
  <c r="M37" i="66"/>
  <c r="J37" i="66"/>
  <c r="E37" i="66"/>
  <c r="AA10" i="66"/>
  <c r="AB10" i="66"/>
  <c r="N27" i="24"/>
  <c r="S26" i="24"/>
  <c r="M30" i="24"/>
  <c r="R29" i="24"/>
  <c r="C9" i="31"/>
  <c r="G9" i="99"/>
  <c r="Z9" i="66" s="1"/>
  <c r="K10" i="99"/>
  <c r="M10" i="98"/>
  <c r="H10" i="98" s="1"/>
  <c r="M10" i="99"/>
  <c r="L10" i="98"/>
  <c r="F9" i="31"/>
  <c r="F9" i="55" s="1"/>
  <c r="F9" i="99"/>
  <c r="X9" i="66" s="1"/>
  <c r="E7" i="31"/>
  <c r="E9" i="99"/>
  <c r="W9" i="66" s="1"/>
  <c r="D8" i="99"/>
  <c r="V8" i="66" s="1"/>
  <c r="Q10" i="99"/>
  <c r="P10" i="99"/>
  <c r="R10" i="99"/>
  <c r="O10" i="99"/>
  <c r="K9" i="98"/>
  <c r="C9" i="29" s="1"/>
  <c r="G9" i="98"/>
  <c r="F9" i="98" s="1"/>
  <c r="E9" i="29" s="1"/>
  <c r="R34" i="66"/>
  <c r="R35" i="66"/>
  <c r="W22" i="22"/>
  <c r="I11" i="99" s="1"/>
  <c r="N26" i="22"/>
  <c r="S26" i="22" s="1"/>
  <c r="O26" i="22"/>
  <c r="T26" i="22" s="1"/>
  <c r="J26" i="23"/>
  <c r="O26" i="23" s="1"/>
  <c r="K26" i="23"/>
  <c r="P26" i="23" s="1"/>
  <c r="V22" i="24"/>
  <c r="N11" i="98" s="1"/>
  <c r="S23" i="23"/>
  <c r="J12" i="99" s="1"/>
  <c r="AC12" i="66" s="1"/>
  <c r="E27" i="23"/>
  <c r="I27" i="22"/>
  <c r="F27" i="23"/>
  <c r="K27" i="23" s="1"/>
  <c r="J27" i="22"/>
  <c r="H10" i="99" l="1"/>
  <c r="AD10" i="66"/>
  <c r="AB11" i="66"/>
  <c r="AA11" i="66"/>
  <c r="D37" i="66"/>
  <c r="I37" i="66"/>
  <c r="H37" i="66"/>
  <c r="C37" i="66"/>
  <c r="M38" i="66"/>
  <c r="E38" i="66"/>
  <c r="J38" i="66"/>
  <c r="M31" i="24"/>
  <c r="R30" i="24"/>
  <c r="N28" i="24"/>
  <c r="S27" i="24"/>
  <c r="F10" i="99"/>
  <c r="X10" i="66" s="1"/>
  <c r="G10" i="99"/>
  <c r="Z10" i="66" s="1"/>
  <c r="C10" i="31"/>
  <c r="D9" i="99"/>
  <c r="V9" i="66" s="1"/>
  <c r="M11" i="99"/>
  <c r="K11" i="99"/>
  <c r="L11" i="98"/>
  <c r="M11" i="98"/>
  <c r="H11" i="98" s="1"/>
  <c r="O11" i="99"/>
  <c r="R11" i="99"/>
  <c r="Q11" i="99"/>
  <c r="P11" i="99"/>
  <c r="F10" i="31"/>
  <c r="F10" i="55" s="1"/>
  <c r="E10" i="99"/>
  <c r="W10" i="66" s="1"/>
  <c r="E8" i="31"/>
  <c r="K10" i="98"/>
  <c r="C10" i="29" s="1"/>
  <c r="G10" i="98"/>
  <c r="F10" i="98" s="1"/>
  <c r="E10" i="29" s="1"/>
  <c r="P34" i="66"/>
  <c r="R36" i="66"/>
  <c r="Q36" i="66"/>
  <c r="R37" i="66"/>
  <c r="Q35" i="66"/>
  <c r="P36" i="66"/>
  <c r="Q34" i="66"/>
  <c r="P35" i="66"/>
  <c r="W23" i="22"/>
  <c r="I12" i="99" s="1"/>
  <c r="O27" i="22"/>
  <c r="T27" i="22" s="1"/>
  <c r="N27" i="22"/>
  <c r="S27" i="22" s="1"/>
  <c r="J27" i="23"/>
  <c r="O27" i="23" s="1"/>
  <c r="V24" i="24"/>
  <c r="N13" i="98" s="1"/>
  <c r="V23" i="24"/>
  <c r="N12" i="98" s="1"/>
  <c r="P27" i="23"/>
  <c r="I28" i="22"/>
  <c r="N28" i="22" s="1"/>
  <c r="E28" i="23"/>
  <c r="J28" i="23" s="1"/>
  <c r="J28" i="22"/>
  <c r="G11" i="99" l="1"/>
  <c r="Z11" i="66" s="1"/>
  <c r="AD11" i="66"/>
  <c r="C6" i="58"/>
  <c r="C6" i="55" s="1"/>
  <c r="D39" i="66"/>
  <c r="I39" i="66"/>
  <c r="H39" i="66"/>
  <c r="C39" i="66"/>
  <c r="C38" i="66"/>
  <c r="I38" i="66"/>
  <c r="D38" i="66"/>
  <c r="H38" i="66"/>
  <c r="J39" i="66"/>
  <c r="E39" i="66"/>
  <c r="M39" i="66"/>
  <c r="AA12" i="66"/>
  <c r="AB12" i="66"/>
  <c r="C7" i="58"/>
  <c r="G7" i="58"/>
  <c r="C8" i="58"/>
  <c r="G8" i="58"/>
  <c r="N29" i="24"/>
  <c r="S28" i="24"/>
  <c r="F28" i="23"/>
  <c r="M32" i="24"/>
  <c r="R31" i="24"/>
  <c r="F11" i="31"/>
  <c r="F11" i="55" s="1"/>
  <c r="H11" i="99"/>
  <c r="E11" i="99"/>
  <c r="W11" i="66" s="1"/>
  <c r="M12" i="98"/>
  <c r="H12" i="98" s="1"/>
  <c r="M12" i="99"/>
  <c r="K12" i="99"/>
  <c r="L12" i="98"/>
  <c r="D10" i="99"/>
  <c r="V10" i="66" s="1"/>
  <c r="C11" i="31"/>
  <c r="P12" i="99"/>
  <c r="Q12" i="99"/>
  <c r="O12" i="99"/>
  <c r="R12" i="99"/>
  <c r="K11" i="98"/>
  <c r="C11" i="29" s="1"/>
  <c r="G11" i="98"/>
  <c r="F11" i="98" s="1"/>
  <c r="E11" i="29" s="1"/>
  <c r="L13" i="98"/>
  <c r="M13" i="99"/>
  <c r="K13" i="99"/>
  <c r="AD13" i="66" s="1"/>
  <c r="M13" i="98"/>
  <c r="H13" i="98" s="1"/>
  <c r="F11" i="99"/>
  <c r="X11" i="66" s="1"/>
  <c r="E9" i="31"/>
  <c r="G5" i="58"/>
  <c r="G6" i="58"/>
  <c r="Q37" i="66"/>
  <c r="P37" i="66"/>
  <c r="R38" i="66"/>
  <c r="W24" i="22"/>
  <c r="I13" i="99" s="1"/>
  <c r="O28" i="22"/>
  <c r="T28" i="22" s="1"/>
  <c r="O28" i="23"/>
  <c r="K28" i="23"/>
  <c r="P28" i="23" s="1"/>
  <c r="S24" i="23"/>
  <c r="J13" i="99" s="1"/>
  <c r="AC13" i="66" s="1"/>
  <c r="I29" i="22"/>
  <c r="J29" i="22"/>
  <c r="F29" i="23"/>
  <c r="E29" i="23"/>
  <c r="J29" i="23" s="1"/>
  <c r="S28" i="22"/>
  <c r="G12" i="99" l="1"/>
  <c r="Z12" i="66" s="1"/>
  <c r="AD12" i="66"/>
  <c r="C12" i="31"/>
  <c r="AA13" i="66"/>
  <c r="AB13" i="66"/>
  <c r="C40" i="66"/>
  <c r="I40" i="66"/>
  <c r="D40" i="66"/>
  <c r="H40" i="66"/>
  <c r="J40" i="66"/>
  <c r="M40" i="66"/>
  <c r="E40" i="66"/>
  <c r="C7" i="55"/>
  <c r="C8" i="55"/>
  <c r="D5" i="58"/>
  <c r="D5" i="55" s="1"/>
  <c r="H8" i="58"/>
  <c r="H6" i="58"/>
  <c r="H7" i="58"/>
  <c r="C9" i="58"/>
  <c r="G9" i="58"/>
  <c r="M33" i="24"/>
  <c r="R32" i="24"/>
  <c r="N30" i="24"/>
  <c r="S29" i="24"/>
  <c r="E12" i="99"/>
  <c r="W12" i="66" s="1"/>
  <c r="D11" i="99"/>
  <c r="V11" i="66" s="1"/>
  <c r="E13" i="99"/>
  <c r="W13" i="66" s="1"/>
  <c r="F12" i="31"/>
  <c r="F12" i="55" s="1"/>
  <c r="G13" i="99"/>
  <c r="Z13" i="66" s="1"/>
  <c r="P13" i="99"/>
  <c r="C13" i="31"/>
  <c r="R13" i="99"/>
  <c r="O13" i="99"/>
  <c r="Q13" i="99"/>
  <c r="F13" i="31" s="1"/>
  <c r="F13" i="55" s="1"/>
  <c r="H13" i="99"/>
  <c r="E10" i="31"/>
  <c r="G13" i="98"/>
  <c r="F13" i="98" s="1"/>
  <c r="E13" i="29" s="1"/>
  <c r="K13" i="98"/>
  <c r="C13" i="29" s="1"/>
  <c r="H12" i="99"/>
  <c r="F12" i="99"/>
  <c r="X12" i="66" s="1"/>
  <c r="G12" i="98"/>
  <c r="F12" i="98" s="1"/>
  <c r="E12" i="29" s="1"/>
  <c r="K12" i="98"/>
  <c r="C12" i="29" s="1"/>
  <c r="W25" i="22"/>
  <c r="I14" i="99" s="1"/>
  <c r="O29" i="22"/>
  <c r="T29" i="22" s="1"/>
  <c r="N29" i="22"/>
  <c r="S29" i="22" s="1"/>
  <c r="K29" i="23"/>
  <c r="P29" i="23" s="1"/>
  <c r="P38" i="66"/>
  <c r="W26" i="22"/>
  <c r="I15" i="99" s="1"/>
  <c r="S25" i="23"/>
  <c r="J14" i="99" s="1"/>
  <c r="AC14" i="66" s="1"/>
  <c r="V25" i="24"/>
  <c r="N14" i="98" s="1"/>
  <c r="J30" i="22"/>
  <c r="F30" i="23"/>
  <c r="I30" i="22"/>
  <c r="N30" i="22" s="1"/>
  <c r="E30" i="23"/>
  <c r="O29" i="23"/>
  <c r="AB15" i="66" l="1"/>
  <c r="AA14" i="66"/>
  <c r="AB14" i="66"/>
  <c r="D41" i="66"/>
  <c r="I41" i="66"/>
  <c r="H41" i="66"/>
  <c r="C41" i="66"/>
  <c r="M41" i="66"/>
  <c r="J41" i="66"/>
  <c r="E41" i="66"/>
  <c r="E7" i="55"/>
  <c r="H9" i="58"/>
  <c r="E8" i="55"/>
  <c r="C9" i="55"/>
  <c r="E6" i="55"/>
  <c r="G10" i="58"/>
  <c r="M34" i="24"/>
  <c r="R33" i="24"/>
  <c r="N31" i="24"/>
  <c r="S30" i="24"/>
  <c r="F13" i="99"/>
  <c r="X13" i="66" s="1"/>
  <c r="D12" i="99"/>
  <c r="V12" i="66" s="1"/>
  <c r="K14" i="99"/>
  <c r="M14" i="98"/>
  <c r="H14" i="98" s="1"/>
  <c r="M14" i="99"/>
  <c r="L14" i="98"/>
  <c r="O14" i="99"/>
  <c r="P14" i="99"/>
  <c r="R14" i="99"/>
  <c r="Q14" i="99"/>
  <c r="E11" i="31"/>
  <c r="R40" i="66"/>
  <c r="Q38" i="66"/>
  <c r="C10" i="58" s="1"/>
  <c r="R39" i="66"/>
  <c r="S30" i="22"/>
  <c r="O30" i="22"/>
  <c r="T30" i="22" s="1"/>
  <c r="J30" i="23"/>
  <c r="O30" i="23" s="1"/>
  <c r="K30" i="23"/>
  <c r="P30" i="23" s="1"/>
  <c r="V26" i="24"/>
  <c r="N15" i="98" s="1"/>
  <c r="S26" i="23"/>
  <c r="J15" i="99" s="1"/>
  <c r="AC15" i="66" s="1"/>
  <c r="S27" i="23"/>
  <c r="J16" i="99" s="1"/>
  <c r="AC16" i="66" s="1"/>
  <c r="W27" i="22"/>
  <c r="I16" i="99" s="1"/>
  <c r="F31" i="23"/>
  <c r="K31" i="23" s="1"/>
  <c r="I31" i="22"/>
  <c r="N31" i="22" s="1"/>
  <c r="E31" i="23"/>
  <c r="J31" i="22"/>
  <c r="C14" i="31" l="1"/>
  <c r="AD14" i="66"/>
  <c r="AA15" i="66"/>
  <c r="E43" i="66" s="1"/>
  <c r="M42" i="66"/>
  <c r="E42" i="66"/>
  <c r="J42" i="66"/>
  <c r="J43" i="66"/>
  <c r="AA16" i="66"/>
  <c r="AB16" i="66"/>
  <c r="H10" i="58"/>
  <c r="E9" i="55"/>
  <c r="C10" i="55"/>
  <c r="M35" i="24"/>
  <c r="R34" i="24"/>
  <c r="N32" i="24"/>
  <c r="S31" i="24"/>
  <c r="F14" i="31"/>
  <c r="F14" i="55" s="1"/>
  <c r="G14" i="99"/>
  <c r="Z14" i="66" s="1"/>
  <c r="D13" i="99"/>
  <c r="O15" i="99"/>
  <c r="Q15" i="99"/>
  <c r="H14" i="99"/>
  <c r="R15" i="99"/>
  <c r="F14" i="99"/>
  <c r="X14" i="66" s="1"/>
  <c r="G14" i="98"/>
  <c r="F14" i="98" s="1"/>
  <c r="E14" i="29" s="1"/>
  <c r="K14" i="98"/>
  <c r="C14" i="29" s="1"/>
  <c r="M15" i="99"/>
  <c r="K15" i="99"/>
  <c r="AD15" i="66" s="1"/>
  <c r="L15" i="98"/>
  <c r="M15" i="98"/>
  <c r="H15" i="98" s="1"/>
  <c r="P15" i="99"/>
  <c r="Q16" i="99"/>
  <c r="O16" i="99"/>
  <c r="R16" i="99"/>
  <c r="P16" i="99"/>
  <c r="E12" i="31"/>
  <c r="E14" i="99"/>
  <c r="W14" i="66" s="1"/>
  <c r="R41" i="66"/>
  <c r="Q39" i="66"/>
  <c r="P39" i="66"/>
  <c r="O31" i="22"/>
  <c r="T31" i="22" s="1"/>
  <c r="S31" i="22"/>
  <c r="P31" i="23"/>
  <c r="J31" i="23"/>
  <c r="O31" i="23" s="1"/>
  <c r="V27" i="24"/>
  <c r="N16" i="98" s="1"/>
  <c r="S28" i="23"/>
  <c r="J17" i="99" s="1"/>
  <c r="AC17" i="66" s="1"/>
  <c r="F32" i="23"/>
  <c r="K32" i="23" s="1"/>
  <c r="J32" i="22"/>
  <c r="E32" i="23"/>
  <c r="I32" i="22"/>
  <c r="N32" i="22" s="1"/>
  <c r="M43" i="66" l="1"/>
  <c r="J44" i="66"/>
  <c r="M44" i="66"/>
  <c r="E44" i="66"/>
  <c r="E13" i="31"/>
  <c r="V13" i="66"/>
  <c r="C42" i="66"/>
  <c r="I42" i="66"/>
  <c r="D42" i="66"/>
  <c r="H42" i="66"/>
  <c r="E10" i="55"/>
  <c r="C11" i="58"/>
  <c r="G11" i="58"/>
  <c r="N33" i="24"/>
  <c r="S32" i="24"/>
  <c r="M36" i="24"/>
  <c r="R35" i="24"/>
  <c r="F15" i="31"/>
  <c r="F15" i="55" s="1"/>
  <c r="F16" i="99"/>
  <c r="X16" i="66" s="1"/>
  <c r="F15" i="99"/>
  <c r="X15" i="66" s="1"/>
  <c r="E15" i="99"/>
  <c r="W15" i="66" s="1"/>
  <c r="G15" i="99"/>
  <c r="Z15" i="66" s="1"/>
  <c r="H15" i="99"/>
  <c r="M16" i="98"/>
  <c r="H16" i="98" s="1"/>
  <c r="M16" i="99"/>
  <c r="F16" i="31" s="1"/>
  <c r="F16" i="55" s="1"/>
  <c r="K16" i="99"/>
  <c r="AD16" i="66" s="1"/>
  <c r="L16" i="98"/>
  <c r="D14" i="99"/>
  <c r="V14" i="66" s="1"/>
  <c r="K15" i="98"/>
  <c r="C15" i="29" s="1"/>
  <c r="G15" i="98"/>
  <c r="F15" i="98" s="1"/>
  <c r="E15" i="29" s="1"/>
  <c r="C15" i="31"/>
  <c r="P41" i="66"/>
  <c r="Q41" i="66"/>
  <c r="O32" i="22"/>
  <c r="T32" i="22" s="1"/>
  <c r="J32" i="23"/>
  <c r="O32" i="23" s="1"/>
  <c r="W28" i="22"/>
  <c r="I17" i="99" s="1"/>
  <c r="V28" i="24"/>
  <c r="N17" i="98" s="1"/>
  <c r="E33" i="23"/>
  <c r="J33" i="22"/>
  <c r="F33" i="23"/>
  <c r="I33" i="22"/>
  <c r="S32" i="22"/>
  <c r="P32" i="23"/>
  <c r="AA17" i="66" l="1"/>
  <c r="AB17" i="66"/>
  <c r="D43" i="66"/>
  <c r="I43" i="66"/>
  <c r="H43" i="66"/>
  <c r="C43" i="66"/>
  <c r="H11" i="58"/>
  <c r="C11" i="55"/>
  <c r="C13" i="58"/>
  <c r="G13" i="58"/>
  <c r="M37" i="24"/>
  <c r="R36" i="24"/>
  <c r="N34" i="24"/>
  <c r="S33" i="24"/>
  <c r="E16" i="99"/>
  <c r="W16" i="66" s="1"/>
  <c r="H16" i="99"/>
  <c r="C16" i="31"/>
  <c r="G16" i="99"/>
  <c r="Z16" i="66" s="1"/>
  <c r="L17" i="98"/>
  <c r="M17" i="99"/>
  <c r="K17" i="99"/>
  <c r="AD17" i="66" s="1"/>
  <c r="M17" i="98"/>
  <c r="H17" i="98" s="1"/>
  <c r="E14" i="31"/>
  <c r="R17" i="99"/>
  <c r="O17" i="99"/>
  <c r="P17" i="99"/>
  <c r="Q17" i="99"/>
  <c r="D15" i="99"/>
  <c r="V15" i="66" s="1"/>
  <c r="K16" i="98"/>
  <c r="C16" i="29" s="1"/>
  <c r="G16" i="98"/>
  <c r="F16" i="98" s="1"/>
  <c r="E16" i="29" s="1"/>
  <c r="Q40" i="66"/>
  <c r="P40" i="66"/>
  <c r="R43" i="66"/>
  <c r="R42" i="66"/>
  <c r="N33" i="22"/>
  <c r="S33" i="22" s="1"/>
  <c r="O33" i="22"/>
  <c r="T33" i="22" s="1"/>
  <c r="J33" i="23"/>
  <c r="O33" i="23" s="1"/>
  <c r="K33" i="23"/>
  <c r="P33" i="23" s="1"/>
  <c r="S29" i="23"/>
  <c r="J18" i="99" s="1"/>
  <c r="AC18" i="66" s="1"/>
  <c r="V29" i="24"/>
  <c r="N18" i="98" s="1"/>
  <c r="E34" i="23"/>
  <c r="J34" i="23" s="1"/>
  <c r="W29" i="22"/>
  <c r="I18" i="99" s="1"/>
  <c r="I34" i="22"/>
  <c r="N34" i="22" s="1"/>
  <c r="F34" i="23"/>
  <c r="K34" i="23" s="1"/>
  <c r="J34" i="22"/>
  <c r="C44" i="66" l="1"/>
  <c r="I44" i="66"/>
  <c r="D44" i="66"/>
  <c r="H44" i="66"/>
  <c r="AA18" i="66"/>
  <c r="AB18" i="66"/>
  <c r="M45" i="66"/>
  <c r="J45" i="66"/>
  <c r="E45" i="66"/>
  <c r="H13" i="58"/>
  <c r="C13" i="55"/>
  <c r="E11" i="55"/>
  <c r="G12" i="58"/>
  <c r="C12" i="58"/>
  <c r="N35" i="24"/>
  <c r="S34" i="24"/>
  <c r="M38" i="24"/>
  <c r="R38" i="24" s="1"/>
  <c r="R37" i="24"/>
  <c r="F17" i="31"/>
  <c r="F17" i="55" s="1"/>
  <c r="F17" i="99"/>
  <c r="X17" i="66" s="1"/>
  <c r="E17" i="99"/>
  <c r="W17" i="66" s="1"/>
  <c r="O18" i="99"/>
  <c r="P18" i="99"/>
  <c r="Q18" i="99"/>
  <c r="R18" i="99"/>
  <c r="K18" i="99"/>
  <c r="M18" i="98"/>
  <c r="H18" i="98" s="1"/>
  <c r="M18" i="99"/>
  <c r="L18" i="98"/>
  <c r="E15" i="31"/>
  <c r="K17" i="98"/>
  <c r="C17" i="29" s="1"/>
  <c r="G17" i="98"/>
  <c r="F17" i="98" s="1"/>
  <c r="E17" i="29" s="1"/>
  <c r="D16" i="99"/>
  <c r="V16" i="66" s="1"/>
  <c r="H17" i="99"/>
  <c r="G17" i="99"/>
  <c r="Z17" i="66" s="1"/>
  <c r="C17" i="31"/>
  <c r="Q43" i="66"/>
  <c r="P43" i="66"/>
  <c r="R44" i="66"/>
  <c r="O34" i="22"/>
  <c r="T34" i="22" s="1"/>
  <c r="P34" i="23"/>
  <c r="S30" i="23"/>
  <c r="J19" i="99" s="1"/>
  <c r="AC19" i="66" s="1"/>
  <c r="W30" i="22"/>
  <c r="I19" i="99" s="1"/>
  <c r="V30" i="24"/>
  <c r="N19" i="98" s="1"/>
  <c r="S34" i="22"/>
  <c r="J35" i="22"/>
  <c r="O35" i="22" s="1"/>
  <c r="O34" i="23"/>
  <c r="I35" i="22"/>
  <c r="F35" i="23"/>
  <c r="E35" i="23"/>
  <c r="J35" i="23" s="1"/>
  <c r="G18" i="99" l="1"/>
  <c r="Z18" i="66" s="1"/>
  <c r="AD18" i="66"/>
  <c r="D45" i="66"/>
  <c r="I45" i="66"/>
  <c r="H45" i="66"/>
  <c r="C45" i="66"/>
  <c r="C46" i="66"/>
  <c r="I46" i="66"/>
  <c r="D46" i="66"/>
  <c r="H46" i="66"/>
  <c r="AB19" i="66"/>
  <c r="AA19" i="66"/>
  <c r="M46" i="66"/>
  <c r="E46" i="66"/>
  <c r="J46" i="66"/>
  <c r="C12" i="55"/>
  <c r="H12" i="58"/>
  <c r="E13" i="55"/>
  <c r="C15" i="58"/>
  <c r="G15" i="58"/>
  <c r="S31" i="23"/>
  <c r="J20" i="99" s="1"/>
  <c r="AC20" i="66" s="1"/>
  <c r="N36" i="24"/>
  <c r="S35" i="24"/>
  <c r="M19" i="99"/>
  <c r="K19" i="99"/>
  <c r="L19" i="98"/>
  <c r="M19" i="98"/>
  <c r="H19" i="98" s="1"/>
  <c r="H18" i="99"/>
  <c r="P19" i="99"/>
  <c r="O19" i="99"/>
  <c r="Q19" i="99"/>
  <c r="R19" i="99"/>
  <c r="E16" i="31"/>
  <c r="D17" i="99"/>
  <c r="V17" i="66" s="1"/>
  <c r="E18" i="99"/>
  <c r="W18" i="66" s="1"/>
  <c r="C18" i="31"/>
  <c r="K18" i="98"/>
  <c r="C18" i="29" s="1"/>
  <c r="G18" i="98"/>
  <c r="F18" i="98" s="1"/>
  <c r="E18" i="29" s="1"/>
  <c r="F18" i="31"/>
  <c r="F18" i="55" s="1"/>
  <c r="F18" i="99"/>
  <c r="X18" i="66" s="1"/>
  <c r="P42" i="66"/>
  <c r="Q42" i="66"/>
  <c r="N35" i="22"/>
  <c r="S35" i="22" s="1"/>
  <c r="T35" i="22"/>
  <c r="K35" i="23"/>
  <c r="P35" i="23" s="1"/>
  <c r="V31" i="24"/>
  <c r="N20" i="98" s="1"/>
  <c r="S32" i="23"/>
  <c r="J21" i="99" s="1"/>
  <c r="AC21" i="66" s="1"/>
  <c r="F36" i="23"/>
  <c r="I36" i="22"/>
  <c r="J36" i="22"/>
  <c r="O35" i="23"/>
  <c r="E36" i="23"/>
  <c r="J36" i="23" s="1"/>
  <c r="W31" i="22"/>
  <c r="I20" i="99" s="1"/>
  <c r="G19" i="99" l="1"/>
  <c r="Z19" i="66" s="1"/>
  <c r="AD19" i="66"/>
  <c r="AA20" i="66"/>
  <c r="AB20" i="66"/>
  <c r="D47" i="66"/>
  <c r="I47" i="66"/>
  <c r="H47" i="66"/>
  <c r="C47" i="66"/>
  <c r="J47" i="66"/>
  <c r="E47" i="66"/>
  <c r="M47" i="66"/>
  <c r="H15" i="58"/>
  <c r="C15" i="55"/>
  <c r="E12" i="55"/>
  <c r="C14" i="58"/>
  <c r="G14" i="58"/>
  <c r="N37" i="24"/>
  <c r="S36" i="24"/>
  <c r="F19" i="31"/>
  <c r="F19" i="55" s="1"/>
  <c r="F19" i="99"/>
  <c r="X19" i="66" s="1"/>
  <c r="C19" i="31"/>
  <c r="Q20" i="99"/>
  <c r="R20" i="99"/>
  <c r="O20" i="99"/>
  <c r="P20" i="99"/>
  <c r="H19" i="99"/>
  <c r="K19" i="98"/>
  <c r="C19" i="29" s="1"/>
  <c r="G19" i="98"/>
  <c r="F19" i="98" s="1"/>
  <c r="E19" i="29" s="1"/>
  <c r="D18" i="99"/>
  <c r="V18" i="66" s="1"/>
  <c r="M20" i="98"/>
  <c r="H20" i="98" s="1"/>
  <c r="M20" i="99"/>
  <c r="K20" i="99"/>
  <c r="AD20" i="66" s="1"/>
  <c r="L20" i="98"/>
  <c r="E19" i="99"/>
  <c r="W19" i="66" s="1"/>
  <c r="E17" i="31"/>
  <c r="Q44" i="66"/>
  <c r="Q45" i="66"/>
  <c r="P44" i="66"/>
  <c r="P45" i="66"/>
  <c r="R45" i="66"/>
  <c r="O36" i="22"/>
  <c r="T36" i="22" s="1"/>
  <c r="N36" i="22"/>
  <c r="S36" i="22" s="1"/>
  <c r="K36" i="23"/>
  <c r="P36" i="23" s="1"/>
  <c r="V32" i="24"/>
  <c r="N21" i="98" s="1"/>
  <c r="W32" i="22"/>
  <c r="I21" i="99" s="1"/>
  <c r="S33" i="23"/>
  <c r="J22" i="99" s="1"/>
  <c r="AC22" i="66" s="1"/>
  <c r="W33" i="22"/>
  <c r="I22" i="99" s="1"/>
  <c r="E37" i="23"/>
  <c r="O36" i="23"/>
  <c r="I37" i="22"/>
  <c r="J37" i="22"/>
  <c r="F37" i="23"/>
  <c r="AA21" i="66" l="1"/>
  <c r="AB21" i="66"/>
  <c r="AA22" i="66"/>
  <c r="AB22" i="66"/>
  <c r="J48" i="66"/>
  <c r="M48" i="66"/>
  <c r="E48" i="66"/>
  <c r="H14" i="58"/>
  <c r="C14" i="55"/>
  <c r="E15" i="55"/>
  <c r="G17" i="58"/>
  <c r="C17" i="58"/>
  <c r="C16" i="58"/>
  <c r="G16" i="58"/>
  <c r="N38" i="24"/>
  <c r="S38" i="24" s="1"/>
  <c r="S37" i="24"/>
  <c r="P22" i="99"/>
  <c r="Q22" i="99"/>
  <c r="R22" i="99"/>
  <c r="O22" i="99"/>
  <c r="E20" i="99"/>
  <c r="W20" i="66" s="1"/>
  <c r="C20" i="31"/>
  <c r="R21" i="99"/>
  <c r="P21" i="99"/>
  <c r="O21" i="99"/>
  <c r="Q21" i="99"/>
  <c r="D19" i="99"/>
  <c r="V19" i="66" s="1"/>
  <c r="F20" i="99"/>
  <c r="X20" i="66" s="1"/>
  <c r="G20" i="99"/>
  <c r="Z20" i="66" s="1"/>
  <c r="L21" i="98"/>
  <c r="M21" i="99"/>
  <c r="K21" i="99"/>
  <c r="AD21" i="66" s="1"/>
  <c r="M21" i="98"/>
  <c r="H21" i="98" s="1"/>
  <c r="G20" i="98"/>
  <c r="F20" i="98" s="1"/>
  <c r="E20" i="29" s="1"/>
  <c r="K20" i="98"/>
  <c r="C20" i="29" s="1"/>
  <c r="E18" i="31"/>
  <c r="H20" i="99"/>
  <c r="F20" i="31"/>
  <c r="F20" i="55" s="1"/>
  <c r="R46" i="66"/>
  <c r="O37" i="22"/>
  <c r="T37" i="22" s="1"/>
  <c r="N37" i="22"/>
  <c r="S37" i="22" s="1"/>
  <c r="J37" i="23"/>
  <c r="O37" i="23" s="1"/>
  <c r="K37" i="23"/>
  <c r="P37" i="23" s="1"/>
  <c r="V33" i="24"/>
  <c r="N22" i="98" s="1"/>
  <c r="S34" i="23"/>
  <c r="J23" i="99" s="1"/>
  <c r="AC23" i="66" s="1"/>
  <c r="I38" i="22"/>
  <c r="N38" i="22" s="1"/>
  <c r="F38" i="23"/>
  <c r="K38" i="23" s="1"/>
  <c r="J38" i="22"/>
  <c r="O38" i="22" s="1"/>
  <c r="E38" i="23"/>
  <c r="J38" i="23" s="1"/>
  <c r="C48" i="66" l="1"/>
  <c r="I48" i="66"/>
  <c r="D48" i="66"/>
  <c r="H48" i="66"/>
  <c r="M50" i="66"/>
  <c r="E50" i="66"/>
  <c r="J50" i="66"/>
  <c r="M49" i="66"/>
  <c r="J49" i="66"/>
  <c r="E49" i="66"/>
  <c r="C17" i="55"/>
  <c r="H17" i="58"/>
  <c r="H16" i="58"/>
  <c r="C16" i="55"/>
  <c r="E14" i="55"/>
  <c r="F22" i="99"/>
  <c r="X22" i="66" s="1"/>
  <c r="F21" i="31"/>
  <c r="F21" i="55" s="1"/>
  <c r="E21" i="99"/>
  <c r="W21" i="66" s="1"/>
  <c r="G21" i="99"/>
  <c r="Z21" i="66" s="1"/>
  <c r="F21" i="99"/>
  <c r="X21" i="66" s="1"/>
  <c r="D20" i="99"/>
  <c r="V20" i="66" s="1"/>
  <c r="K21" i="98"/>
  <c r="C21" i="29" s="1"/>
  <c r="G21" i="98"/>
  <c r="F21" i="98" s="1"/>
  <c r="E21" i="29" s="1"/>
  <c r="E19" i="31"/>
  <c r="C21" i="31"/>
  <c r="K22" i="99"/>
  <c r="AD22" i="66" s="1"/>
  <c r="M22" i="98"/>
  <c r="H22" i="98" s="1"/>
  <c r="M22" i="99"/>
  <c r="F22" i="31" s="1"/>
  <c r="F22" i="55" s="1"/>
  <c r="L22" i="98"/>
  <c r="H21" i="99"/>
  <c r="R47" i="66"/>
  <c r="P47" i="66"/>
  <c r="Q47" i="66"/>
  <c r="Q46" i="66"/>
  <c r="T38" i="22"/>
  <c r="P38" i="23"/>
  <c r="O38" i="23"/>
  <c r="V34" i="24"/>
  <c r="N23" i="98" s="1"/>
  <c r="S38" i="22"/>
  <c r="S35" i="23"/>
  <c r="J24" i="99" s="1"/>
  <c r="AC24" i="66" s="1"/>
  <c r="W35" i="22"/>
  <c r="I24" i="99" s="1"/>
  <c r="W34" i="22"/>
  <c r="I23" i="99" s="1"/>
  <c r="D49" i="66" l="1"/>
  <c r="I49" i="66"/>
  <c r="H49" i="66"/>
  <c r="C49" i="66"/>
  <c r="AA24" i="66"/>
  <c r="AB24" i="66"/>
  <c r="AB23" i="66"/>
  <c r="AA23" i="66"/>
  <c r="E17" i="55"/>
  <c r="E16" i="55"/>
  <c r="C19" i="58"/>
  <c r="G19" i="58"/>
  <c r="O23" i="99"/>
  <c r="P23" i="99"/>
  <c r="R23" i="99"/>
  <c r="Q23" i="99"/>
  <c r="P24" i="99"/>
  <c r="O24" i="99"/>
  <c r="R24" i="99"/>
  <c r="Q24" i="99"/>
  <c r="K22" i="98"/>
  <c r="C22" i="29" s="1"/>
  <c r="G22" i="98"/>
  <c r="F22" i="98" s="1"/>
  <c r="E22" i="29" s="1"/>
  <c r="E20" i="31"/>
  <c r="D21" i="99"/>
  <c r="V21" i="66" s="1"/>
  <c r="M23" i="99"/>
  <c r="K23" i="99"/>
  <c r="L23" i="98"/>
  <c r="M23" i="98"/>
  <c r="H23" i="98" s="1"/>
  <c r="E22" i="99"/>
  <c r="W22" i="66" s="1"/>
  <c r="H22" i="99"/>
  <c r="G22" i="99"/>
  <c r="Z22" i="66" s="1"/>
  <c r="C22" i="31"/>
  <c r="P46" i="66"/>
  <c r="R48" i="66"/>
  <c r="R49" i="66"/>
  <c r="V35" i="24"/>
  <c r="N24" i="98" s="1"/>
  <c r="C23" i="31" l="1"/>
  <c r="AD23" i="66"/>
  <c r="J51" i="66"/>
  <c r="E51" i="66"/>
  <c r="M51" i="66"/>
  <c r="C50" i="66"/>
  <c r="I50" i="66"/>
  <c r="D50" i="66"/>
  <c r="H50" i="66"/>
  <c r="J52" i="66"/>
  <c r="M52" i="66"/>
  <c r="E52" i="66"/>
  <c r="H19" i="58"/>
  <c r="C19" i="55"/>
  <c r="C18" i="58"/>
  <c r="G18" i="58"/>
  <c r="F23" i="31"/>
  <c r="F23" i="55" s="1"/>
  <c r="M24" i="98"/>
  <c r="H24" i="98" s="1"/>
  <c r="M24" i="99"/>
  <c r="F24" i="31" s="1"/>
  <c r="F24" i="55" s="1"/>
  <c r="K24" i="99"/>
  <c r="AD24" i="66" s="1"/>
  <c r="L24" i="98"/>
  <c r="K23" i="98"/>
  <c r="C23" i="29" s="1"/>
  <c r="G23" i="98"/>
  <c r="F23" i="98" s="1"/>
  <c r="E23" i="29" s="1"/>
  <c r="E21" i="31"/>
  <c r="D22" i="99"/>
  <c r="V22" i="66" s="1"/>
  <c r="E23" i="99"/>
  <c r="W23" i="66" s="1"/>
  <c r="F23" i="99"/>
  <c r="X23" i="66" s="1"/>
  <c r="F24" i="99"/>
  <c r="X24" i="66" s="1"/>
  <c r="H23" i="99"/>
  <c r="G23" i="99"/>
  <c r="Z23" i="66" s="1"/>
  <c r="P48" i="66"/>
  <c r="R50" i="66"/>
  <c r="Q48" i="66"/>
  <c r="S36" i="23"/>
  <c r="J25" i="99" s="1"/>
  <c r="AC25" i="66" s="1"/>
  <c r="V36" i="24"/>
  <c r="N25" i="98" s="1"/>
  <c r="W36" i="22"/>
  <c r="I25" i="99" s="1"/>
  <c r="W37" i="22"/>
  <c r="I26" i="99" s="1"/>
  <c r="D51" i="66" l="1"/>
  <c r="I51" i="66"/>
  <c r="H51" i="66"/>
  <c r="C51" i="66"/>
  <c r="AB26" i="66"/>
  <c r="AA25" i="66"/>
  <c r="AB25" i="66"/>
  <c r="H18" i="58"/>
  <c r="C18" i="55"/>
  <c r="E19" i="55"/>
  <c r="G20" i="58"/>
  <c r="C20" i="58"/>
  <c r="W38" i="22"/>
  <c r="I27" i="99" s="1"/>
  <c r="P25" i="99"/>
  <c r="O25" i="99"/>
  <c r="Q25" i="99"/>
  <c r="R25" i="99"/>
  <c r="E24" i="99"/>
  <c r="W24" i="66" s="1"/>
  <c r="G24" i="99"/>
  <c r="Z24" i="66" s="1"/>
  <c r="H24" i="99"/>
  <c r="C24" i="31"/>
  <c r="E22" i="31"/>
  <c r="L25" i="98"/>
  <c r="M25" i="99"/>
  <c r="K25" i="99"/>
  <c r="M25" i="98"/>
  <c r="H25" i="98" s="1"/>
  <c r="D23" i="99"/>
  <c r="V23" i="66" s="1"/>
  <c r="G24" i="98"/>
  <c r="F24" i="98" s="1"/>
  <c r="E24" i="29" s="1"/>
  <c r="K24" i="98"/>
  <c r="C24" i="29" s="1"/>
  <c r="P49" i="66"/>
  <c r="Q49" i="66"/>
  <c r="S37" i="23"/>
  <c r="J26" i="99" s="1"/>
  <c r="AC26" i="66" s="1"/>
  <c r="V38" i="24"/>
  <c r="N27" i="98" s="1"/>
  <c r="V37" i="24"/>
  <c r="N26" i="98" s="1"/>
  <c r="S38" i="23"/>
  <c r="J27" i="99" s="1"/>
  <c r="AC27" i="66" s="1"/>
  <c r="G25" i="99" l="1"/>
  <c r="Z25" i="66" s="1"/>
  <c r="AD25" i="66"/>
  <c r="AA26" i="66"/>
  <c r="M54" i="66" s="1"/>
  <c r="M53" i="66"/>
  <c r="J53" i="66"/>
  <c r="E53" i="66"/>
  <c r="D53" i="66"/>
  <c r="I53" i="66"/>
  <c r="H53" i="66"/>
  <c r="C53" i="66"/>
  <c r="AB27" i="66"/>
  <c r="AA27" i="66"/>
  <c r="C52" i="66"/>
  <c r="I52" i="66"/>
  <c r="D52" i="66"/>
  <c r="H52" i="66"/>
  <c r="E54" i="66"/>
  <c r="J54" i="66"/>
  <c r="C20" i="55"/>
  <c r="H20" i="58"/>
  <c r="E18" i="55"/>
  <c r="C21" i="58"/>
  <c r="G21" i="58"/>
  <c r="C25" i="31"/>
  <c r="R26" i="99"/>
  <c r="P26" i="99"/>
  <c r="F25" i="31"/>
  <c r="F25" i="55" s="1"/>
  <c r="M27" i="99"/>
  <c r="K27" i="99"/>
  <c r="AD27" i="66" s="1"/>
  <c r="L27" i="98"/>
  <c r="M27" i="98"/>
  <c r="H27" i="98" s="1"/>
  <c r="O26" i="99"/>
  <c r="K25" i="98"/>
  <c r="C25" i="29" s="1"/>
  <c r="G25" i="98"/>
  <c r="F25" i="98" s="1"/>
  <c r="E25" i="29" s="1"/>
  <c r="D24" i="99"/>
  <c r="V24" i="66" s="1"/>
  <c r="P27" i="99"/>
  <c r="R27" i="99"/>
  <c r="H25" i="99"/>
  <c r="Q27" i="99"/>
  <c r="K26" i="99"/>
  <c r="M26" i="98"/>
  <c r="H26" i="98" s="1"/>
  <c r="M26" i="99"/>
  <c r="L26" i="98"/>
  <c r="E23" i="31"/>
  <c r="Q26" i="99"/>
  <c r="F26" i="31" s="1"/>
  <c r="F26" i="55" s="1"/>
  <c r="E25" i="99"/>
  <c r="W25" i="66" s="1"/>
  <c r="O27" i="99"/>
  <c r="F25" i="99"/>
  <c r="X25" i="66" s="1"/>
  <c r="R52" i="66"/>
  <c r="R51" i="66"/>
  <c r="P50" i="66"/>
  <c r="Q50" i="66"/>
  <c r="H26" i="99" l="1"/>
  <c r="AD26" i="66"/>
  <c r="J55" i="66"/>
  <c r="E55" i="66"/>
  <c r="M55" i="66"/>
  <c r="H21" i="58"/>
  <c r="C21" i="55"/>
  <c r="E20" i="55"/>
  <c r="C22" i="58"/>
  <c r="G22" i="58"/>
  <c r="F27" i="31"/>
  <c r="F27" i="55" s="1"/>
  <c r="G26" i="99"/>
  <c r="Z26" i="66" s="1"/>
  <c r="C26" i="31"/>
  <c r="F27" i="99"/>
  <c r="X27" i="66" s="1"/>
  <c r="E27" i="99"/>
  <c r="W27" i="66" s="1"/>
  <c r="D25" i="99"/>
  <c r="V25" i="66" s="1"/>
  <c r="H27" i="99"/>
  <c r="E26" i="99"/>
  <c r="W26" i="66" s="1"/>
  <c r="E24" i="31"/>
  <c r="F26" i="99"/>
  <c r="X26" i="66" s="1"/>
  <c r="K27" i="98"/>
  <c r="C27" i="29" s="1"/>
  <c r="G27" i="98"/>
  <c r="F27" i="98" s="1"/>
  <c r="E27" i="29" s="1"/>
  <c r="G26" i="98"/>
  <c r="F26" i="98" s="1"/>
  <c r="E26" i="29" s="1"/>
  <c r="K26" i="98"/>
  <c r="C26" i="29" s="1"/>
  <c r="G27" i="99"/>
  <c r="Z27" i="66" s="1"/>
  <c r="C27" i="31"/>
  <c r="C54" i="66" l="1"/>
  <c r="I54" i="66"/>
  <c r="D54" i="66"/>
  <c r="H54" i="66"/>
  <c r="D55" i="66"/>
  <c r="I55" i="66"/>
  <c r="H55" i="66"/>
  <c r="C55" i="66"/>
  <c r="H22" i="58"/>
  <c r="C22" i="55"/>
  <c r="E21" i="55"/>
  <c r="E25" i="31"/>
  <c r="D26" i="99"/>
  <c r="V26" i="66" s="1"/>
  <c r="D27" i="99"/>
  <c r="V27" i="66" s="1"/>
  <c r="Q51" i="66"/>
  <c r="R53" i="66"/>
  <c r="P51" i="66"/>
  <c r="Q53" i="66"/>
  <c r="E22" i="55" l="1"/>
  <c r="C23" i="58"/>
  <c r="G23" i="58"/>
  <c r="E26" i="31"/>
  <c r="E27" i="31"/>
  <c r="Q54" i="66"/>
  <c r="R54" i="66"/>
  <c r="R55" i="66"/>
  <c r="P53" i="66"/>
  <c r="P54" i="66"/>
  <c r="Q52" i="66"/>
  <c r="P52" i="66"/>
  <c r="H23" i="58" l="1"/>
  <c r="C23" i="55"/>
  <c r="C25" i="58"/>
  <c r="G25" i="58"/>
  <c r="C24" i="58"/>
  <c r="G24" i="58"/>
  <c r="C26" i="58"/>
  <c r="G26" i="58"/>
  <c r="P55" i="66"/>
  <c r="Q55" i="66"/>
  <c r="H24" i="58" l="1"/>
  <c r="C24" i="55"/>
  <c r="H26" i="58"/>
  <c r="H25" i="58"/>
  <c r="C26" i="55"/>
  <c r="C25" i="55"/>
  <c r="E23" i="55"/>
  <c r="C27" i="58"/>
  <c r="G27" i="58"/>
  <c r="D6" i="31"/>
  <c r="D8" i="31"/>
  <c r="D13" i="31"/>
  <c r="D11" i="31"/>
  <c r="D9" i="31"/>
  <c r="D10" i="31"/>
  <c r="D14" i="31"/>
  <c r="D12" i="31"/>
  <c r="D7" i="31"/>
  <c r="H27" i="58" l="1"/>
  <c r="C27" i="55"/>
  <c r="E25" i="55"/>
  <c r="E26" i="55"/>
  <c r="E24" i="55"/>
  <c r="D15" i="31"/>
  <c r="E27" i="55" l="1"/>
  <c r="O42" i="66"/>
  <c r="E14" i="58" s="1"/>
  <c r="O40" i="66"/>
  <c r="E12" i="58" s="1"/>
  <c r="O43" i="66"/>
  <c r="E15" i="58" s="1"/>
  <c r="D16" i="31"/>
  <c r="O37" i="66"/>
  <c r="E9" i="58" s="1"/>
  <c r="O35" i="66"/>
  <c r="E7" i="58" s="1"/>
  <c r="O34" i="66"/>
  <c r="E6" i="58" s="1"/>
  <c r="O39" i="66"/>
  <c r="E11" i="58" s="1"/>
  <c r="O41" i="66"/>
  <c r="E13" i="58" s="1"/>
  <c r="O36" i="66"/>
  <c r="E8" i="58" s="1"/>
  <c r="O38" i="66"/>
  <c r="E10" i="58" s="1"/>
  <c r="D13" i="58" l="1"/>
  <c r="D12" i="58"/>
  <c r="D12" i="55" s="1"/>
  <c r="D11" i="58"/>
  <c r="D11" i="55" s="1"/>
  <c r="D14" i="58"/>
  <c r="D14" i="55" s="1"/>
  <c r="D10" i="58"/>
  <c r="D6" i="58"/>
  <c r="D6" i="55" s="1"/>
  <c r="D9" i="58"/>
  <c r="D8" i="58"/>
  <c r="D8" i="55" s="1"/>
  <c r="D7" i="58"/>
  <c r="D15" i="58"/>
  <c r="D13" i="55"/>
  <c r="D9" i="55"/>
  <c r="D10" i="55"/>
  <c r="D7" i="55"/>
  <c r="D15" i="55"/>
  <c r="D17" i="31"/>
  <c r="D18" i="31" l="1"/>
  <c r="O44" i="66"/>
  <c r="E16" i="58" s="1"/>
  <c r="D16" i="58" l="1"/>
  <c r="D16" i="55" s="1"/>
  <c r="O45" i="66"/>
  <c r="E17" i="58" s="1"/>
  <c r="D19" i="31"/>
  <c r="D17" i="58" l="1"/>
  <c r="D17" i="55" s="1"/>
  <c r="D20" i="31"/>
  <c r="O46" i="66"/>
  <c r="E18" i="58" s="1"/>
  <c r="D18" i="58" l="1"/>
  <c r="D18" i="55" s="1"/>
  <c r="O47" i="66"/>
  <c r="E19" i="58" s="1"/>
  <c r="D21" i="31"/>
  <c r="D19" i="58" l="1"/>
  <c r="D19" i="55" s="1"/>
  <c r="O48" i="66"/>
  <c r="E20" i="58" s="1"/>
  <c r="D22" i="31"/>
  <c r="D20" i="58" l="1"/>
  <c r="D20" i="55" s="1"/>
  <c r="O49" i="66"/>
  <c r="E21" i="58" s="1"/>
  <c r="D23" i="31"/>
  <c r="D21" i="58" l="1"/>
  <c r="D21" i="55" s="1"/>
  <c r="O50" i="66"/>
  <c r="E22" i="58" s="1"/>
  <c r="D24" i="31"/>
  <c r="D22" i="58" l="1"/>
  <c r="D22" i="55" s="1"/>
  <c r="D25" i="31"/>
  <c r="O51" i="66"/>
  <c r="E23" i="58" s="1"/>
  <c r="D23" i="58" l="1"/>
  <c r="D23" i="55" s="1"/>
  <c r="D27" i="31"/>
  <c r="O52" i="66"/>
  <c r="E24" i="58" s="1"/>
  <c r="D26" i="31"/>
  <c r="D24" i="58" l="1"/>
  <c r="D24" i="55" s="1"/>
  <c r="O53" i="66"/>
  <c r="E25" i="58" s="1"/>
  <c r="D25" i="58" l="1"/>
  <c r="D25" i="55" s="1"/>
  <c r="O55" i="66"/>
  <c r="E27" i="58" s="1"/>
  <c r="O54" i="66"/>
  <c r="E26" i="58" s="1"/>
  <c r="D26" i="58" l="1"/>
  <c r="D26" i="55" s="1"/>
  <c r="D27" i="58"/>
  <c r="D27" i="55" s="1"/>
</calcChain>
</file>

<file path=xl/sharedStrings.xml><?xml version="1.0" encoding="utf-8"?>
<sst xmlns="http://schemas.openxmlformats.org/spreadsheetml/2006/main" count="560" uniqueCount="202">
  <si>
    <t>比例</t>
    <rPh sb="0" eb="2">
      <t>ヒレイ</t>
    </rPh>
    <phoneticPr fontId="1"/>
  </si>
  <si>
    <t>既裁</t>
    <rPh sb="0" eb="2">
      <t>キサイ</t>
    </rPh>
    <phoneticPr fontId="1"/>
  </si>
  <si>
    <t>年度間値</t>
    <rPh sb="0" eb="2">
      <t>ネンド</t>
    </rPh>
    <rPh sb="2" eb="3">
      <t>アイダ</t>
    </rPh>
    <rPh sb="3" eb="4">
      <t>チ</t>
    </rPh>
    <phoneticPr fontId="1"/>
  </si>
  <si>
    <t>調整率</t>
    <rPh sb="0" eb="2">
      <t>チョウセイ</t>
    </rPh>
    <rPh sb="2" eb="3">
      <t>リツ</t>
    </rPh>
    <phoneticPr fontId="1"/>
  </si>
  <si>
    <t>物価</t>
    <rPh sb="0" eb="2">
      <t>ブッカ</t>
    </rPh>
    <phoneticPr fontId="1"/>
  </si>
  <si>
    <t>賃金</t>
    <rPh sb="0" eb="2">
      <t>チンギン</t>
    </rPh>
    <phoneticPr fontId="1"/>
  </si>
  <si>
    <t>保険料</t>
    <rPh sb="0" eb="3">
      <t>ホケンリョウ</t>
    </rPh>
    <phoneticPr fontId="1"/>
  </si>
  <si>
    <t>改定率</t>
    <rPh sb="0" eb="2">
      <t>カイテイ</t>
    </rPh>
    <rPh sb="2" eb="3">
      <t>リツ</t>
    </rPh>
    <phoneticPr fontId="1"/>
  </si>
  <si>
    <t>（国年）</t>
    <rPh sb="1" eb="3">
      <t>コクネン</t>
    </rPh>
    <phoneticPr fontId="1"/>
  </si>
  <si>
    <t>【厚年比例】</t>
    <rPh sb="1" eb="3">
      <t>コウネン</t>
    </rPh>
    <rPh sb="3" eb="5">
      <t>ヒレイ</t>
    </rPh>
    <phoneticPr fontId="1"/>
  </si>
  <si>
    <t>スライド</t>
    <phoneticPr fontId="1"/>
  </si>
  <si>
    <t>財政検証</t>
    <rPh sb="0" eb="2">
      <t>ザイセイ</t>
    </rPh>
    <rPh sb="2" eb="4">
      <t>ケンショウ</t>
    </rPh>
    <phoneticPr fontId="1"/>
  </si>
  <si>
    <t>億円</t>
    <rPh sb="0" eb="2">
      <t>オクエン</t>
    </rPh>
    <phoneticPr fontId="1"/>
  </si>
  <si>
    <t>国庫負担</t>
  </si>
  <si>
    <t>(2018)</t>
  </si>
  <si>
    <t>(2019)</t>
  </si>
  <si>
    <t>(2020)</t>
  </si>
  <si>
    <t>(2021)</t>
  </si>
  <si>
    <t>(2022)</t>
  </si>
  <si>
    <t>(2023)</t>
  </si>
  <si>
    <t>(2024)</t>
  </si>
  <si>
    <t>(2025)</t>
  </si>
  <si>
    <t>(2026)</t>
  </si>
  <si>
    <t>(2027)</t>
  </si>
  <si>
    <t>(2028)</t>
  </si>
  <si>
    <t>保険料収入</t>
    <rPh sb="0" eb="3">
      <t>ホケンリョウ</t>
    </rPh>
    <rPh sb="3" eb="5">
      <t>シュウニュウ</t>
    </rPh>
    <phoneticPr fontId="1"/>
  </si>
  <si>
    <t>国庫負担</t>
    <rPh sb="0" eb="2">
      <t>コッコ</t>
    </rPh>
    <rPh sb="2" eb="4">
      <t>フタン</t>
    </rPh>
    <phoneticPr fontId="1"/>
  </si>
  <si>
    <t>基礎年金分</t>
    <rPh sb="0" eb="2">
      <t>キソ</t>
    </rPh>
    <rPh sb="2" eb="4">
      <t>ネンキン</t>
    </rPh>
    <rPh sb="4" eb="5">
      <t>ブン</t>
    </rPh>
    <phoneticPr fontId="1"/>
  </si>
  <si>
    <t>その他</t>
    <rPh sb="2" eb="3">
      <t>タ</t>
    </rPh>
    <phoneticPr fontId="1"/>
  </si>
  <si>
    <t>支出計</t>
    <rPh sb="0" eb="2">
      <t>シシュツ</t>
    </rPh>
    <rPh sb="2" eb="3">
      <t>ケイ</t>
    </rPh>
    <phoneticPr fontId="1"/>
  </si>
  <si>
    <t>独自給付</t>
    <rPh sb="0" eb="2">
      <t>ドクジ</t>
    </rPh>
    <rPh sb="2" eb="4">
      <t>キュウフ</t>
    </rPh>
    <phoneticPr fontId="1"/>
  </si>
  <si>
    <t>拠出金</t>
    <rPh sb="0" eb="3">
      <t>キョシュツキン</t>
    </rPh>
    <phoneticPr fontId="1"/>
  </si>
  <si>
    <t>基礎年金</t>
    <rPh sb="0" eb="2">
      <t>キソ</t>
    </rPh>
    <rPh sb="2" eb="4">
      <t>ネンキン</t>
    </rPh>
    <phoneticPr fontId="1"/>
  </si>
  <si>
    <t>付加</t>
    <rPh sb="0" eb="2">
      <t>フカ</t>
    </rPh>
    <phoneticPr fontId="1"/>
  </si>
  <si>
    <t>本体</t>
    <rPh sb="0" eb="2">
      <t>ホンタイ</t>
    </rPh>
    <phoneticPr fontId="1"/>
  </si>
  <si>
    <t>特別国庫</t>
    <rPh sb="0" eb="2">
      <t>トクベツ</t>
    </rPh>
    <rPh sb="2" eb="4">
      <t>コッコ</t>
    </rPh>
    <phoneticPr fontId="1"/>
  </si>
  <si>
    <t>【基礎年金拠出金】</t>
    <rPh sb="1" eb="3">
      <t>キソ</t>
    </rPh>
    <rPh sb="3" eb="5">
      <t>ネンキン</t>
    </rPh>
    <rPh sb="5" eb="8">
      <t>キョシュツキン</t>
    </rPh>
    <phoneticPr fontId="1"/>
  </si>
  <si>
    <t>給付費</t>
    <rPh sb="0" eb="3">
      <t>キュウフヒ</t>
    </rPh>
    <phoneticPr fontId="1"/>
  </si>
  <si>
    <t>実質</t>
    <rPh sb="0" eb="2">
      <t>ジッシツ</t>
    </rPh>
    <phoneticPr fontId="1"/>
  </si>
  <si>
    <t>３年平均</t>
    <rPh sb="1" eb="2">
      <t>ネン</t>
    </rPh>
    <rPh sb="2" eb="4">
      <t>ヘイキン</t>
    </rPh>
    <phoneticPr fontId="1"/>
  </si>
  <si>
    <t>可処分所得変化割合</t>
    <rPh sb="0" eb="3">
      <t>カショブン</t>
    </rPh>
    <rPh sb="3" eb="5">
      <t>ショトク</t>
    </rPh>
    <rPh sb="5" eb="7">
      <t>ヘンカ</t>
    </rPh>
    <rPh sb="7" eb="9">
      <t>ワリアイ</t>
    </rPh>
    <phoneticPr fontId="1"/>
  </si>
  <si>
    <t>名目賃金</t>
    <rPh sb="0" eb="2">
      <t>メイモク</t>
    </rPh>
    <rPh sb="2" eb="4">
      <t>チンギン</t>
    </rPh>
    <phoneticPr fontId="1"/>
  </si>
  <si>
    <t>単年度保険料</t>
    <rPh sb="0" eb="3">
      <t>タンネンド</t>
    </rPh>
    <rPh sb="3" eb="6">
      <t>ホケンリョウ</t>
    </rPh>
    <phoneticPr fontId="1"/>
  </si>
  <si>
    <t>(2029)</t>
  </si>
  <si>
    <t>(2030)</t>
  </si>
  <si>
    <t>(2031)</t>
  </si>
  <si>
    <t>(2032)</t>
  </si>
  <si>
    <t>(2033)</t>
  </si>
  <si>
    <t>(2034)</t>
  </si>
  <si>
    <t>(2035)</t>
  </si>
  <si>
    <t>(2036)</t>
  </si>
  <si>
    <t>(2037)</t>
  </si>
  <si>
    <t>(2038)</t>
  </si>
  <si>
    <t>(2039)</t>
  </si>
  <si>
    <t>(2040)</t>
  </si>
  <si>
    <t>年  度</t>
  </si>
  <si>
    <t>社会保障</t>
  </si>
  <si>
    <t>社会保障負担</t>
    <rPh sb="4" eb="6">
      <t>フタン</t>
    </rPh>
    <phoneticPr fontId="4"/>
  </si>
  <si>
    <t>地方負担</t>
  </si>
  <si>
    <t>給付費</t>
  </si>
  <si>
    <t>本人負担</t>
    <rPh sb="0" eb="2">
      <t>ホンニン</t>
    </rPh>
    <rPh sb="2" eb="4">
      <t>フタン</t>
    </rPh>
    <phoneticPr fontId="4"/>
  </si>
  <si>
    <t>追加費用</t>
    <rPh sb="0" eb="2">
      <t>ツイカ</t>
    </rPh>
    <rPh sb="2" eb="4">
      <t>ヒヨウ</t>
    </rPh>
    <phoneticPr fontId="4"/>
  </si>
  <si>
    <t>西暦</t>
    <rPh sb="0" eb="2">
      <t>セイレキ</t>
    </rPh>
    <phoneticPr fontId="1"/>
  </si>
  <si>
    <t>（暦年）</t>
    <rPh sb="1" eb="3">
      <t>レキネン</t>
    </rPh>
    <phoneticPr fontId="1"/>
  </si>
  <si>
    <t>【平成26年財政検証　ケースE】</t>
    <rPh sb="1" eb="3">
      <t>ヘイセイ</t>
    </rPh>
    <rPh sb="5" eb="6">
      <t>ネン</t>
    </rPh>
    <rPh sb="6" eb="8">
      <t>ザイセイ</t>
    </rPh>
    <rPh sb="8" eb="10">
      <t>ケンショウ</t>
    </rPh>
    <phoneticPr fontId="1"/>
  </si>
  <si>
    <t>財政検証（ケースE）</t>
    <rPh sb="0" eb="2">
      <t>ザイセイ</t>
    </rPh>
    <rPh sb="2" eb="4">
      <t>ケンショウ</t>
    </rPh>
    <phoneticPr fontId="1"/>
  </si>
  <si>
    <t>65-</t>
  </si>
  <si>
    <t>足下に</t>
    <rPh sb="0" eb="2">
      <t>アシモト</t>
    </rPh>
    <phoneticPr fontId="1"/>
  </si>
  <si>
    <t>年度間値</t>
    <rPh sb="0" eb="2">
      <t>ネンド</t>
    </rPh>
    <rPh sb="2" eb="3">
      <t>アイダ</t>
    </rPh>
    <rPh sb="3" eb="4">
      <t>アタイ</t>
    </rPh>
    <phoneticPr fontId="1"/>
  </si>
  <si>
    <t>年金改定率</t>
    <rPh sb="0" eb="2">
      <t>ネンキン</t>
    </rPh>
    <rPh sb="2" eb="4">
      <t>カイテイ</t>
    </rPh>
    <rPh sb="4" eb="5">
      <t>リツ</t>
    </rPh>
    <phoneticPr fontId="1"/>
  </si>
  <si>
    <t>人口修正</t>
    <rPh sb="0" eb="2">
      <t>ジンコウ</t>
    </rPh>
    <rPh sb="2" eb="4">
      <t>シュウセイ</t>
    </rPh>
    <phoneticPr fontId="1"/>
  </si>
  <si>
    <t>検証時</t>
    <rPh sb="0" eb="2">
      <t>ケンショウ</t>
    </rPh>
    <rPh sb="2" eb="3">
      <t>ジ</t>
    </rPh>
    <phoneticPr fontId="1"/>
  </si>
  <si>
    <t>ケースE</t>
    <phoneticPr fontId="1"/>
  </si>
  <si>
    <t>年金額改定率（単年度）</t>
    <rPh sb="0" eb="3">
      <t>ネンキンガク</t>
    </rPh>
    <rPh sb="3" eb="6">
      <t>カイテイリツ</t>
    </rPh>
    <rPh sb="7" eb="10">
      <t>タンネンド</t>
    </rPh>
    <phoneticPr fontId="1"/>
  </si>
  <si>
    <t>H26検証</t>
    <rPh sb="3" eb="5">
      <t>ケンショウ</t>
    </rPh>
    <phoneticPr fontId="1"/>
  </si>
  <si>
    <t>内閣府ベース</t>
    <rPh sb="0" eb="3">
      <t>ナイカクフ</t>
    </rPh>
    <phoneticPr fontId="1"/>
  </si>
  <si>
    <t>新裁</t>
    <rPh sb="0" eb="2">
      <t>シンサイ</t>
    </rPh>
    <phoneticPr fontId="1"/>
  </si>
  <si>
    <t>20-64</t>
    <phoneticPr fontId="1"/>
  </si>
  <si>
    <t>20-64</t>
  </si>
  <si>
    <t>伸び</t>
    <rPh sb="0" eb="1">
      <t>ノ</t>
    </rPh>
    <phoneticPr fontId="1"/>
  </si>
  <si>
    <t>基準</t>
    <rPh sb="0" eb="2">
      <t>キジュン</t>
    </rPh>
    <phoneticPr fontId="1"/>
  </si>
  <si>
    <t>マクロ経済スライド後の年金額改定率</t>
    <rPh sb="3" eb="5">
      <t>ケイザイ</t>
    </rPh>
    <rPh sb="9" eb="10">
      <t>ゴ</t>
    </rPh>
    <rPh sb="11" eb="14">
      <t>ネンキンガク</t>
    </rPh>
    <rPh sb="14" eb="16">
      <t>カイテイ</t>
    </rPh>
    <rPh sb="16" eb="17">
      <t>リツ</t>
    </rPh>
    <phoneticPr fontId="1"/>
  </si>
  <si>
    <t>人口補正</t>
    <rPh sb="0" eb="2">
      <t>ジンコウ</t>
    </rPh>
    <rPh sb="2" eb="4">
      <t>ホセイ</t>
    </rPh>
    <phoneticPr fontId="1"/>
  </si>
  <si>
    <t>【厚年定額】</t>
    <rPh sb="1" eb="3">
      <t>コウネン</t>
    </rPh>
    <rPh sb="3" eb="5">
      <t>テイガク</t>
    </rPh>
    <phoneticPr fontId="1"/>
  </si>
  <si>
    <t>財政検証（ケースE)</t>
    <rPh sb="0" eb="2">
      <t>ザイセイ</t>
    </rPh>
    <rPh sb="2" eb="4">
      <t>ケンショウ</t>
    </rPh>
    <phoneticPr fontId="1"/>
  </si>
  <si>
    <t>新裁</t>
    <rPh sb="0" eb="1">
      <t>アタラシ</t>
    </rPh>
    <rPh sb="1" eb="2">
      <t>サイ</t>
    </rPh>
    <phoneticPr fontId="1"/>
  </si>
  <si>
    <t>26検証</t>
    <rPh sb="2" eb="4">
      <t>ケンショウ</t>
    </rPh>
    <phoneticPr fontId="1"/>
  </si>
  <si>
    <t>マクロ経済スライド</t>
    <rPh sb="3" eb="5">
      <t>ケイザイ</t>
    </rPh>
    <phoneticPr fontId="1"/>
  </si>
  <si>
    <t>新裁</t>
    <rPh sb="0" eb="1">
      <t>シン</t>
    </rPh>
    <rPh sb="1" eb="2">
      <t>サイ</t>
    </rPh>
    <phoneticPr fontId="1"/>
  </si>
  <si>
    <t>２６検証</t>
    <rPh sb="2" eb="4">
      <t>ケンショウ</t>
    </rPh>
    <phoneticPr fontId="1"/>
  </si>
  <si>
    <t>累積改定率</t>
    <rPh sb="0" eb="2">
      <t>ルイセキ</t>
    </rPh>
    <rPh sb="2" eb="4">
      <t>カイテイ</t>
    </rPh>
    <rPh sb="4" eb="5">
      <t>リツ</t>
    </rPh>
    <phoneticPr fontId="1"/>
  </si>
  <si>
    <t>④×③</t>
    <phoneticPr fontId="1"/>
  </si>
  <si>
    <t>減少率</t>
    <rPh sb="0" eb="3">
      <t>ゲンショウリツ</t>
    </rPh>
    <phoneticPr fontId="1"/>
  </si>
  <si>
    <t>実績反映</t>
    <rPh sb="0" eb="2">
      <t>ジッセキ</t>
    </rPh>
    <rPh sb="2" eb="4">
      <t>ハンエイ</t>
    </rPh>
    <phoneticPr fontId="1"/>
  </si>
  <si>
    <t>（単位：百万）</t>
    <rPh sb="1" eb="3">
      <t>タンイ</t>
    </rPh>
    <rPh sb="4" eb="6">
      <t>ヒャクマン</t>
    </rPh>
    <phoneticPr fontId="1"/>
  </si>
  <si>
    <t>調整率</t>
    <rPh sb="0" eb="3">
      <t>チョウセイリツ</t>
    </rPh>
    <phoneticPr fontId="1"/>
  </si>
  <si>
    <t>平均</t>
    <rPh sb="0" eb="2">
      <t>ヘイキン</t>
    </rPh>
    <phoneticPr fontId="1"/>
  </si>
  <si>
    <t>公的被保険者数</t>
    <rPh sb="0" eb="2">
      <t>コウテキ</t>
    </rPh>
    <rPh sb="2" eb="6">
      <t>ヒホケンシャ</t>
    </rPh>
    <rPh sb="6" eb="7">
      <t>スウ</t>
    </rPh>
    <phoneticPr fontId="1"/>
  </si>
  <si>
    <t>①/②</t>
    <phoneticPr fontId="1"/>
  </si>
  <si>
    <t>20-64</t>
    <phoneticPr fontId="1"/>
  </si>
  <si>
    <t>-0.3付与</t>
    <rPh sb="4" eb="6">
      <t>フヨ</t>
    </rPh>
    <phoneticPr fontId="1"/>
  </si>
  <si>
    <t>３ヵ年</t>
    <rPh sb="2" eb="3">
      <t>ネン</t>
    </rPh>
    <phoneticPr fontId="1"/>
  </si>
  <si>
    <t>単年度</t>
    <rPh sb="0" eb="3">
      <t>タンネンド</t>
    </rPh>
    <phoneticPr fontId="1"/>
  </si>
  <si>
    <t>ケースE</t>
    <phoneticPr fontId="1"/>
  </si>
  <si>
    <t>補正率</t>
    <rPh sb="0" eb="2">
      <t>ホセイ</t>
    </rPh>
    <rPh sb="2" eb="3">
      <t>リツ</t>
    </rPh>
    <phoneticPr fontId="1"/>
  </si>
  <si>
    <t>④</t>
    <phoneticPr fontId="1"/>
  </si>
  <si>
    <t>③</t>
    <phoneticPr fontId="1"/>
  </si>
  <si>
    <t>②</t>
    <phoneticPr fontId="1"/>
  </si>
  <si>
    <t>①</t>
    <phoneticPr fontId="1"/>
  </si>
  <si>
    <t>西暦</t>
    <rPh sb="0" eb="2">
      <t>セイレキ</t>
    </rPh>
    <phoneticPr fontId="12"/>
  </si>
  <si>
    <t>社会保障負担</t>
    <rPh sb="4" eb="6">
      <t>フタン</t>
    </rPh>
    <phoneticPr fontId="18"/>
  </si>
  <si>
    <t>GDP</t>
    <phoneticPr fontId="4"/>
  </si>
  <si>
    <t>（億円）</t>
    <rPh sb="1" eb="3">
      <t>オクエン</t>
    </rPh>
    <phoneticPr fontId="4"/>
  </si>
  <si>
    <t>西暦</t>
    <rPh sb="0" eb="2">
      <t>セイレキ</t>
    </rPh>
    <phoneticPr fontId="4"/>
  </si>
  <si>
    <t>計</t>
    <rPh sb="0" eb="1">
      <t>ケイ</t>
    </rPh>
    <phoneticPr fontId="4"/>
  </si>
  <si>
    <t>財政再計算結果ケースE</t>
    <rPh sb="0" eb="2">
      <t>ザイセイ</t>
    </rPh>
    <rPh sb="2" eb="5">
      <t>サイケイサン</t>
    </rPh>
    <rPh sb="5" eb="7">
      <t>ケッカ</t>
    </rPh>
    <phoneticPr fontId="4"/>
  </si>
  <si>
    <t>和暦</t>
    <rPh sb="0" eb="2">
      <t>ワレキ</t>
    </rPh>
    <phoneticPr fontId="1"/>
  </si>
  <si>
    <t>年金生活者支援給付金</t>
    <rPh sb="0" eb="2">
      <t>ネンキン</t>
    </rPh>
    <rPh sb="2" eb="5">
      <t>セイカツシャ</t>
    </rPh>
    <rPh sb="5" eb="7">
      <t>シエン</t>
    </rPh>
    <rPh sb="7" eb="10">
      <t>キュウフキン</t>
    </rPh>
    <phoneticPr fontId="1"/>
  </si>
  <si>
    <t>人口（65歳以上）</t>
    <rPh sb="0" eb="2">
      <t>ジンコウ</t>
    </rPh>
    <rPh sb="5" eb="6">
      <t>サイ</t>
    </rPh>
    <rPh sb="6" eb="8">
      <t>イジョウ</t>
    </rPh>
    <phoneticPr fontId="1"/>
  </si>
  <si>
    <t>（億円）</t>
    <rPh sb="1" eb="3">
      <t>オクエン</t>
    </rPh>
    <phoneticPr fontId="1"/>
  </si>
  <si>
    <t>（％）</t>
    <phoneticPr fontId="1"/>
  </si>
  <si>
    <t>(万人）</t>
    <rPh sb="1" eb="3">
      <t>マンニン</t>
    </rPh>
    <phoneticPr fontId="1"/>
  </si>
  <si>
    <t>平成29</t>
    <rPh sb="0" eb="2">
      <t>ヘイセイ</t>
    </rPh>
    <phoneticPr fontId="1"/>
  </si>
  <si>
    <t>(2017)</t>
    <phoneticPr fontId="1"/>
  </si>
  <si>
    <t>(2018)</t>
    <phoneticPr fontId="1"/>
  </si>
  <si>
    <t>厚年保険料
（２６年検証ケースE）</t>
    <rPh sb="0" eb="2">
      <t>コウネン</t>
    </rPh>
    <rPh sb="2" eb="5">
      <t>ホケンリョウ</t>
    </rPh>
    <rPh sb="9" eb="10">
      <t>ネン</t>
    </rPh>
    <rPh sb="10" eb="12">
      <t>ケンショウ</t>
    </rPh>
    <phoneticPr fontId="52"/>
  </si>
  <si>
    <t>（億円）</t>
    <rPh sb="1" eb="3">
      <t>オクエン</t>
    </rPh>
    <phoneticPr fontId="52"/>
  </si>
  <si>
    <t>伸び率
(B)</t>
    <rPh sb="0" eb="1">
      <t>ノ</t>
    </rPh>
    <rPh sb="2" eb="3">
      <t>リツ</t>
    </rPh>
    <phoneticPr fontId="52"/>
  </si>
  <si>
    <t>厚年被保険者数
（２６年検証ケースE）</t>
    <rPh sb="0" eb="2">
      <t>コウネン</t>
    </rPh>
    <rPh sb="2" eb="6">
      <t>ヒホケンシャ</t>
    </rPh>
    <rPh sb="6" eb="7">
      <t>スウ</t>
    </rPh>
    <rPh sb="11" eb="12">
      <t>ネン</t>
    </rPh>
    <rPh sb="12" eb="14">
      <t>ケンショウ</t>
    </rPh>
    <phoneticPr fontId="52"/>
  </si>
  <si>
    <t>（百万人）</t>
    <rPh sb="1" eb="3">
      <t>ヒャクマン</t>
    </rPh>
    <rPh sb="3" eb="4">
      <t>ニン</t>
    </rPh>
    <phoneticPr fontId="52"/>
  </si>
  <si>
    <t>物価上昇</t>
    <rPh sb="0" eb="2">
      <t>ブッカ</t>
    </rPh>
    <rPh sb="2" eb="4">
      <t>ジョウショウ</t>
    </rPh>
    <phoneticPr fontId="4"/>
  </si>
  <si>
    <t>累積(年度)</t>
    <rPh sb="0" eb="2">
      <t>ルイセキ</t>
    </rPh>
    <rPh sb="3" eb="5">
      <t>ネンド</t>
    </rPh>
    <phoneticPr fontId="1"/>
  </si>
  <si>
    <t>基礎年金拠出金</t>
    <rPh sb="0" eb="2">
      <t>キソ</t>
    </rPh>
    <rPh sb="2" eb="4">
      <t>ネンキン</t>
    </rPh>
    <rPh sb="4" eb="7">
      <t>キョシュツキン</t>
    </rPh>
    <phoneticPr fontId="1"/>
  </si>
  <si>
    <t>旧厚年</t>
    <rPh sb="0" eb="1">
      <t>キュウ</t>
    </rPh>
    <rPh sb="1" eb="3">
      <t>コウネン</t>
    </rPh>
    <phoneticPr fontId="1"/>
  </si>
  <si>
    <t>国共済</t>
    <rPh sb="0" eb="1">
      <t>クニ</t>
    </rPh>
    <rPh sb="1" eb="3">
      <t>キョウサイ</t>
    </rPh>
    <phoneticPr fontId="1"/>
  </si>
  <si>
    <t>地方共済</t>
    <rPh sb="0" eb="2">
      <t>チホウ</t>
    </rPh>
    <rPh sb="2" eb="4">
      <t>キョウサイ</t>
    </rPh>
    <phoneticPr fontId="1"/>
  </si>
  <si>
    <t>私学</t>
    <rPh sb="0" eb="2">
      <t>シガク</t>
    </rPh>
    <phoneticPr fontId="1"/>
  </si>
  <si>
    <t>億円</t>
    <rPh sb="0" eb="2">
      <t>オクエン</t>
    </rPh>
    <phoneticPr fontId="1"/>
  </si>
  <si>
    <t>（再掲）</t>
    <rPh sb="1" eb="3">
      <t>サイケイ</t>
    </rPh>
    <phoneticPr fontId="1"/>
  </si>
  <si>
    <t>国庫負担（その他）</t>
    <rPh sb="0" eb="2">
      <t>コッコ</t>
    </rPh>
    <rPh sb="2" eb="4">
      <t>フタン</t>
    </rPh>
    <rPh sb="7" eb="8">
      <t>タ</t>
    </rPh>
    <phoneticPr fontId="1"/>
  </si>
  <si>
    <t>2018年を足下に</t>
    <rPh sb="4" eb="5">
      <t>ネン</t>
    </rPh>
    <rPh sb="6" eb="8">
      <t>アシモト</t>
    </rPh>
    <phoneticPr fontId="1"/>
  </si>
  <si>
    <t>2018年度</t>
    <rPh sb="4" eb="6">
      <t>ネンド</t>
    </rPh>
    <phoneticPr fontId="1"/>
  </si>
  <si>
    <t>2018年</t>
    <rPh sb="4" eb="5">
      <t>ネン</t>
    </rPh>
    <phoneticPr fontId="1"/>
  </si>
  <si>
    <t>事業主負担</t>
    <rPh sb="0" eb="3">
      <t>ジギョウヌシ</t>
    </rPh>
    <rPh sb="3" eb="5">
      <t>フタン</t>
    </rPh>
    <phoneticPr fontId="1"/>
  </si>
  <si>
    <t>年金全体（経済成長実現ケース）</t>
    <rPh sb="0" eb="2">
      <t>ネンキン</t>
    </rPh>
    <rPh sb="2" eb="4">
      <t>ゼンタイ</t>
    </rPh>
    <rPh sb="5" eb="7">
      <t>ケイザイ</t>
    </rPh>
    <rPh sb="7" eb="9">
      <t>セイチョウ</t>
    </rPh>
    <rPh sb="9" eb="11">
      <t>ジツゲン</t>
    </rPh>
    <phoneticPr fontId="4"/>
  </si>
  <si>
    <t>その他（恩給を除く）（経済成長実現ケース）</t>
    <rPh sb="2" eb="3">
      <t>タ</t>
    </rPh>
    <rPh sb="4" eb="6">
      <t>オンキュウ</t>
    </rPh>
    <rPh sb="7" eb="8">
      <t>ノゾ</t>
    </rPh>
    <rPh sb="11" eb="13">
      <t>ケイザイ</t>
    </rPh>
    <rPh sb="13" eb="15">
      <t>セイチョウ</t>
    </rPh>
    <rPh sb="15" eb="17">
      <t>ジツゲン</t>
    </rPh>
    <phoneticPr fontId="4"/>
  </si>
  <si>
    <t>経済成長実現ケース</t>
    <phoneticPr fontId="4"/>
  </si>
  <si>
    <t>【経済成長実現ケース】</t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</si>
  <si>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</si>
  <si>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</si>
  <si>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2020年</t>
    <rPh sb="4" eb="5">
      <t>ネン</t>
    </rPh>
    <phoneticPr fontId="1"/>
  </si>
  <si>
    <t>2030年</t>
    <rPh sb="4" eb="5">
      <t>ネン</t>
    </rPh>
    <phoneticPr fontId="1"/>
  </si>
  <si>
    <t>2027年</t>
    <rPh sb="4" eb="5">
      <t>ネン</t>
    </rPh>
    <phoneticPr fontId="1"/>
  </si>
  <si>
    <t>65-69</t>
    <phoneticPr fontId="1"/>
  </si>
  <si>
    <t>それ以外</t>
    <rPh sb="2" eb="4">
      <t>イガイ</t>
    </rPh>
    <phoneticPr fontId="1"/>
  </si>
  <si>
    <t>25-44</t>
    <phoneticPr fontId="1"/>
  </si>
  <si>
    <t>ベース</t>
    <phoneticPr fontId="1"/>
  </si>
  <si>
    <t>年齢</t>
    <rPh sb="0" eb="2">
      <t>ネンレイ</t>
    </rPh>
    <phoneticPr fontId="1"/>
  </si>
  <si>
    <t>就業者数（万人）</t>
    <rPh sb="0" eb="3">
      <t>シュウギョウシャ</t>
    </rPh>
    <rPh sb="3" eb="4">
      <t>スウ</t>
    </rPh>
    <rPh sb="5" eb="7">
      <t>マンニン</t>
    </rPh>
    <phoneticPr fontId="1"/>
  </si>
  <si>
    <t>進展シナリオ　2015年度 労働力需給の推計</t>
    <rPh sb="0" eb="2">
      <t>シンテン</t>
    </rPh>
    <phoneticPr fontId="1"/>
  </si>
  <si>
    <t>経済成長</t>
    <rPh sb="0" eb="2">
      <t>ケイザイ</t>
    </rPh>
    <rPh sb="2" eb="4">
      <t>セイチョウ</t>
    </rPh>
    <phoneticPr fontId="1"/>
  </si>
  <si>
    <t>労働参加率（中長期試算）</t>
    <rPh sb="0" eb="2">
      <t>ロウドウ</t>
    </rPh>
    <rPh sb="2" eb="5">
      <t>サンカリツ</t>
    </rPh>
    <rPh sb="6" eb="9">
      <t>チュウチョウキ</t>
    </rPh>
    <rPh sb="9" eb="11">
      <t>シサン</t>
    </rPh>
    <phoneticPr fontId="1"/>
  </si>
  <si>
    <t>推計</t>
    <rPh sb="0" eb="2">
      <t>スイケイ</t>
    </rPh>
    <phoneticPr fontId="1"/>
  </si>
  <si>
    <t>年金額の水準（スライド調整あり）</t>
    <rPh sb="0" eb="2">
      <t>ネンキン</t>
    </rPh>
    <rPh sb="2" eb="3">
      <t>ガク</t>
    </rPh>
    <rPh sb="4" eb="6">
      <t>スイジュン</t>
    </rPh>
    <rPh sb="11" eb="13">
      <t>チョウセイ</t>
    </rPh>
    <phoneticPr fontId="1"/>
  </si>
  <si>
    <t>←</t>
    <phoneticPr fontId="1"/>
  </si>
  <si>
    <t>平成２６年財政検証結果</t>
    <rPh sb="0" eb="2">
      <t>ヘイセイ</t>
    </rPh>
    <rPh sb="4" eb="5">
      <t>ネン</t>
    </rPh>
    <rPh sb="5" eb="7">
      <t>ザイセイ</t>
    </rPh>
    <rPh sb="7" eb="9">
      <t>ケンショウ</t>
    </rPh>
    <rPh sb="9" eb="11">
      <t>ケッカ</t>
    </rPh>
    <phoneticPr fontId="1"/>
  </si>
  <si>
    <t>恩給</t>
    <rPh sb="0" eb="2">
      <t>オンキュウ</t>
    </rPh>
    <phoneticPr fontId="4"/>
  </si>
  <si>
    <t>年金生活者支援給付金</t>
    <rPh sb="0" eb="10">
      <t>ネンキンセイカツシャシエンキュウフキン</t>
    </rPh>
    <phoneticPr fontId="1"/>
  </si>
  <si>
    <t>厚生年金（経済成長実現ケース）</t>
    <phoneticPr fontId="1"/>
  </si>
  <si>
    <t>（億円）</t>
    <rPh sb="1" eb="3">
      <t>オクエン</t>
    </rPh>
    <phoneticPr fontId="1"/>
  </si>
  <si>
    <t>（兆円）</t>
    <rPh sb="1" eb="3">
      <t>チョウエン</t>
    </rPh>
    <phoneticPr fontId="1"/>
  </si>
  <si>
    <t>（億円）</t>
    <rPh sb="1" eb="3">
      <t>オクエン</t>
    </rPh>
    <phoneticPr fontId="1"/>
  </si>
  <si>
    <t>給付費計</t>
    <rPh sb="0" eb="3">
      <t>キュウフヒ</t>
    </rPh>
    <rPh sb="3" eb="4">
      <t>ケイ</t>
    </rPh>
    <phoneticPr fontId="1"/>
  </si>
  <si>
    <t>基礎年金
拠出金</t>
    <rPh sb="0" eb="2">
      <t>キソ</t>
    </rPh>
    <rPh sb="2" eb="4">
      <t>ネンキン</t>
    </rPh>
    <rPh sb="5" eb="7">
      <t>キョシュツ</t>
    </rPh>
    <rPh sb="7" eb="8">
      <t>カネ</t>
    </rPh>
    <phoneticPr fontId="1"/>
  </si>
  <si>
    <t>私学</t>
    <rPh sb="0" eb="2">
      <t>シガク</t>
    </rPh>
    <phoneticPr fontId="1"/>
  </si>
  <si>
    <t>計</t>
    <rPh sb="0" eb="1">
      <t>ケイ</t>
    </rPh>
    <phoneticPr fontId="1"/>
  </si>
  <si>
    <t>うち旧３階</t>
    <rPh sb="2" eb="3">
      <t>キュウ</t>
    </rPh>
    <rPh sb="4" eb="5">
      <t>カイ</t>
    </rPh>
    <phoneticPr fontId="4"/>
  </si>
  <si>
    <t>収入</t>
    <rPh sb="0" eb="2">
      <t>シュウニュウ</t>
    </rPh>
    <phoneticPr fontId="1"/>
  </si>
  <si>
    <t>追加費用</t>
    <rPh sb="0" eb="2">
      <t>ツイカ</t>
    </rPh>
    <rPh sb="2" eb="4">
      <t>ヒヨウ</t>
    </rPh>
    <phoneticPr fontId="1"/>
  </si>
  <si>
    <t>支出</t>
    <rPh sb="0" eb="2">
      <t>シシュツ</t>
    </rPh>
    <phoneticPr fontId="1"/>
  </si>
  <si>
    <t>旧３階</t>
    <rPh sb="0" eb="1">
      <t>キュウ</t>
    </rPh>
    <rPh sb="2" eb="3">
      <t>カイ</t>
    </rPh>
    <phoneticPr fontId="4"/>
  </si>
  <si>
    <t>国共</t>
    <rPh sb="0" eb="2">
      <t>コッキョウ</t>
    </rPh>
    <phoneticPr fontId="1"/>
  </si>
  <si>
    <t>地共</t>
    <rPh sb="0" eb="1">
      <t>チ</t>
    </rPh>
    <rPh sb="1" eb="2">
      <t>ドモ</t>
    </rPh>
    <phoneticPr fontId="1"/>
  </si>
  <si>
    <t>物価上昇率（年度）</t>
    <rPh sb="0" eb="2">
      <t>ブッカ</t>
    </rPh>
    <rPh sb="2" eb="4">
      <t>ジョウショウ</t>
    </rPh>
    <rPh sb="4" eb="5">
      <t>リツ</t>
    </rPh>
    <rPh sb="6" eb="8">
      <t>ネンド</t>
    </rPh>
    <phoneticPr fontId="1"/>
  </si>
  <si>
    <t>推計</t>
    <rPh sb="0" eb="2">
      <t>スイケイ</t>
    </rPh>
    <phoneticPr fontId="1"/>
  </si>
  <si>
    <t>億円</t>
    <rPh sb="0" eb="2">
      <t>オクエン</t>
    </rPh>
    <phoneticPr fontId="1"/>
  </si>
  <si>
    <t>補正</t>
    <rPh sb="0" eb="2">
      <t>ホセイ</t>
    </rPh>
    <phoneticPr fontId="1"/>
  </si>
  <si>
    <t>保険料</t>
    <rPh sb="0" eb="3">
      <t>ホケンリョウ</t>
    </rPh>
    <phoneticPr fontId="1"/>
  </si>
  <si>
    <t>国年</t>
    <rPh sb="0" eb="1">
      <t>コク</t>
    </rPh>
    <rPh sb="1" eb="2">
      <t>ネン</t>
    </rPh>
    <phoneticPr fontId="1"/>
  </si>
  <si>
    <t>厚年</t>
    <rPh sb="0" eb="2">
      <t>コウネン</t>
    </rPh>
    <phoneticPr fontId="1"/>
  </si>
  <si>
    <t>調整率減</t>
    <rPh sb="0" eb="3">
      <t>チョウセイリツ</t>
    </rPh>
    <rPh sb="3" eb="4">
      <t>ゲン</t>
    </rPh>
    <phoneticPr fontId="1"/>
  </si>
  <si>
    <t>受給者数</t>
    <rPh sb="0" eb="3">
      <t>ジュキュウシャ</t>
    </rPh>
    <rPh sb="3" eb="4">
      <t>スウ</t>
    </rPh>
    <phoneticPr fontId="1"/>
  </si>
  <si>
    <t>国民年金（経済成長実現ケース）</t>
    <phoneticPr fontId="1"/>
  </si>
  <si>
    <t>伸び率
(A)</t>
    <rPh sb="0" eb="1">
      <t>ノ</t>
    </rPh>
    <rPh sb="2" eb="3">
      <t>リツ</t>
    </rPh>
    <phoneticPr fontId="52"/>
  </si>
  <si>
    <t>差</t>
    <rPh sb="0" eb="1">
      <t>サ</t>
    </rPh>
    <phoneticPr fontId="1"/>
  </si>
  <si>
    <t>(A)-(B)</t>
    <phoneticPr fontId="1"/>
  </si>
  <si>
    <t>三共済（国共地共私学）・旧３公社等（経済成長実現ケース）</t>
    <rPh sb="0" eb="1">
      <t>サン</t>
    </rPh>
    <rPh sb="1" eb="3">
      <t>キョウサイ</t>
    </rPh>
    <rPh sb="4" eb="5">
      <t>クニ</t>
    </rPh>
    <rPh sb="6" eb="7">
      <t>チ</t>
    </rPh>
    <rPh sb="7" eb="8">
      <t>トモ</t>
    </rPh>
    <rPh sb="8" eb="10">
      <t>シガク</t>
    </rPh>
    <rPh sb="12" eb="13">
      <t>キュウ</t>
    </rPh>
    <rPh sb="14" eb="16">
      <t>コウシャ</t>
    </rPh>
    <rPh sb="16" eb="17">
      <t>ナド</t>
    </rPh>
    <rPh sb="18" eb="20">
      <t>ケイザイ</t>
    </rPh>
    <rPh sb="20" eb="22">
      <t>セイチョウ</t>
    </rPh>
    <rPh sb="22" eb="24">
      <t>ジツゲン</t>
    </rPh>
    <phoneticPr fontId="4"/>
  </si>
  <si>
    <t>※　出典：国立社会保障・人口問題研究所「日本の将来推計人口」</t>
    <rPh sb="2" eb="4">
      <t>シュッテン</t>
    </rPh>
    <rPh sb="5" eb="7">
      <t>コクリツ</t>
    </rPh>
    <rPh sb="7" eb="9">
      <t>シャカイ</t>
    </rPh>
    <rPh sb="9" eb="11">
      <t>ホショウ</t>
    </rPh>
    <rPh sb="12" eb="14">
      <t>ジンコウ</t>
    </rPh>
    <rPh sb="14" eb="16">
      <t>モンダイ</t>
    </rPh>
    <rPh sb="16" eb="19">
      <t>ケンキュウショ</t>
    </rPh>
    <rPh sb="20" eb="22">
      <t>ニホン</t>
    </rPh>
    <rPh sb="23" eb="25">
      <t>ショウライ</t>
    </rPh>
    <rPh sb="25" eb="27">
      <t>スイケイ</t>
    </rPh>
    <rPh sb="27" eb="29">
      <t>ジンコウ</t>
    </rPh>
    <phoneticPr fontId="1"/>
  </si>
  <si>
    <t>平成29年推計※</t>
    <rPh sb="0" eb="2">
      <t>ヘイセイ</t>
    </rPh>
    <rPh sb="4" eb="5">
      <t>ネン</t>
    </rPh>
    <rPh sb="5" eb="7">
      <t>スイケイ</t>
    </rPh>
    <phoneticPr fontId="1"/>
  </si>
  <si>
    <t>平成24年推計※</t>
    <rPh sb="0" eb="2">
      <t>ヘイセイ</t>
    </rPh>
    <rPh sb="4" eb="5">
      <t>ネン</t>
    </rPh>
    <rPh sb="5" eb="7">
      <t>スイケイ</t>
    </rPh>
    <phoneticPr fontId="1"/>
  </si>
  <si>
    <t>平成29年推計</t>
    <rPh sb="0" eb="2">
      <t>ヘイセイ</t>
    </rPh>
    <rPh sb="4" eb="5">
      <t>ネン</t>
    </rPh>
    <rPh sb="5" eb="7">
      <t>スイケイ</t>
    </rPh>
    <phoneticPr fontId="1"/>
  </si>
  <si>
    <t>平成24年推計</t>
    <rPh sb="0" eb="2">
      <t>ヘイセイ</t>
    </rPh>
    <rPh sb="4" eb="5">
      <t>ネン</t>
    </rPh>
    <rPh sb="5" eb="7">
      <t>スイケイ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</si>
</sst>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0.00;&quot;▲ &quot;0.00"/>
    <numFmt numFmtId="177" formatCode="#,##0_ "/>
    <numFmt numFmtId="178" formatCode="0.00_);[Red]\(0.00\)"/>
    <numFmt numFmtId="179" formatCode="0.000_);[Red]\(0.000\)"/>
    <numFmt numFmtId="180" formatCode="0.0"/>
    <numFmt numFmtId="181" formatCode="#,##0.00_ "/>
    <numFmt numFmtId="182" formatCode="#,##0_);[Red]\(#,##0\)"/>
    <numFmt numFmtId="183" formatCode="0.0%"/>
    <numFmt numFmtId="184" formatCode="#,##0.0;[Red]\-#,##0.0"/>
    <numFmt numFmtId="185" formatCode="#,##0.000;[Red]\-#,##0.000"/>
    <numFmt numFmtId="186" formatCode="0_);[Red]\(0\)"/>
    <numFmt numFmtId="187" formatCode="#,##0;\-#,##0;&quot;-&quot;"/>
    <numFmt numFmtId="188" formatCode="General_)"/>
    <numFmt numFmtId="189" formatCode="\(General\)"/>
    <numFmt numFmtId="190" formatCode="\(0.0\)"/>
    <numFmt numFmtId="191" formatCode="mm/dd/yyyy\ hh:mm:ss"/>
    <numFmt numFmtId="192" formatCode="0.0;&quot;▲ &quot;0.0"/>
    <numFmt numFmtId="193" formatCode="0.000;&quot;▲ &quot;0.000"/>
  </numFmts>
  <fonts count="5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4"/>
      <name val="System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8"/>
      <color indexed="8"/>
      <name val="Arial"/>
      <family val="2"/>
    </font>
    <font>
      <sz val="14"/>
      <name val="ＭＳ 明朝"/>
      <family val="1"/>
      <charset val="128"/>
    </font>
    <font>
      <sz val="8"/>
      <name val="Arial"/>
      <family val="2"/>
    </font>
    <font>
      <b/>
      <sz val="8"/>
      <color indexed="8"/>
      <name val="MS Sans Serif"/>
      <family val="2"/>
    </font>
    <font>
      <sz val="10"/>
      <color indexed="8"/>
      <name val="Arial"/>
      <family val="2"/>
    </font>
    <font>
      <sz val="9"/>
      <color indexed="12"/>
      <name val="ＭＳ 明朝"/>
      <family val="1"/>
      <charset val="128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12"/>
      <color indexed="22"/>
      <name val="ＭＳ 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Osaka"/>
      <family val="3"/>
      <charset val="128"/>
    </font>
    <font>
      <b/>
      <sz val="11"/>
      <name val="ＭＳ Ｐゴシック"/>
      <family val="3"/>
      <charset val="128"/>
    </font>
    <font>
      <b/>
      <sz val="18"/>
      <color indexed="22"/>
      <name val="ＭＳ 明朝"/>
      <family val="1"/>
      <charset val="128"/>
    </font>
    <font>
      <b/>
      <sz val="15"/>
      <color indexed="22"/>
      <name val="ＭＳ 明朝"/>
      <family val="1"/>
      <charset val="128"/>
    </font>
    <font>
      <sz val="10"/>
      <name val="丸ｺﾞｼｯｸ体Ca-B(GT)"/>
      <family val="3"/>
      <charset val="128"/>
    </font>
    <font>
      <sz val="14"/>
      <color indexed="12"/>
      <name val="ＭＳ 明朝"/>
      <family val="1"/>
      <charset val="128"/>
    </font>
    <font>
      <sz val="14"/>
      <name val="ＭＳ ・団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59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/>
    <xf numFmtId="0" fontId="1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2" fillId="0" borderId="0">
      <alignment vertical="center"/>
    </xf>
    <xf numFmtId="0" fontId="20" fillId="2" borderId="17"/>
    <xf numFmtId="0" fontId="21" fillId="3" borderId="18">
      <alignment horizontal="right" vertical="top" wrapText="1"/>
    </xf>
    <xf numFmtId="187" fontId="22" fillId="0" borderId="0" applyFill="0" applyBorder="0" applyAlignment="0"/>
    <xf numFmtId="0" fontId="23" fillId="0" borderId="5" applyFill="0" applyBorder="0">
      <protection locked="0"/>
    </xf>
    <xf numFmtId="0" fontId="24" fillId="4" borderId="0">
      <alignment horizontal="center"/>
    </xf>
    <xf numFmtId="0" fontId="25" fillId="4" borderId="0">
      <alignment horizontal="center" vertical="center"/>
    </xf>
    <xf numFmtId="0" fontId="26" fillId="5" borderId="0">
      <alignment horizontal="center" wrapText="1"/>
    </xf>
    <xf numFmtId="0" fontId="27" fillId="4" borderId="0">
      <alignment horizontal="center"/>
    </xf>
    <xf numFmtId="0" fontId="28" fillId="6" borderId="17" applyBorder="0">
      <protection locked="0"/>
    </xf>
    <xf numFmtId="0" fontId="29" fillId="6" borderId="17">
      <protection locked="0"/>
    </xf>
    <xf numFmtId="0" fontId="26" fillId="6" borderId="4"/>
    <xf numFmtId="0" fontId="26" fillId="4" borderId="0"/>
    <xf numFmtId="0" fontId="18" fillId="4" borderId="4">
      <alignment horizontal="left"/>
    </xf>
    <xf numFmtId="0" fontId="22" fillId="4" borderId="0">
      <alignment horizontal="left"/>
    </xf>
    <xf numFmtId="0" fontId="21" fillId="7" borderId="0">
      <alignment horizontal="right" vertical="top" wrapText="1"/>
    </xf>
    <xf numFmtId="0" fontId="30" fillId="0" borderId="15" applyNumberFormat="0" applyAlignment="0" applyProtection="0">
      <alignment horizontal="left" vertical="center"/>
    </xf>
    <xf numFmtId="0" fontId="30" fillId="0" borderId="16">
      <alignment horizontal="left" vertical="center"/>
    </xf>
    <xf numFmtId="0" fontId="31" fillId="5" borderId="0">
      <alignment horizontal="center"/>
    </xf>
    <xf numFmtId="0" fontId="26" fillId="4" borderId="4">
      <alignment horizontal="centerContinuous" wrapText="1"/>
    </xf>
    <xf numFmtId="0" fontId="32" fillId="8" borderId="0">
      <alignment horizontal="center" wrapText="1"/>
    </xf>
    <xf numFmtId="0" fontId="26" fillId="4" borderId="4">
      <alignment horizontal="centerContinuous" wrapText="1"/>
    </xf>
    <xf numFmtId="0" fontId="20" fillId="4" borderId="16">
      <alignment wrapText="1"/>
    </xf>
    <xf numFmtId="0" fontId="20" fillId="4" borderId="11"/>
    <xf numFmtId="0" fontId="20" fillId="4" borderId="7"/>
    <xf numFmtId="0" fontId="20" fillId="4" borderId="12">
      <alignment horizontal="center" wrapText="1"/>
    </xf>
    <xf numFmtId="0" fontId="26" fillId="0" borderId="0"/>
    <xf numFmtId="0" fontId="20" fillId="4" borderId="4"/>
    <xf numFmtId="0" fontId="25" fillId="4" borderId="0">
      <alignment horizontal="right"/>
    </xf>
    <xf numFmtId="0" fontId="33" fillId="8" borderId="0">
      <alignment horizontal="center"/>
    </xf>
    <xf numFmtId="0" fontId="34" fillId="7" borderId="4">
      <alignment horizontal="left" vertical="top" wrapText="1"/>
    </xf>
    <xf numFmtId="0" fontId="35" fillId="7" borderId="14">
      <alignment horizontal="left" vertical="top" wrapText="1"/>
    </xf>
    <xf numFmtId="0" fontId="34" fillId="7" borderId="13">
      <alignment horizontal="left" vertical="top" wrapText="1"/>
    </xf>
    <xf numFmtId="0" fontId="34" fillId="7" borderId="14">
      <alignment horizontal="left" vertical="top"/>
    </xf>
    <xf numFmtId="188" fontId="36" fillId="0" borderId="0"/>
    <xf numFmtId="188" fontId="37" fillId="0" borderId="0" applyNumberFormat="0" applyBorder="0" applyAlignment="0"/>
    <xf numFmtId="188" fontId="37" fillId="0" borderId="0" applyNumberFormat="0" applyBorder="0" applyAlignment="0"/>
    <xf numFmtId="0" fontId="24" fillId="4" borderId="0">
      <alignment horizontal="center"/>
    </xf>
    <xf numFmtId="0" fontId="38" fillId="4" borderId="0"/>
    <xf numFmtId="3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38" fontId="40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19" applyNumberFormat="0" applyFont="0" applyFill="0" applyAlignment="0" applyProtection="0"/>
    <xf numFmtId="2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0" borderId="0"/>
    <xf numFmtId="0" fontId="46" fillId="0" borderId="0"/>
    <xf numFmtId="0" fontId="4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40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2" fillId="0" borderId="0"/>
    <xf numFmtId="0" fontId="12" fillId="0" borderId="0">
      <alignment vertical="center"/>
    </xf>
    <xf numFmtId="0" fontId="4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horizontal="left"/>
      <protection locked="0"/>
    </xf>
    <xf numFmtId="0" fontId="15" fillId="0" borderId="7" applyFill="0" applyBorder="0" applyAlignment="0" applyProtection="0"/>
    <xf numFmtId="0" fontId="48" fillId="0" borderId="0"/>
    <xf numFmtId="0" fontId="19" fillId="0" borderId="0"/>
    <xf numFmtId="38" fontId="17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7" fillId="0" borderId="0"/>
    <xf numFmtId="0" fontId="12" fillId="0" borderId="0">
      <alignment vertical="center"/>
    </xf>
    <xf numFmtId="0" fontId="53" fillId="0" borderId="0" applyNumberFormat="0" applyFont="0" applyFill="0" applyBorder="0" applyProtection="0">
      <alignment wrapText="1"/>
    </xf>
    <xf numFmtId="191" fontId="53" fillId="0" borderId="0" applyFont="0" applyFill="0" applyBorder="0" applyProtection="0">
      <alignment wrapText="1"/>
    </xf>
    <xf numFmtId="0" fontId="53" fillId="4" borderId="0" applyNumberFormat="0" applyFont="0" applyBorder="0" applyProtection="0">
      <alignment wrapText="1"/>
    </xf>
    <xf numFmtId="0" fontId="53" fillId="0" borderId="0" applyNumberFormat="0" applyFont="0" applyFill="0" applyBorder="0" applyProtection="0">
      <alignment wrapText="1"/>
    </xf>
    <xf numFmtId="0" fontId="53" fillId="0" borderId="0" applyNumberFormat="0" applyFont="0" applyFill="0" applyBorder="0" applyProtection="0">
      <alignment wrapText="1"/>
    </xf>
    <xf numFmtId="0" fontId="2" fillId="0" borderId="0">
      <alignment vertical="center"/>
    </xf>
  </cellStyleXfs>
  <cellXfs count="200">
    <xf numFmtId="0" fontId="0" fillId="0" borderId="0" xfId="0">
      <alignment vertical="center"/>
    </xf>
    <xf numFmtId="0" fontId="2" fillId="0" borderId="0" xfId="1"/>
    <xf numFmtId="38" fontId="2" fillId="0" borderId="0" xfId="2" applyFont="1"/>
    <xf numFmtId="0" fontId="2" fillId="0" borderId="2" xfId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2" fillId="0" borderId="1" xfId="1" applyBorder="1" applyAlignment="1">
      <alignment horizontal="center"/>
    </xf>
    <xf numFmtId="182" fontId="2" fillId="0" borderId="10" xfId="1" applyNumberFormat="1" applyBorder="1" applyAlignment="1">
      <alignment horizontal="center"/>
    </xf>
    <xf numFmtId="38" fontId="2" fillId="0" borderId="3" xfId="2" applyFont="1" applyBorder="1" applyAlignment="1">
      <alignment horizontal="center"/>
    </xf>
    <xf numFmtId="0" fontId="2" fillId="0" borderId="5" xfId="1" applyFill="1" applyBorder="1"/>
    <xf numFmtId="38" fontId="2" fillId="0" borderId="6" xfId="2" applyFont="1" applyFill="1" applyBorder="1"/>
    <xf numFmtId="38" fontId="2" fillId="0" borderId="0" xfId="2"/>
    <xf numFmtId="38" fontId="2" fillId="0" borderId="3" xfId="2" applyBorder="1" applyAlignment="1">
      <alignment horizontal="center"/>
    </xf>
    <xf numFmtId="38" fontId="0" fillId="0" borderId="0" xfId="2" applyFont="1"/>
    <xf numFmtId="38" fontId="0" fillId="0" borderId="0" xfId="2" applyNumberFormat="1" applyFont="1"/>
    <xf numFmtId="38" fontId="2" fillId="0" borderId="6" xfId="3" applyFont="1" applyFill="1" applyBorder="1" applyAlignment="1">
      <alignment vertical="center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right" vertical="top"/>
    </xf>
    <xf numFmtId="177" fontId="6" fillId="0" borderId="0" xfId="1" applyNumberFormat="1" applyFont="1" applyFill="1" applyBorder="1"/>
    <xf numFmtId="0" fontId="0" fillId="0" borderId="0" xfId="0" applyFill="1" applyBorder="1">
      <alignment vertical="center"/>
    </xf>
    <xf numFmtId="184" fontId="0" fillId="0" borderId="0" xfId="3" applyNumberFormat="1" applyFont="1" applyFill="1" applyBorder="1">
      <alignment vertical="center"/>
    </xf>
    <xf numFmtId="0" fontId="2" fillId="0" borderId="0" xfId="1" applyFill="1"/>
    <xf numFmtId="0" fontId="2" fillId="0" borderId="7" xfId="1" applyBorder="1" applyAlignment="1"/>
    <xf numFmtId="0" fontId="2" fillId="0" borderId="5" xfId="18" applyFill="1" applyBorder="1"/>
    <xf numFmtId="38" fontId="2" fillId="0" borderId="6" xfId="19" applyFont="1" applyFill="1" applyBorder="1"/>
    <xf numFmtId="38" fontId="0" fillId="0" borderId="0" xfId="2" applyFont="1" applyAlignment="1">
      <alignment horizontal="right"/>
    </xf>
    <xf numFmtId="0" fontId="2" fillId="0" borderId="3" xfId="1" applyBorder="1" applyAlignment="1">
      <alignment horizontal="center"/>
    </xf>
    <xf numFmtId="38" fontId="2" fillId="0" borderId="0" xfId="1" applyNumberFormat="1"/>
    <xf numFmtId="0" fontId="2" fillId="0" borderId="0" xfId="1" applyBorder="1" applyAlignment="1">
      <alignment horizontal="centerContinuous" vertical="center"/>
    </xf>
    <xf numFmtId="38" fontId="0" fillId="0" borderId="0" xfId="2" applyFont="1" applyBorder="1"/>
    <xf numFmtId="0" fontId="0" fillId="0" borderId="0" xfId="0" quotePrefix="1" applyFill="1" applyBorder="1">
      <alignment vertical="center"/>
    </xf>
    <xf numFmtId="0" fontId="11" fillId="0" borderId="0" xfId="108">
      <alignment vertical="center"/>
    </xf>
    <xf numFmtId="0" fontId="2" fillId="0" borderId="0" xfId="1" applyFont="1"/>
    <xf numFmtId="0" fontId="8" fillId="0" borderId="0" xfId="1" quotePrefix="1" applyFont="1" applyFill="1" applyBorder="1"/>
    <xf numFmtId="0" fontId="5" fillId="0" borderId="0" xfId="1" applyFont="1" applyFill="1" applyBorder="1"/>
    <xf numFmtId="0" fontId="13" fillId="0" borderId="1" xfId="1" applyFont="1" applyBorder="1" applyAlignment="1">
      <alignment horizontal="center"/>
    </xf>
    <xf numFmtId="38" fontId="0" fillId="0" borderId="6" xfId="19" applyFont="1" applyFill="1" applyBorder="1"/>
    <xf numFmtId="0" fontId="2" fillId="0" borderId="9" xfId="18" applyFill="1" applyBorder="1"/>
    <xf numFmtId="38" fontId="0" fillId="0" borderId="8" xfId="19" applyFont="1" applyFill="1" applyBorder="1"/>
    <xf numFmtId="0" fontId="2" fillId="0" borderId="2" xfId="18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0" xfId="1" applyAlignment="1">
      <alignment horizontal="right"/>
    </xf>
    <xf numFmtId="0" fontId="2" fillId="0" borderId="9" xfId="1" applyFill="1" applyBorder="1"/>
    <xf numFmtId="0" fontId="2" fillId="0" borderId="5" xfId="18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38" fontId="11" fillId="0" borderId="0" xfId="3" applyFont="1" applyFill="1" applyBorder="1">
      <alignment vertical="center"/>
    </xf>
    <xf numFmtId="0" fontId="11" fillId="0" borderId="0" xfId="0" quotePrefix="1" applyFont="1" applyFill="1" applyBorder="1">
      <alignment vertical="center"/>
    </xf>
    <xf numFmtId="40" fontId="11" fillId="0" borderId="0" xfId="3" applyNumberFormat="1" applyFont="1" applyFill="1" applyBorder="1">
      <alignment vertical="center"/>
    </xf>
    <xf numFmtId="10" fontId="11" fillId="0" borderId="0" xfId="4" applyNumberFormat="1" applyFont="1" applyFill="1" applyBorder="1">
      <alignment vertical="center"/>
    </xf>
    <xf numFmtId="184" fontId="11" fillId="0" borderId="0" xfId="3" applyNumberFormat="1" applyFont="1" applyFill="1" applyBorder="1">
      <alignment vertical="center"/>
    </xf>
    <xf numFmtId="10" fontId="11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83" fontId="11" fillId="0" borderId="0" xfId="4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179" fontId="11" fillId="0" borderId="0" xfId="0" applyNumberFormat="1" applyFont="1" applyFill="1" applyBorder="1">
      <alignment vertical="center"/>
    </xf>
    <xf numFmtId="2" fontId="11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 shrinkToFit="1"/>
    </xf>
    <xf numFmtId="176" fontId="11" fillId="0" borderId="0" xfId="0" applyNumberFormat="1" applyFont="1" applyFill="1" applyBorder="1">
      <alignment vertical="center"/>
    </xf>
    <xf numFmtId="178" fontId="11" fillId="0" borderId="0" xfId="0" applyNumberFormat="1" applyFont="1" applyFill="1" applyBorder="1">
      <alignment vertical="center"/>
    </xf>
    <xf numFmtId="177" fontId="11" fillId="0" borderId="0" xfId="0" applyNumberFormat="1" applyFont="1" applyFill="1" applyBorder="1">
      <alignment vertical="center"/>
    </xf>
    <xf numFmtId="0" fontId="54" fillId="0" borderId="0" xfId="0" applyFont="1" applyFill="1" applyBorder="1">
      <alignment vertical="center"/>
    </xf>
    <xf numFmtId="38" fontId="2" fillId="0" borderId="0" xfId="3" applyFont="1" applyFill="1" applyAlignment="1"/>
    <xf numFmtId="0" fontId="2" fillId="0" borderId="0" xfId="1" applyFill="1" applyAlignment="1">
      <alignment horizontal="center"/>
    </xf>
    <xf numFmtId="183" fontId="2" fillId="0" borderId="0" xfId="4" applyNumberFormat="1" applyFont="1" applyFill="1" applyAlignment="1"/>
    <xf numFmtId="183" fontId="0" fillId="0" borderId="0" xfId="5" applyNumberFormat="1" applyFont="1" applyFill="1"/>
    <xf numFmtId="183" fontId="2" fillId="0" borderId="0" xfId="1" applyNumberFormat="1" applyFill="1"/>
    <xf numFmtId="0" fontId="6" fillId="0" borderId="0" xfId="1" applyFont="1" applyFill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8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top"/>
    </xf>
    <xf numFmtId="177" fontId="5" fillId="0" borderId="0" xfId="1" applyNumberFormat="1" applyFont="1" applyFill="1" applyBorder="1"/>
    <xf numFmtId="181" fontId="5" fillId="0" borderId="0" xfId="1" applyNumberFormat="1" applyFont="1" applyFill="1" applyBorder="1"/>
    <xf numFmtId="38" fontId="5" fillId="0" borderId="0" xfId="3" applyFont="1" applyFill="1" applyBorder="1" applyAlignment="1"/>
    <xf numFmtId="0" fontId="6" fillId="0" borderId="0" xfId="1" applyFont="1" applyFill="1" applyBorder="1" applyAlignment="1">
      <alignment wrapText="1"/>
    </xf>
    <xf numFmtId="0" fontId="2" fillId="0" borderId="0" xfId="1" applyFill="1" applyBorder="1"/>
    <xf numFmtId="0" fontId="2" fillId="0" borderId="5" xfId="1" applyBorder="1" applyAlignment="1">
      <alignment horizontal="center"/>
    </xf>
    <xf numFmtId="182" fontId="2" fillId="0" borderId="11" xfId="1" applyNumberFormat="1" applyBorder="1" applyAlignment="1">
      <alignment horizontal="center"/>
    </xf>
    <xf numFmtId="38" fontId="2" fillId="0" borderId="6" xfId="2" applyBorder="1" applyAlignment="1">
      <alignment horizontal="center"/>
    </xf>
    <xf numFmtId="38" fontId="0" fillId="0" borderId="0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" fillId="0" borderId="2" xfId="1" applyFill="1" applyBorder="1"/>
    <xf numFmtId="0" fontId="2" fillId="0" borderId="1" xfId="1" applyFill="1" applyBorder="1"/>
    <xf numFmtId="38" fontId="0" fillId="0" borderId="1" xfId="3" applyFont="1" applyFill="1" applyBorder="1" applyAlignment="1">
      <alignment vertical="center"/>
    </xf>
    <xf numFmtId="38" fontId="2" fillId="0" borderId="3" xfId="3" applyFont="1" applyFill="1" applyBorder="1" applyAlignment="1">
      <alignment vertical="center"/>
    </xf>
    <xf numFmtId="0" fontId="2" fillId="0" borderId="7" xfId="1" applyFill="1" applyBorder="1"/>
    <xf numFmtId="38" fontId="2" fillId="0" borderId="7" xfId="3" applyFont="1" applyFill="1" applyBorder="1" applyAlignment="1">
      <alignment vertical="center"/>
    </xf>
    <xf numFmtId="38" fontId="2" fillId="0" borderId="8" xfId="3" applyFont="1" applyFill="1" applyBorder="1" applyAlignment="1">
      <alignment vertical="center"/>
    </xf>
    <xf numFmtId="38" fontId="2" fillId="0" borderId="8" xfId="2" applyFont="1" applyFill="1" applyBorder="1"/>
    <xf numFmtId="38" fontId="2" fillId="0" borderId="6" xfId="2" applyFont="1" applyBorder="1" applyAlignment="1">
      <alignment horizontal="center"/>
    </xf>
    <xf numFmtId="38" fontId="2" fillId="0" borderId="0" xfId="2" applyFont="1" applyFill="1" applyBorder="1"/>
    <xf numFmtId="38" fontId="0" fillId="0" borderId="0" xfId="2" applyFont="1" applyFill="1" applyBorder="1"/>
    <xf numFmtId="38" fontId="2" fillId="0" borderId="1" xfId="2" applyFont="1" applyFill="1" applyBorder="1"/>
    <xf numFmtId="38" fontId="2" fillId="0" borderId="3" xfId="2" applyFont="1" applyFill="1" applyBorder="1"/>
    <xf numFmtId="38" fontId="0" fillId="0" borderId="7" xfId="2" applyFont="1" applyFill="1" applyBorder="1"/>
    <xf numFmtId="0" fontId="2" fillId="0" borderId="0" xfId="18" applyFill="1" applyBorder="1"/>
    <xf numFmtId="38" fontId="2" fillId="0" borderId="0" xfId="19" applyFont="1" applyFill="1" applyBorder="1"/>
    <xf numFmtId="38" fontId="0" fillId="0" borderId="0" xfId="19" applyFont="1" applyFill="1" applyBorder="1"/>
    <xf numFmtId="0" fontId="2" fillId="0" borderId="2" xfId="18" applyFill="1" applyBorder="1"/>
    <xf numFmtId="0" fontId="2" fillId="0" borderId="1" xfId="18" applyFill="1" applyBorder="1"/>
    <xf numFmtId="38" fontId="2" fillId="0" borderId="1" xfId="19" applyFont="1" applyFill="1" applyBorder="1"/>
    <xf numFmtId="184" fontId="0" fillId="0" borderId="3" xfId="2" applyNumberFormat="1" applyFont="1" applyFill="1" applyBorder="1"/>
    <xf numFmtId="184" fontId="0" fillId="0" borderId="6" xfId="2" applyNumberFormat="1" applyFont="1" applyFill="1" applyBorder="1"/>
    <xf numFmtId="0" fontId="2" fillId="0" borderId="7" xfId="18" applyFill="1" applyBorder="1"/>
    <xf numFmtId="38" fontId="0" fillId="0" borderId="7" xfId="19" applyFont="1" applyFill="1" applyBorder="1"/>
    <xf numFmtId="38" fontId="2" fillId="0" borderId="7" xfId="19" applyFont="1" applyFill="1" applyBorder="1"/>
    <xf numFmtId="184" fontId="0" fillId="0" borderId="8" xfId="2" applyNumberFormat="1" applyFont="1" applyFill="1" applyBorder="1"/>
    <xf numFmtId="0" fontId="50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right" vertical="center"/>
    </xf>
    <xf numFmtId="189" fontId="51" fillId="0" borderId="0" xfId="0" quotePrefix="1" applyNumberFormat="1" applyFont="1" applyFill="1" applyBorder="1">
      <alignment vertical="center"/>
    </xf>
    <xf numFmtId="190" fontId="51" fillId="0" borderId="0" xfId="0" applyNumberFormat="1" applyFont="1" applyFill="1" applyBorder="1">
      <alignment vertical="center"/>
    </xf>
    <xf numFmtId="186" fontId="0" fillId="0" borderId="0" xfId="0" applyNumberFormat="1" applyFill="1" applyBorder="1">
      <alignment vertical="center"/>
    </xf>
    <xf numFmtId="38" fontId="0" fillId="0" borderId="0" xfId="3" applyFont="1" applyFill="1" applyBorder="1">
      <alignment vertical="center"/>
    </xf>
    <xf numFmtId="40" fontId="0" fillId="0" borderId="0" xfId="3" applyNumberFormat="1" applyFont="1" applyFill="1" applyBorder="1">
      <alignment vertical="center"/>
    </xf>
    <xf numFmtId="2" fontId="0" fillId="0" borderId="0" xfId="0" applyNumberFormat="1" applyFill="1" applyBorder="1">
      <alignment vertical="center"/>
    </xf>
    <xf numFmtId="0" fontId="2" fillId="0" borderId="6" xfId="1" applyBorder="1" applyAlignment="1">
      <alignment horizontal="center"/>
    </xf>
    <xf numFmtId="0" fontId="2" fillId="0" borderId="10" xfId="1" applyBorder="1" applyAlignment="1">
      <alignment horizontal="center" shrinkToFit="1"/>
    </xf>
    <xf numFmtId="38" fontId="0" fillId="0" borderId="1" xfId="2" applyFont="1" applyFill="1" applyBorder="1"/>
    <xf numFmtId="0" fontId="2" fillId="0" borderId="5" xfId="1" applyBorder="1" applyAlignment="1">
      <alignment horizontal="center" shrinkToFit="1"/>
    </xf>
    <xf numFmtId="38" fontId="2" fillId="0" borderId="3" xfId="19" applyFont="1" applyFill="1" applyBorder="1"/>
    <xf numFmtId="0" fontId="2" fillId="0" borderId="0" xfId="1" applyBorder="1" applyAlignment="1">
      <alignment horizontal="center" vertical="center" wrapText="1"/>
    </xf>
    <xf numFmtId="38" fontId="0" fillId="0" borderId="6" xfId="2" applyFont="1" applyFill="1" applyBorder="1"/>
    <xf numFmtId="38" fontId="0" fillId="0" borderId="8" xfId="2" applyFont="1" applyFill="1" applyBorder="1"/>
    <xf numFmtId="185" fontId="11" fillId="0" borderId="0" xfId="3" applyNumberFormat="1" applyFont="1" applyFill="1" applyBorder="1">
      <alignment vertical="center"/>
    </xf>
    <xf numFmtId="0" fontId="5" fillId="0" borderId="0" xfId="1" applyFont="1" applyFill="1" applyBorder="1" applyAlignment="1">
      <alignment horizontal="left" vertical="center"/>
    </xf>
    <xf numFmtId="40" fontId="2" fillId="0" borderId="0" xfId="3" applyNumberFormat="1" applyFont="1" applyFill="1" applyAlignment="1"/>
    <xf numFmtId="40" fontId="0" fillId="0" borderId="0" xfId="3" applyNumberFormat="1" applyFont="1" applyFill="1" applyAlignment="1"/>
    <xf numFmtId="182" fontId="2" fillId="0" borderId="10" xfId="18" applyNumberFormat="1" applyBorder="1" applyAlignment="1">
      <alignment horizontal="center" vertical="center"/>
    </xf>
    <xf numFmtId="38" fontId="2" fillId="0" borderId="3" xfId="19" applyFont="1" applyBorder="1" applyAlignment="1">
      <alignment horizontal="center" vertical="center"/>
    </xf>
    <xf numFmtId="182" fontId="2" fillId="0" borderId="11" xfId="18" applyNumberFormat="1" applyBorder="1" applyAlignment="1">
      <alignment horizontal="center" vertical="center"/>
    </xf>
    <xf numFmtId="38" fontId="2" fillId="0" borderId="6" xfId="19" applyFont="1" applyBorder="1" applyAlignment="1">
      <alignment horizontal="center" vertical="center"/>
    </xf>
    <xf numFmtId="0" fontId="13" fillId="0" borderId="2" xfId="18" applyFont="1" applyBorder="1" applyAlignment="1">
      <alignment horizontal="center" vertical="center"/>
    </xf>
    <xf numFmtId="0" fontId="2" fillId="0" borderId="7" xfId="1" applyBorder="1" applyAlignment="1">
      <alignment horizontal="right"/>
    </xf>
    <xf numFmtId="0" fontId="2" fillId="0" borderId="2" xfId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2" fillId="0" borderId="0" xfId="1" applyBorder="1"/>
    <xf numFmtId="0" fontId="2" fillId="0" borderId="0" xfId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13" fillId="0" borderId="0" xfId="1" applyFont="1" applyBorder="1" applyAlignment="1">
      <alignment horizontal="left" vertical="top" wrapText="1"/>
    </xf>
    <xf numFmtId="38" fontId="13" fillId="0" borderId="0" xfId="1" applyNumberFormat="1" applyFont="1" applyBorder="1" applyAlignment="1">
      <alignment horizontal="left" vertical="top" wrapText="1"/>
    </xf>
    <xf numFmtId="0" fontId="2" fillId="0" borderId="0" xfId="1" applyBorder="1" applyAlignment="1">
      <alignment horizontal="left" vertical="center"/>
    </xf>
    <xf numFmtId="0" fontId="2" fillId="0" borderId="0" xfId="1" applyBorder="1" applyAlignment="1">
      <alignment horizontal="left" vertical="center" wrapText="1"/>
    </xf>
    <xf numFmtId="38" fontId="2" fillId="0" borderId="0" xfId="1" applyNumberFormat="1" applyBorder="1"/>
    <xf numFmtId="38" fontId="2" fillId="0" borderId="0" xfId="1" applyNumberFormat="1" applyFill="1"/>
    <xf numFmtId="38" fontId="5" fillId="0" borderId="0" xfId="1" applyNumberFormat="1" applyFont="1" applyFill="1" applyBorder="1"/>
    <xf numFmtId="183" fontId="11" fillId="0" borderId="0" xfId="0" applyNumberFormat="1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176" fontId="11" fillId="0" borderId="0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192" fontId="11" fillId="0" borderId="0" xfId="0" applyNumberFormat="1" applyFont="1" applyFill="1" applyBorder="1">
      <alignment vertical="center"/>
    </xf>
    <xf numFmtId="192" fontId="11" fillId="0" borderId="0" xfId="3" applyNumberFormat="1" applyFont="1" applyFill="1" applyBorder="1">
      <alignment vertical="center"/>
    </xf>
    <xf numFmtId="192" fontId="10" fillId="0" borderId="0" xfId="0" applyNumberFormat="1" applyFont="1" applyFill="1" applyBorder="1">
      <alignment vertical="center"/>
    </xf>
    <xf numFmtId="184" fontId="11" fillId="0" borderId="0" xfId="0" applyNumberFormat="1" applyFont="1" applyFill="1" applyBorder="1">
      <alignment vertical="center"/>
    </xf>
    <xf numFmtId="180" fontId="11" fillId="0" borderId="0" xfId="0" applyNumberFormat="1" applyFont="1" applyFill="1" applyBorder="1">
      <alignment vertical="center"/>
    </xf>
    <xf numFmtId="183" fontId="10" fillId="0" borderId="0" xfId="4" applyNumberFormat="1" applyFon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49" fillId="0" borderId="9" xfId="0" applyFont="1" applyFill="1" applyBorder="1">
      <alignment vertical="center"/>
    </xf>
    <xf numFmtId="0" fontId="49" fillId="0" borderId="7" xfId="0" applyFont="1" applyFill="1" applyBorder="1">
      <alignment vertical="center"/>
    </xf>
    <xf numFmtId="0" fontId="49" fillId="0" borderId="8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1" xfId="0" quotePrefix="1" applyFill="1" applyBorder="1">
      <alignment vertical="center"/>
    </xf>
    <xf numFmtId="189" fontId="51" fillId="0" borderId="3" xfId="0" quotePrefix="1" applyNumberFormat="1" applyFont="1" applyFill="1" applyBorder="1">
      <alignment vertical="center"/>
    </xf>
    <xf numFmtId="0" fontId="0" fillId="0" borderId="5" xfId="0" applyFill="1" applyBorder="1">
      <alignment vertical="center"/>
    </xf>
    <xf numFmtId="186" fontId="0" fillId="0" borderId="6" xfId="0" applyNumberFormat="1" applyFill="1" applyBorder="1">
      <alignment vertical="center"/>
    </xf>
    <xf numFmtId="38" fontId="0" fillId="0" borderId="6" xfId="3" applyFon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7" xfId="0" quotePrefix="1" applyFill="1" applyBorder="1">
      <alignment vertical="center"/>
    </xf>
    <xf numFmtId="38" fontId="0" fillId="0" borderId="8" xfId="3" applyFont="1" applyFill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184" fontId="0" fillId="0" borderId="5" xfId="3" applyNumberFormat="1" applyFont="1" applyFill="1" applyBorder="1">
      <alignment vertical="center"/>
    </xf>
    <xf numFmtId="184" fontId="0" fillId="0" borderId="9" xfId="3" applyNumberFormat="1" applyFont="1" applyFill="1" applyBorder="1">
      <alignment vertical="center"/>
    </xf>
    <xf numFmtId="0" fontId="50" fillId="0" borderId="9" xfId="0" applyFont="1" applyFill="1" applyBorder="1" applyAlignment="1">
      <alignment horizontal="right" vertical="center" wrapText="1"/>
    </xf>
    <xf numFmtId="0" fontId="50" fillId="0" borderId="8" xfId="0" applyFont="1" applyFill="1" applyBorder="1" applyAlignment="1">
      <alignment horizontal="right" vertical="center" wrapText="1"/>
    </xf>
    <xf numFmtId="182" fontId="2" fillId="0" borderId="0" xfId="18" applyNumberFormat="1" applyBorder="1" applyAlignment="1">
      <alignment horizontal="center" vertical="center"/>
    </xf>
    <xf numFmtId="0" fontId="2" fillId="0" borderId="8" xfId="1" applyBorder="1"/>
    <xf numFmtId="38" fontId="2" fillId="0" borderId="6" xfId="3" applyFont="1" applyBorder="1" applyAlignment="1"/>
    <xf numFmtId="38" fontId="2" fillId="0" borderId="8" xfId="3" applyFont="1" applyBorder="1" applyAlignment="1"/>
    <xf numFmtId="184" fontId="0" fillId="0" borderId="5" xfId="2" applyNumberFormat="1" applyFont="1" applyFill="1" applyBorder="1"/>
    <xf numFmtId="184" fontId="0" fillId="0" borderId="9" xfId="2" applyNumberFormat="1" applyFont="1" applyFill="1" applyBorder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193" fontId="11" fillId="0" borderId="0" xfId="0" applyNumberFormat="1" applyFont="1" applyFill="1" applyBorder="1">
      <alignment vertical="center"/>
    </xf>
    <xf numFmtId="176" fontId="11" fillId="0" borderId="0" xfId="3" applyNumberFormat="1" applyFont="1" applyFill="1" applyBorder="1">
      <alignment vertical="center"/>
    </xf>
    <xf numFmtId="2" fontId="2" fillId="0" borderId="0" xfId="1" applyNumberFormat="1" applyBorder="1"/>
    <xf numFmtId="0" fontId="6" fillId="0" borderId="0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159">
    <cellStyle name="bin" xfId="24"/>
    <cellStyle name="blue" xfId="25"/>
    <cellStyle name="Calc Currency (0)" xfId="26"/>
    <cellStyle name="CELL" xfId="27"/>
    <cellStyle name="Col&amp;RowHeadings" xfId="28"/>
    <cellStyle name="ColCodes" xfId="29"/>
    <cellStyle name="ColTitles" xfId="30"/>
    <cellStyle name="column" xfId="31"/>
    <cellStyle name="DataEntryCells" xfId="32"/>
    <cellStyle name="ErrRpt_DataEntryCells" xfId="33"/>
    <cellStyle name="ErrRpt-DataEntryCells" xfId="34"/>
    <cellStyle name="ErrRpt-GreyBackground" xfId="35"/>
    <cellStyle name="formula" xfId="36"/>
    <cellStyle name="gap" xfId="37"/>
    <cellStyle name="GreyBackground" xfId="38"/>
    <cellStyle name="Header1" xfId="39"/>
    <cellStyle name="Header2" xfId="40"/>
    <cellStyle name="ISC" xfId="41"/>
    <cellStyle name="isced" xfId="42"/>
    <cellStyle name="ISCED Titles" xfId="43"/>
    <cellStyle name="isced_finjpn1" xfId="44"/>
    <cellStyle name="level1a" xfId="45"/>
    <cellStyle name="level2" xfId="46"/>
    <cellStyle name="level2a" xfId="47"/>
    <cellStyle name="level3" xfId="48"/>
    <cellStyle name="Normal_#18-Internet" xfId="49"/>
    <cellStyle name="row" xfId="50"/>
    <cellStyle name="RowCodes" xfId="51"/>
    <cellStyle name="Row-Col Headings" xfId="52"/>
    <cellStyle name="RowTitles" xfId="53"/>
    <cellStyle name="RowTitles1-Detail" xfId="54"/>
    <cellStyle name="RowTitles-Col2" xfId="55"/>
    <cellStyle name="RowTitles-Detail" xfId="56"/>
    <cellStyle name="Sbold" xfId="57"/>
    <cellStyle name="Snorm" xfId="58"/>
    <cellStyle name="socxn" xfId="59"/>
    <cellStyle name="temp" xfId="60"/>
    <cellStyle name="title1" xfId="61"/>
    <cellStyle name="XLConnect.Boolean" xfId="153"/>
    <cellStyle name="XLConnect.DateTime" xfId="154"/>
    <cellStyle name="XLConnect.Header" xfId="155"/>
    <cellStyle name="XLConnect.Numeric" xfId="156"/>
    <cellStyle name="XLConnect.String" xfId="157"/>
    <cellStyle name="カンマ" xfId="62"/>
    <cellStyle name="パーセント" xfId="4" builtinId="5"/>
    <cellStyle name="パーセント 2" xfId="5"/>
    <cellStyle name="パーセント 2 2" xfId="6"/>
    <cellStyle name="パーセント 2 2 2" xfId="145"/>
    <cellStyle name="パーセント 3" xfId="7"/>
    <cellStyle name="パーセント 3 2" xfId="146"/>
    <cellStyle name="パーセント 4" xfId="143"/>
    <cellStyle name="円" xfId="63"/>
    <cellStyle name="桁区切り" xfId="3" builtinId="6"/>
    <cellStyle name="桁区切り 10" xfId="64"/>
    <cellStyle name="桁区切り 11" xfId="65"/>
    <cellStyle name="桁区切り 12" xfId="66"/>
    <cellStyle name="桁区切り 13" xfId="67"/>
    <cellStyle name="桁区切り 14" xfId="68"/>
    <cellStyle name="桁区切り 15" xfId="69"/>
    <cellStyle name="桁区切り 16" xfId="70"/>
    <cellStyle name="桁区切り 17" xfId="71"/>
    <cellStyle name="桁区切り 18" xfId="72"/>
    <cellStyle name="桁区切り 19" xfId="73"/>
    <cellStyle name="桁区切り 2" xfId="2"/>
    <cellStyle name="桁区切り 2 2" xfId="8"/>
    <cellStyle name="桁区切り 2 2 2" xfId="74"/>
    <cellStyle name="桁区切り 2 2 2 2" xfId="19"/>
    <cellStyle name="桁区切り 2 2 3" xfId="147"/>
    <cellStyle name="桁区切り 2 3" xfId="75"/>
    <cellStyle name="桁区切り 2 4" xfId="76"/>
    <cellStyle name="桁区切り 2 4 2" xfId="77"/>
    <cellStyle name="桁区切り 2 5" xfId="78"/>
    <cellStyle name="桁区切り 2 6" xfId="79"/>
    <cellStyle name="桁区切り 20" xfId="80"/>
    <cellStyle name="桁区切り 21" xfId="81"/>
    <cellStyle name="桁区切り 22" xfId="82"/>
    <cellStyle name="桁区切り 23" xfId="83"/>
    <cellStyle name="桁区切り 24" xfId="84"/>
    <cellStyle name="桁区切り 25" xfId="20"/>
    <cellStyle name="桁区切り 26" xfId="142"/>
    <cellStyle name="桁区切り 3" xfId="9"/>
    <cellStyle name="桁区切り 3 2" xfId="85"/>
    <cellStyle name="桁区切り 3 2 2" xfId="86"/>
    <cellStyle name="桁区切り 3 3" xfId="87"/>
    <cellStyle name="桁区切り 3 4" xfId="88"/>
    <cellStyle name="桁区切り 3 5" xfId="89"/>
    <cellStyle name="桁区切り 4" xfId="10"/>
    <cellStyle name="桁区切り 4 2" xfId="11"/>
    <cellStyle name="桁区切り 5" xfId="12"/>
    <cellStyle name="桁区切り 5 2" xfId="90"/>
    <cellStyle name="桁区切り 5 3" xfId="91"/>
    <cellStyle name="桁区切り 5 4" xfId="92"/>
    <cellStyle name="桁区切り 5 5" xfId="93"/>
    <cellStyle name="桁区切り 5 6" xfId="148"/>
    <cellStyle name="桁区切り 6" xfId="94"/>
    <cellStyle name="桁区切り 7" xfId="95"/>
    <cellStyle name="桁区切り 7 2" xfId="96"/>
    <cellStyle name="桁区切り 8" xfId="97"/>
    <cellStyle name="桁区切り 9" xfId="98"/>
    <cellStyle name="桁区切り 9 2" xfId="99"/>
    <cellStyle name="桁区切り 9 3" xfId="100"/>
    <cellStyle name="見出し１" xfId="101"/>
    <cellStyle name="見出し２" xfId="102"/>
    <cellStyle name="合計" xfId="103"/>
    <cellStyle name="小数" xfId="104"/>
    <cellStyle name="日付" xfId="105"/>
    <cellStyle name="年月" xfId="106"/>
    <cellStyle name="標準" xfId="0" builtinId="0"/>
    <cellStyle name="標準 10" xfId="107"/>
    <cellStyle name="標準 10 2" xfId="108"/>
    <cellStyle name="標準 11" xfId="109"/>
    <cellStyle name="標準 12" xfId="110"/>
    <cellStyle name="標準 13" xfId="111"/>
    <cellStyle name="標準 14" xfId="112"/>
    <cellStyle name="標準 15" xfId="113"/>
    <cellStyle name="標準 16" xfId="114"/>
    <cellStyle name="標準 17" xfId="115"/>
    <cellStyle name="標準 18" xfId="116"/>
    <cellStyle name="標準 19" xfId="117"/>
    <cellStyle name="標準 2" xfId="1"/>
    <cellStyle name="標準 2 2" xfId="13"/>
    <cellStyle name="標準 2 2 2" xfId="18"/>
    <cellStyle name="標準 2 2 2 2" xfId="22"/>
    <cellStyle name="標準 2 2 3" xfId="23"/>
    <cellStyle name="標準 2 2 4" xfId="149"/>
    <cellStyle name="標準 2 3" xfId="118"/>
    <cellStyle name="標準 2 4" xfId="119"/>
    <cellStyle name="標準 2_070727旧３階部分の給付（名目）" xfId="120"/>
    <cellStyle name="標準 20" xfId="121"/>
    <cellStyle name="標準 21" xfId="122"/>
    <cellStyle name="標準 22" xfId="123"/>
    <cellStyle name="標準 23" xfId="124"/>
    <cellStyle name="標準 24" xfId="125"/>
    <cellStyle name="標準 25" xfId="126"/>
    <cellStyle name="標準 26" xfId="127"/>
    <cellStyle name="標準 27" xfId="144"/>
    <cellStyle name="標準 28" xfId="158"/>
    <cellStyle name="標準 3" xfId="14"/>
    <cellStyle name="標準 3 2" xfId="128"/>
    <cellStyle name="標準 3 3" xfId="129"/>
    <cellStyle name="標準 3 4" xfId="130"/>
    <cellStyle name="標準 3 5" xfId="131"/>
    <cellStyle name="標準 3 6" xfId="21"/>
    <cellStyle name="標準 3 7" xfId="150"/>
    <cellStyle name="標準 4" xfId="15"/>
    <cellStyle name="標準 4 2" xfId="132"/>
    <cellStyle name="標準 4 2 2" xfId="133"/>
    <cellStyle name="標準 5" xfId="16"/>
    <cellStyle name="標準 5 2" xfId="134"/>
    <cellStyle name="標準 5 3" xfId="151"/>
    <cellStyle name="標準 6" xfId="17"/>
    <cellStyle name="標準 6 2" xfId="152"/>
    <cellStyle name="標準 7" xfId="135"/>
    <cellStyle name="標準 8" xfId="136"/>
    <cellStyle name="標準 9" xfId="137"/>
    <cellStyle name="表題" xfId="138"/>
    <cellStyle name="表頭" xfId="139"/>
    <cellStyle name="磨葬e義" xfId="140"/>
    <cellStyle name="未定義" xfId="1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/>
  </sheetViews>
  <sheetFormatPr defaultRowHeight="13.5"/>
  <cols>
    <col min="1" max="3" width="9" style="1"/>
    <col min="4" max="4" width="10.5" style="1" customWidth="1"/>
    <col min="5" max="10" width="9" style="1"/>
    <col min="11" max="11" width="9" style="1" customWidth="1"/>
    <col min="12" max="13" width="9" style="1"/>
    <col min="14" max="14" width="9.5" style="1" bestFit="1" customWidth="1"/>
    <col min="15" max="16384" width="9" style="1"/>
  </cols>
  <sheetData>
    <row r="1" spans="1:17">
      <c r="A1" s="1" t="s">
        <v>144</v>
      </c>
    </row>
    <row r="2" spans="1:17">
      <c r="E2" s="25"/>
      <c r="F2" s="139"/>
    </row>
    <row r="3" spans="1:17">
      <c r="A3" s="42" t="s">
        <v>55</v>
      </c>
      <c r="B3" s="42" t="s">
        <v>109</v>
      </c>
      <c r="C3" s="42" t="s">
        <v>56</v>
      </c>
      <c r="D3" s="138" t="s">
        <v>110</v>
      </c>
      <c r="E3" s="134" t="s">
        <v>13</v>
      </c>
      <c r="F3" s="135" t="s">
        <v>58</v>
      </c>
      <c r="G3" s="43" t="s">
        <v>111</v>
      </c>
      <c r="H3" s="24"/>
      <c r="I3" s="24"/>
      <c r="J3" s="24"/>
      <c r="K3" s="24"/>
      <c r="L3" s="24"/>
      <c r="M3" s="24"/>
      <c r="N3" s="24"/>
      <c r="O3" s="24"/>
    </row>
    <row r="4" spans="1:17">
      <c r="A4" s="46"/>
      <c r="B4" s="46"/>
      <c r="C4" s="46" t="s">
        <v>59</v>
      </c>
      <c r="D4" s="46"/>
      <c r="E4" s="136"/>
      <c r="F4" s="137"/>
      <c r="G4" s="47"/>
      <c r="H4" s="24"/>
      <c r="I4" s="24"/>
      <c r="J4" s="24"/>
      <c r="K4" s="24"/>
      <c r="L4" s="24"/>
      <c r="M4" s="24"/>
      <c r="N4" s="24"/>
      <c r="O4" s="24"/>
    </row>
    <row r="5" spans="1:17">
      <c r="A5" s="104">
        <v>30</v>
      </c>
      <c r="B5" s="105">
        <v>2018</v>
      </c>
      <c r="C5" s="106">
        <f>【国民年金】!C5+【厚生年金】!C5+【三共済旧３公社等】!C5+【年金生活者支援給付金】!C6+【恩給】!C5+'【その他（恩給を除く）】'!C5</f>
        <v>567230.09778830211</v>
      </c>
      <c r="D5" s="106">
        <f>【国民年金】!D5+【厚生年金】!D5+【三共済旧３公社等】!D5+【恩給】!D5+'【その他（恩給を除く）】'!D5</f>
        <v>394880.89308563236</v>
      </c>
      <c r="E5" s="106">
        <f>【国民年金】!E5+【厚生年金】!E5+【三共済旧３公社等】!H5+【年金生活者支援給付金】!C6+【恩給】!E5+'【その他（恩給を除く）】'!E5</f>
        <v>124170.83822221054</v>
      </c>
      <c r="F5" s="106">
        <f>【厚生年金】!F5+【三共済旧３公社等】!I5+'【その他（恩給を除く）】'!F5</f>
        <v>7382.3226075178936</v>
      </c>
      <c r="G5" s="107">
        <v>564.29999999999995</v>
      </c>
      <c r="H5" s="66"/>
      <c r="I5" s="66"/>
      <c r="J5" s="66"/>
      <c r="K5" s="66"/>
      <c r="L5" s="150"/>
      <c r="M5" s="150"/>
      <c r="N5" s="150"/>
      <c r="O5" s="150"/>
      <c r="P5" s="150"/>
      <c r="Q5" s="150"/>
    </row>
    <row r="6" spans="1:17">
      <c r="A6" s="26">
        <v>31</v>
      </c>
      <c r="B6" s="101">
        <v>2019</v>
      </c>
      <c r="C6" s="102">
        <f>【国民年金】!C6+【厚生年金】!C6+【三共済旧３公社等】!C6+【年金生活者支援給付金】!C7+【恩給】!C6+'【その他（恩給を除く）】'!C6</f>
        <v>570573.06525489164</v>
      </c>
      <c r="D6" s="102">
        <f>【国民年金】!D6+【厚生年金】!D6+【三共済旧３公社等】!D6+【恩給】!D6+'【その他（恩給を除く）】'!D6</f>
        <v>403057.19848757051</v>
      </c>
      <c r="E6" s="102">
        <f>【国民年金】!E6+【厚生年金】!E6+【三共済旧３公社等】!H6+【年金生活者支援給付金】!C7+【恩給】!E6+'【その他（恩給を除く）】'!E6</f>
        <v>126803.40895597017</v>
      </c>
      <c r="F6" s="102">
        <f>【厚生年金】!F6+【三共済旧３公社等】!I6+'【その他（恩給を除く）】'!F6</f>
        <v>7439.8935328762864</v>
      </c>
      <c r="G6" s="108">
        <v>580.20000000000005</v>
      </c>
      <c r="H6" s="66"/>
      <c r="I6" s="66"/>
      <c r="J6" s="66"/>
      <c r="K6" s="66"/>
      <c r="L6" s="150"/>
      <c r="M6" s="150"/>
      <c r="N6" s="150"/>
      <c r="O6" s="150"/>
      <c r="P6" s="150"/>
      <c r="Q6" s="150"/>
    </row>
    <row r="7" spans="1:17">
      <c r="A7" s="26">
        <v>32</v>
      </c>
      <c r="B7" s="101">
        <v>2020</v>
      </c>
      <c r="C7" s="102">
        <f>【国民年金】!C7+【厚生年金】!C7+【三共済旧３公社等】!C7+【年金生活者支援給付金】!C8+【恩給】!C7+'【その他（恩給を除く）】'!C7</f>
        <v>583167.09785870241</v>
      </c>
      <c r="D7" s="102">
        <f>【国民年金】!D7+【厚生年金】!D7+【三共済旧３公社等】!D7+【恩給】!D7+'【その他（恩給を除く）】'!D7</f>
        <v>414701.73672661977</v>
      </c>
      <c r="E7" s="102">
        <f>【国民年金】!E7+【厚生年金】!E7+【三共済旧３公社等】!H7+【年金生活者支援給付金】!C8+【恩給】!E7+'【その他（恩給を除く）】'!E7</f>
        <v>132861.66749167073</v>
      </c>
      <c r="F7" s="102">
        <f>【厚生年金】!F7+【三共済旧３公社等】!I7+'【その他（恩給を除く）】'!F7</f>
        <v>7577.7365964551327</v>
      </c>
      <c r="G7" s="108">
        <v>598.4</v>
      </c>
      <c r="H7" s="66"/>
      <c r="I7" s="66"/>
      <c r="J7" s="66"/>
      <c r="K7" s="66"/>
      <c r="L7" s="150"/>
      <c r="M7" s="150"/>
      <c r="N7" s="150"/>
      <c r="O7" s="150"/>
      <c r="P7" s="150"/>
      <c r="Q7" s="150"/>
    </row>
    <row r="8" spans="1:17">
      <c r="A8" s="26">
        <v>33</v>
      </c>
      <c r="B8" s="101">
        <v>2021</v>
      </c>
      <c r="C8" s="103">
        <f>【国民年金】!C8+【厚生年金】!C8+【三共済旧３公社等】!C8+【年金生活者支援給付金】!C9+【恩給】!C8+'【その他（恩給を除く）】'!C8</f>
        <v>597162.74645149917</v>
      </c>
      <c r="D8" s="103">
        <f>【国民年金】!D8+【厚生年金】!D8+【三共済旧３公社等】!D8+【恩給】!D8+'【その他（恩給を除く）】'!D8</f>
        <v>427370.48915543483</v>
      </c>
      <c r="E8" s="103">
        <f>【国民年金】!E8+【厚生年金】!E8+【三共済旧３公社等】!H8+【年金生活者支援給付金】!C9+【恩給】!E8+'【その他（恩給を除く）】'!E8</f>
        <v>135457.39531406225</v>
      </c>
      <c r="F8" s="102">
        <f>【厚生年金】!F8+【三共済旧３公社等】!I8+'【その他（恩給を除く）】'!F8</f>
        <v>7732.85301656907</v>
      </c>
      <c r="G8" s="108">
        <v>617.4</v>
      </c>
      <c r="H8" s="66"/>
      <c r="I8" s="66"/>
      <c r="J8" s="66"/>
      <c r="K8" s="66"/>
      <c r="L8" s="150"/>
      <c r="M8" s="150"/>
      <c r="N8" s="150"/>
      <c r="O8" s="150"/>
      <c r="P8" s="150"/>
      <c r="Q8" s="150"/>
    </row>
    <row r="9" spans="1:17">
      <c r="A9" s="26">
        <v>34</v>
      </c>
      <c r="B9" s="101">
        <v>2022</v>
      </c>
      <c r="C9" s="103">
        <f>【国民年金】!C9+【厚生年金】!C9+【三共済旧３公社等】!C9+【年金生活者支援給付金】!C10+【恩給】!C9+'【その他（恩給を除く）】'!C9</f>
        <v>608194.69947268779</v>
      </c>
      <c r="D9" s="103">
        <f>【国民年金】!D9+【厚生年金】!D9+【三共済旧３公社等】!D9+【恩給】!D9+'【その他（恩給を除く）】'!D9</f>
        <v>441278.39112140151</v>
      </c>
      <c r="E9" s="103">
        <f>【国民年金】!E9+【厚生年金】!E9+【三共済旧３公社等】!H9+【年金生活者支援給付金】!C10+【恩給】!E9+'【その他（恩給を除く）】'!E9</f>
        <v>137730.64986076375</v>
      </c>
      <c r="F9" s="102">
        <f>【厚生年金】!F9+【三共済旧３公社等】!I9+'【その他（恩給を除く）】'!F9</f>
        <v>7876.7255492214272</v>
      </c>
      <c r="G9" s="108">
        <v>638.6</v>
      </c>
      <c r="H9" s="66"/>
      <c r="I9" s="66"/>
      <c r="J9" s="66"/>
      <c r="K9" s="66"/>
      <c r="L9" s="150"/>
      <c r="M9" s="150"/>
      <c r="N9" s="150"/>
      <c r="O9" s="150"/>
      <c r="P9" s="150"/>
      <c r="Q9" s="150"/>
    </row>
    <row r="10" spans="1:17">
      <c r="A10" s="26">
        <v>35</v>
      </c>
      <c r="B10" s="101">
        <v>2023</v>
      </c>
      <c r="C10" s="103">
        <f>【国民年金】!C10+【厚生年金】!C10+【三共済旧３公社等】!C10+【年金生活者支援給付金】!C11+【恩給】!C10+'【その他（恩給を除く）】'!C10</f>
        <v>617945.65164136863</v>
      </c>
      <c r="D10" s="103">
        <f>【国民年金】!D10+【厚生年金】!D10+【三共済旧３公社等】!D10+【恩給】!D10+'【その他（恩給を除く）】'!D10</f>
        <v>455999.19624685741</v>
      </c>
      <c r="E10" s="103">
        <f>【国民年金】!E10+【厚生年金】!E10+【三共済旧３公社等】!H10+【年金生活者支援給付金】!C11+【恩給】!E10+'【その他（恩給を除く）】'!E10</f>
        <v>139950.44600143904</v>
      </c>
      <c r="F10" s="102">
        <f>【厚生年金】!F10+【三共済旧３公社等】!I10+'【その他（恩給を除く）】'!F10</f>
        <v>8022.1061091879419</v>
      </c>
      <c r="G10" s="108">
        <v>660.4</v>
      </c>
      <c r="H10" s="66"/>
      <c r="I10" s="66"/>
      <c r="J10" s="66"/>
      <c r="K10" s="66"/>
      <c r="L10" s="150"/>
      <c r="M10" s="150"/>
      <c r="N10" s="150"/>
      <c r="O10" s="150"/>
      <c r="P10" s="150"/>
      <c r="Q10" s="150"/>
    </row>
    <row r="11" spans="1:17">
      <c r="A11" s="26">
        <v>36</v>
      </c>
      <c r="B11" s="101">
        <v>2024</v>
      </c>
      <c r="C11" s="103">
        <f>【国民年金】!C11+【厚生年金】!C11+【三共済旧３公社等】!C11+【年金生活者支援給付金】!C12+【恩給】!C11+'【その他（恩給を除く）】'!C11</f>
        <v>631087.47971068707</v>
      </c>
      <c r="D11" s="103">
        <f>【国民年金】!D11+【厚生年金】!D11+【三共済旧３公社等】!D11+【恩給】!D11+'【その他（恩給を除く）】'!D11</f>
        <v>469213.40217809338</v>
      </c>
      <c r="E11" s="103">
        <f>【国民年金】!E11+【厚生年金】!E11+【三共済旧３公社等】!H11+【年金生活者支援給付金】!C12+【恩給】!E11+'【その他（恩給を除く）】'!E11</f>
        <v>142337.92249201669</v>
      </c>
      <c r="F11" s="102">
        <f>【厚生年金】!F11+【三共済旧３公社等】!I11+'【その他（恩給を除く）】'!F11</f>
        <v>8181.0534285161721</v>
      </c>
      <c r="G11" s="108">
        <v>683.4</v>
      </c>
      <c r="H11" s="66"/>
      <c r="I11" s="66"/>
      <c r="J11" s="66"/>
      <c r="K11" s="66"/>
      <c r="L11" s="150"/>
      <c r="M11" s="150"/>
      <c r="N11" s="150"/>
      <c r="O11" s="150"/>
      <c r="P11" s="150"/>
      <c r="Q11" s="150"/>
    </row>
    <row r="12" spans="1:17">
      <c r="A12" s="26">
        <v>37</v>
      </c>
      <c r="B12" s="101">
        <v>2025</v>
      </c>
      <c r="C12" s="103">
        <f>【国民年金】!C12+【厚生年金】!C12+【三共済旧３公社等】!C12+【年金生活者支援給付金】!C13+【恩給】!C12+'【その他（恩給を除く）】'!C12</f>
        <v>642240.77739764028</v>
      </c>
      <c r="D12" s="103">
        <f>【国民年金】!D12+【厚生年金】!D12+【三共済旧３公社等】!D12+【恩給】!D12+'【その他（恩給を除く）】'!D12</f>
        <v>483192.86389418441</v>
      </c>
      <c r="E12" s="103">
        <f>【国民年金】!E12+【厚生年金】!E12+【三共済旧３公社等】!H12+【年金生活者支援給付金】!C13+【恩給】!E12+'【その他（恩給を除く）】'!E12</f>
        <v>144888.33362698468</v>
      </c>
      <c r="F12" s="102">
        <f>【厚生年金】!F12+【三共済旧３公社等】!I12+'【その他（恩給を除く）】'!F12</f>
        <v>8354.9074841594356</v>
      </c>
      <c r="G12" s="108">
        <v>707.3</v>
      </c>
      <c r="H12" s="66"/>
      <c r="I12" s="66"/>
      <c r="J12" s="66"/>
      <c r="K12" s="66"/>
      <c r="L12" s="150"/>
      <c r="M12" s="150"/>
      <c r="N12" s="150"/>
      <c r="O12" s="150"/>
      <c r="P12" s="150"/>
      <c r="Q12" s="150"/>
    </row>
    <row r="13" spans="1:17">
      <c r="A13" s="26">
        <v>38</v>
      </c>
      <c r="B13" s="101">
        <v>2026</v>
      </c>
      <c r="C13" s="103">
        <f>【国民年金】!C13+【厚生年金】!C13+【三共済旧３公社等】!C13+【年金生活者支援給付金】!C14+【恩給】!C13+'【その他（恩給を除く）】'!C13</f>
        <v>652325.6514731783</v>
      </c>
      <c r="D13" s="103">
        <f>【国民年金】!D13+【厚生年金】!D13+【三共済旧３公社等】!D13+【恩給】!D13+'【その他（恩給を除く）】'!D13</f>
        <v>499322.99578691396</v>
      </c>
      <c r="E13" s="103">
        <f>【国民年金】!E13+【厚生年金】!E13+【三共済旧３公社等】!H13+【年金生活者支援給付金】!C14+【恩給】!E13+'【その他（恩給を除く）】'!E13</f>
        <v>147318.04314721064</v>
      </c>
      <c r="F13" s="102">
        <f>【厚生年金】!F13+【三共済旧３公社等】!I13+'【その他（恩給を除く）】'!F13</f>
        <v>8524.5998392745587</v>
      </c>
      <c r="G13" s="108">
        <v>732.2</v>
      </c>
      <c r="H13" s="66"/>
      <c r="I13" s="66"/>
      <c r="J13" s="66"/>
      <c r="K13" s="66"/>
      <c r="L13" s="150"/>
      <c r="M13" s="150"/>
      <c r="N13" s="150"/>
      <c r="O13" s="150"/>
      <c r="P13" s="150"/>
      <c r="Q13" s="150"/>
    </row>
    <row r="14" spans="1:17">
      <c r="A14" s="26">
        <v>39</v>
      </c>
      <c r="B14" s="101">
        <v>2027</v>
      </c>
      <c r="C14" s="103">
        <f>【国民年金】!C14+【厚生年金】!C14+【三共済旧３公社等】!C14+【年金生活者支援給付金】!C15+【恩給】!C14+'【その他（恩給を除く）】'!C14</f>
        <v>666053.80193716998</v>
      </c>
      <c r="D14" s="103">
        <f>【国民年金】!D14+【厚生年金】!D14+【三共済旧３公社等】!D14+【恩給】!D14+'【その他（恩給を除く）】'!D14</f>
        <v>515848.8391255344</v>
      </c>
      <c r="E14" s="103">
        <f>【国民年金】!E14+【厚生年金】!E14+【三共済旧３公社等】!H14+【年金生活者支援給付金】!C15+【恩給】!E14+'【その他（恩給を除く）】'!E14</f>
        <v>149810.40902191924</v>
      </c>
      <c r="F14" s="102">
        <f>【厚生年金】!F14+【三共済旧３公社等】!I14+'【その他（恩給を除く）】'!F14</f>
        <v>8692.4504419285004</v>
      </c>
      <c r="G14" s="108">
        <v>757.9</v>
      </c>
      <c r="H14" s="66"/>
      <c r="I14" s="66"/>
      <c r="J14" s="66"/>
      <c r="K14" s="66"/>
      <c r="L14" s="150"/>
      <c r="M14" s="150"/>
      <c r="N14" s="150"/>
      <c r="O14" s="150"/>
      <c r="P14" s="150"/>
      <c r="Q14" s="150"/>
    </row>
    <row r="15" spans="1:17">
      <c r="A15" s="26">
        <v>40</v>
      </c>
      <c r="B15" s="101">
        <v>2028</v>
      </c>
      <c r="C15" s="103">
        <f>【国民年金】!C15+【厚生年金】!C15+【三共済旧３公社等】!C15+【年金生活者支援給付金】!C16+【恩給】!C15+'【その他（恩給を除く）】'!C15</f>
        <v>679563.80875616998</v>
      </c>
      <c r="D15" s="103">
        <f>【国民年金】!D15+【厚生年金】!D15+【三共済旧３公社等】!D15+【恩給】!D15+'【その他（恩給を除く）】'!D15</f>
        <v>529362.02436729684</v>
      </c>
      <c r="E15" s="103">
        <f>【国民年金】!E15+【厚生年金】!E15+【三共済旧３公社等】!H15+【年金生活者支援給付金】!C16+【恩給】!E15+'【その他（恩給を除く）】'!E15</f>
        <v>152447.08801647319</v>
      </c>
      <c r="F15" s="102">
        <f>【厚生年金】!F15+【三共済旧３公社等】!I15+'【その他（恩給を除く）】'!F15</f>
        <v>8875.056884661115</v>
      </c>
      <c r="G15" s="108">
        <v>770.02639999999997</v>
      </c>
      <c r="H15" s="66"/>
      <c r="I15" s="66"/>
      <c r="J15" s="66"/>
      <c r="K15" s="66"/>
      <c r="L15" s="150"/>
      <c r="M15" s="150"/>
      <c r="N15" s="150"/>
      <c r="O15" s="150"/>
      <c r="P15" s="150"/>
      <c r="Q15" s="150"/>
    </row>
    <row r="16" spans="1:17">
      <c r="A16" s="26">
        <v>41</v>
      </c>
      <c r="B16" s="101">
        <v>2029</v>
      </c>
      <c r="C16" s="103">
        <f>【国民年金】!C16+【厚生年金】!C16+【三共済旧３公社等】!C16+【年金生活者支援給付金】!C17+【恩給】!C16+'【その他（恩給を除く）】'!C16</f>
        <v>690502.23003927723</v>
      </c>
      <c r="D16" s="103">
        <f>【国民年金】!D16+【厚生年金】!D16+【三共済旧３公社等】!D16+【恩給】!D16+'【その他（恩給を除く）】'!D16</f>
        <v>540677.31184003584</v>
      </c>
      <c r="E16" s="103">
        <f>【国民年金】!E16+【厚生年金】!E16+【三共済旧３公社等】!H16+【年金生活者支援給付金】!C17+【恩給】!E16+'【その他（恩給を除く）】'!E16</f>
        <v>154135.98256736452</v>
      </c>
      <c r="F16" s="102">
        <f>【厚生年金】!F16+【三共済旧３公社等】!I16+'【その他（恩給を除く）】'!F16</f>
        <v>9016.6433106359455</v>
      </c>
      <c r="G16" s="108">
        <v>782.34682239999995</v>
      </c>
      <c r="H16" s="66"/>
      <c r="I16" s="66"/>
      <c r="J16" s="66"/>
      <c r="K16" s="66"/>
      <c r="L16" s="150"/>
      <c r="M16" s="150"/>
      <c r="N16" s="150"/>
      <c r="O16" s="150"/>
      <c r="P16" s="150"/>
      <c r="Q16" s="150"/>
    </row>
    <row r="17" spans="1:17">
      <c r="A17" s="26">
        <v>42</v>
      </c>
      <c r="B17" s="101">
        <v>2030</v>
      </c>
      <c r="C17" s="103">
        <f>【国民年金】!C17+【厚生年金】!C17+【三共済旧３公社等】!C17+【年金生活者支援給付金】!C18+【恩給】!C17+'【その他（恩給を除く）】'!C17</f>
        <v>700874.18414922873</v>
      </c>
      <c r="D17" s="103">
        <f>【国民年金】!D17+【厚生年金】!D17+【三共済旧３公社等】!D17+【恩給】!D17+'【その他（恩給を除く）】'!D17</f>
        <v>551426.93094722857</v>
      </c>
      <c r="E17" s="103">
        <f>【国民年金】!E17+【厚生年金】!E17+【三共済旧３公社等】!H17+【年金生活者支援給付金】!C18+【恩給】!E17+'【その他（恩給を除く）】'!E17</f>
        <v>155984.8710841311</v>
      </c>
      <c r="F17" s="102">
        <f>【厚生年金】!F17+【三共済旧３公社等】!I17+'【その他（恩給を除く）】'!F17</f>
        <v>9172.9190609043962</v>
      </c>
      <c r="G17" s="108">
        <v>794.86437155839997</v>
      </c>
      <c r="H17" s="66"/>
      <c r="I17" s="66"/>
      <c r="J17" s="66"/>
      <c r="K17" s="66"/>
      <c r="L17" s="150"/>
      <c r="M17" s="150"/>
      <c r="N17" s="150"/>
      <c r="O17" s="150"/>
      <c r="P17" s="150"/>
      <c r="Q17" s="150"/>
    </row>
    <row r="18" spans="1:17">
      <c r="A18" s="26">
        <v>43</v>
      </c>
      <c r="B18" s="101">
        <v>2031</v>
      </c>
      <c r="C18" s="103">
        <f>【国民年金】!C18+【厚生年金】!C18+【三共済旧３公社等】!C18+【年金生活者支援給付金】!C19+【恩給】!C18+'【その他（恩給を除く）】'!C18</f>
        <v>709273.07113684434</v>
      </c>
      <c r="D18" s="103">
        <f>【国民年金】!D18+【厚生年金】!D18+【三共済旧３公社等】!D18+【恩給】!D18+'【その他（恩給を除く）】'!D18</f>
        <v>560483.94961340586</v>
      </c>
      <c r="E18" s="103">
        <f>【国民年金】!E18+【厚生年金】!E18+【三共済旧３公社等】!H18+【年金生活者支援給付金】!C19+【恩給】!E18+'【その他（恩給を除く）】'!E18</f>
        <v>157437.26914464324</v>
      </c>
      <c r="F18" s="102">
        <f>【厚生年金】!F18+【三共済旧３公社等】!I18+'【その他（恩給を除く）】'!F18</f>
        <v>9325.6916312620924</v>
      </c>
      <c r="G18" s="108">
        <v>807.58220150333443</v>
      </c>
      <c r="H18" s="66"/>
      <c r="I18" s="66"/>
      <c r="J18" s="66"/>
      <c r="K18" s="66"/>
      <c r="L18" s="150"/>
      <c r="M18" s="150"/>
      <c r="N18" s="150"/>
      <c r="O18" s="150"/>
      <c r="P18" s="150"/>
      <c r="Q18" s="150"/>
    </row>
    <row r="19" spans="1:17">
      <c r="A19" s="26">
        <v>44</v>
      </c>
      <c r="B19" s="101">
        <v>2032</v>
      </c>
      <c r="C19" s="103">
        <f>【国民年金】!C19+【厚生年金】!C19+【三共済旧３公社等】!C19+【年金生活者支援給付金】!C20+【恩給】!C19+'【その他（恩給を除く）】'!C19</f>
        <v>719387.9083035012</v>
      </c>
      <c r="D19" s="103">
        <f>【国民年金】!D19+【厚生年金】!D19+【三共済旧３公社等】!D19+【恩給】!D19+'【その他（恩給を除く）】'!D19</f>
        <v>568482.34640487388</v>
      </c>
      <c r="E19" s="103">
        <f>【国民年金】!E19+【厚生年金】!E19+【三共済旧３公社等】!H19+【年金生活者支援給付金】!C20+【恩給】!E19+'【その他（恩給を除く）】'!E19</f>
        <v>158913.43520119425</v>
      </c>
      <c r="F19" s="102">
        <f>【厚生年金】!F19+【三共済旧３公社等】!I19+'【その他（恩給を除く）】'!F19</f>
        <v>9492.7712109750209</v>
      </c>
      <c r="G19" s="108">
        <v>820.50351672738782</v>
      </c>
      <c r="H19" s="66"/>
      <c r="I19" s="66"/>
      <c r="J19" s="66"/>
      <c r="K19" s="66"/>
      <c r="L19" s="150"/>
      <c r="M19" s="150"/>
      <c r="N19" s="150"/>
      <c r="O19" s="150"/>
      <c r="P19" s="150"/>
      <c r="Q19" s="150"/>
    </row>
    <row r="20" spans="1:17">
      <c r="A20" s="26">
        <v>45</v>
      </c>
      <c r="B20" s="101">
        <v>2033</v>
      </c>
      <c r="C20" s="103">
        <f>【国民年金】!C20+【厚生年金】!C20+【三共済旧３公社等】!C20+【年金生活者支援給付金】!C21+【恩給】!C20+'【その他（恩給を除く）】'!C20</f>
        <v>732949.14475409954</v>
      </c>
      <c r="D20" s="103">
        <f>【国民年金】!D20+【厚生年金】!D20+【三共済旧３公社等】!D20+【恩給】!D20+'【その他（恩給を除く）】'!D20</f>
        <v>576236.07854074647</v>
      </c>
      <c r="E20" s="103">
        <f>【国民年金】!E20+【厚生年金】!E20+【三共済旧３公社等】!H20+【年金生活者支援給付金】!C21+【恩給】!E20+'【その他（恩給を除く）】'!E20</f>
        <v>161177.13359887019</v>
      </c>
      <c r="F20" s="102">
        <f>【厚生年金】!F20+【三共済旧３公社等】!I20+'【その他（恩給を除く）】'!F20</f>
        <v>9722.9303734053155</v>
      </c>
      <c r="G20" s="108">
        <v>833.63157299502609</v>
      </c>
      <c r="H20" s="66"/>
      <c r="I20" s="66"/>
      <c r="J20" s="66"/>
      <c r="K20" s="66"/>
      <c r="L20" s="150"/>
      <c r="M20" s="150"/>
      <c r="N20" s="150"/>
      <c r="O20" s="150"/>
      <c r="P20" s="150"/>
      <c r="Q20" s="150"/>
    </row>
    <row r="21" spans="1:17">
      <c r="A21" s="26">
        <v>46</v>
      </c>
      <c r="B21" s="101">
        <v>2034</v>
      </c>
      <c r="C21" s="103">
        <f>【国民年金】!C21+【厚生年金】!C21+【三共済旧３公社等】!C21+【年金生活者支援給付金】!C22+【恩給】!C21+'【その他（恩給を除く）】'!C21</f>
        <v>747276.03822497628</v>
      </c>
      <c r="D21" s="103">
        <f>【国民年金】!D21+【厚生年金】!D21+【三共済旧３公社等】!D21+【恩給】!D21+'【その他（恩給を除く）】'!D21</f>
        <v>583592.09657638567</v>
      </c>
      <c r="E21" s="103">
        <f>【国民年金】!E21+【厚生年金】!E21+【三共済旧３公社等】!H21+【年金生活者支援給付金】!C22+【恩給】!E21+'【その他（恩給を除く）】'!E21</f>
        <v>163582.1524463103</v>
      </c>
      <c r="F21" s="102">
        <f>【厚生年金】!F21+【三共済旧３公社等】!I21+'【その他（恩給を除く）】'!F21</f>
        <v>9967.8216943097341</v>
      </c>
      <c r="G21" s="108">
        <v>846.96967816294648</v>
      </c>
      <c r="H21" s="66"/>
      <c r="I21" s="66"/>
      <c r="J21" s="66"/>
      <c r="K21" s="66"/>
      <c r="L21" s="150"/>
      <c r="M21" s="150"/>
      <c r="N21" s="150"/>
      <c r="O21" s="150"/>
      <c r="P21" s="150"/>
      <c r="Q21" s="150"/>
    </row>
    <row r="22" spans="1:17">
      <c r="A22" s="26">
        <v>47</v>
      </c>
      <c r="B22" s="101">
        <v>2035</v>
      </c>
      <c r="C22" s="103">
        <f>【国民年金】!C22+【厚生年金】!C22+【三共済旧３公社等】!C22+【年金生活者支援給付金】!C23+【恩給】!C22+'【その他（恩給を除く）】'!C22</f>
        <v>764173.36157701875</v>
      </c>
      <c r="D22" s="103">
        <f>【国民年金】!D22+【厚生年金】!D22+【三共済旧３公社等】!D22+【恩給】!D22+'【その他（恩給を除く）】'!D22</f>
        <v>590894.53667156619</v>
      </c>
      <c r="E22" s="103">
        <f>【国民年金】!E22+【厚生年金】!E22+【三共済旧３公社等】!H22+【年金生活者支援給付金】!C23+【恩給】!E22+'【その他（恩給を除く）】'!E22</f>
        <v>166409.35960492186</v>
      </c>
      <c r="F22" s="102">
        <f>【厚生年金】!F22+【三共済旧３公社等】!I22+'【その他（恩給を除く）】'!F22</f>
        <v>10238.141660050829</v>
      </c>
      <c r="G22" s="108">
        <v>860.52119301355367</v>
      </c>
      <c r="H22" s="66"/>
      <c r="I22" s="66"/>
      <c r="J22" s="66"/>
      <c r="K22" s="66"/>
      <c r="L22" s="150"/>
      <c r="M22" s="150"/>
      <c r="N22" s="150"/>
      <c r="O22" s="150"/>
      <c r="P22" s="150"/>
      <c r="Q22" s="150"/>
    </row>
    <row r="23" spans="1:17">
      <c r="A23" s="26">
        <v>48</v>
      </c>
      <c r="B23" s="101">
        <v>2036</v>
      </c>
      <c r="C23" s="103">
        <f>【国民年金】!C23+【厚生年金】!C23+【三共済旧３公社等】!C23+【年金生活者支援給付金】!C24+【恩給】!C23+'【その他（恩給を除く）】'!C23</f>
        <v>782326.99876334402</v>
      </c>
      <c r="D23" s="103">
        <f>【国民年金】!D23+【厚生年金】!D23+【三共済旧３公社等】!D23+【恩給】!D23+'【その他（恩給を除く）】'!D23</f>
        <v>598751.40241289244</v>
      </c>
      <c r="E23" s="103">
        <f>【国民年金】!E23+【厚生年金】!E23+【三共済旧３公社等】!H23+【年金生活者支援給付金】!C24+【恩給】!E23+'【その他（恩給を除く）】'!E23</f>
        <v>169452.32789145847</v>
      </c>
      <c r="F23" s="102">
        <f>【厚生年金】!F23+【三共済旧３公社等】!I23+'【その他（恩給を除く）】'!F23</f>
        <v>10513.743082499241</v>
      </c>
      <c r="G23" s="108">
        <v>874.28953210177053</v>
      </c>
      <c r="H23" s="66"/>
      <c r="I23" s="66"/>
      <c r="J23" s="66"/>
      <c r="K23" s="66"/>
      <c r="L23" s="150"/>
      <c r="M23" s="150"/>
      <c r="N23" s="150"/>
      <c r="O23" s="150"/>
      <c r="P23" s="150"/>
      <c r="Q23" s="150"/>
    </row>
    <row r="24" spans="1:17">
      <c r="A24" s="26">
        <v>49</v>
      </c>
      <c r="B24" s="101">
        <v>2037</v>
      </c>
      <c r="C24" s="103">
        <f>【国民年金】!C24+【厚生年金】!C24+【三共済旧３公社等】!C24+【年金生活者支援給付金】!C25+【恩給】!C24+'【その他（恩給を除く）】'!C24</f>
        <v>801589.36026976933</v>
      </c>
      <c r="D24" s="103">
        <f>【国民年金】!D24+【厚生年金】!D24+【三共済旧３公社等】!D24+【恩給】!D24+'【その他（恩給を除く）】'!D24</f>
        <v>606321.23503868957</v>
      </c>
      <c r="E24" s="103">
        <f>【国民年金】!E24+【厚生年金】!E24+【三共済旧３公社等】!H24+【年金生活者支援給付金】!C25+【恩給】!E24+'【その他（恩給を除く）】'!E24</f>
        <v>172713.12934631467</v>
      </c>
      <c r="F24" s="102">
        <f>【厚生年金】!F24+【三共済旧３公社等】!I24+'【その他（恩給を除く）】'!F24</f>
        <v>10794.865542548878</v>
      </c>
      <c r="G24" s="108">
        <v>888.27816461539885</v>
      </c>
      <c r="H24" s="66"/>
      <c r="I24" s="66"/>
      <c r="J24" s="66"/>
      <c r="K24" s="66"/>
      <c r="L24" s="150"/>
      <c r="M24" s="150"/>
      <c r="N24" s="150"/>
      <c r="O24" s="150"/>
      <c r="P24" s="150"/>
      <c r="Q24" s="150"/>
    </row>
    <row r="25" spans="1:17">
      <c r="A25" s="26">
        <v>50</v>
      </c>
      <c r="B25" s="101">
        <v>2038</v>
      </c>
      <c r="C25" s="103">
        <f>【国民年金】!C25+【厚生年金】!C25+【三共済旧３公社等】!C25+【年金生活者支援給付金】!C26+【恩給】!C25+'【その他（恩給を除く）】'!C25</f>
        <v>821404.37754639343</v>
      </c>
      <c r="D25" s="103">
        <f>【国民年金】!D25+【厚生年金】!D25+【三共済旧３公社等】!D25+【恩給】!D25+'【その他（恩給を除く）】'!D25</f>
        <v>613541.05978086079</v>
      </c>
      <c r="E25" s="103">
        <f>【国民年金】!E25+【厚生年金】!E25+【三共済旧３公社等】!H25+【年金生活者支援給付金】!C26+【恩給】!E25+'【その他（恩給を除く）】'!E25</f>
        <v>176073.77021607093</v>
      </c>
      <c r="F25" s="102">
        <f>【厚生年金】!F25+【三共済旧３公社等】!I25+'【その他（恩給を除く）】'!F25</f>
        <v>11078.626729686988</v>
      </c>
      <c r="G25" s="108">
        <v>902.49061524924525</v>
      </c>
      <c r="H25" s="66"/>
      <c r="I25" s="66"/>
      <c r="J25" s="66"/>
      <c r="K25" s="66"/>
      <c r="L25" s="150"/>
      <c r="M25" s="150"/>
      <c r="N25" s="150"/>
      <c r="O25" s="150"/>
      <c r="P25" s="150"/>
      <c r="Q25" s="150"/>
    </row>
    <row r="26" spans="1:17">
      <c r="A26" s="26">
        <v>51</v>
      </c>
      <c r="B26" s="101">
        <v>2039</v>
      </c>
      <c r="C26" s="103">
        <f>【国民年金】!C26+【厚生年金】!C26+【三共済旧３公社等】!C26+【年金生活者支援給付金】!C27+【恩給】!C26+'【その他（恩給を除く）】'!C26</f>
        <v>840861.74974444683</v>
      </c>
      <c r="D26" s="103">
        <f>【国民年金】!D26+【厚生年金】!D26+【三共済旧３公社等】!D26+【恩給】!D26+'【その他（恩給を除く）】'!D26</f>
        <v>620680.67211051902</v>
      </c>
      <c r="E26" s="103">
        <f>【国民年金】!E26+【厚生年金】!E26+【三共済旧３公社等】!H26+【年金生活者支援給付金】!C27+【恩給】!E26+'【その他（恩給を除く）】'!E26</f>
        <v>179337.63886492734</v>
      </c>
      <c r="F26" s="102">
        <f>【厚生年金】!F26+【三共済旧３公社等】!I26+'【その他（恩給を除く）】'!F26</f>
        <v>11350.955741991464</v>
      </c>
      <c r="G26" s="108">
        <v>916.93046509323324</v>
      </c>
      <c r="H26" s="66"/>
      <c r="I26" s="66"/>
      <c r="J26" s="66"/>
      <c r="K26" s="66"/>
      <c r="L26" s="150"/>
      <c r="M26" s="150"/>
      <c r="N26" s="150"/>
      <c r="O26" s="150"/>
      <c r="P26" s="150"/>
      <c r="Q26" s="150"/>
    </row>
    <row r="27" spans="1:17">
      <c r="A27" s="40">
        <v>52</v>
      </c>
      <c r="B27" s="109">
        <v>2040</v>
      </c>
      <c r="C27" s="110">
        <f>【国民年金】!C27+【厚生年金】!C27+【三共済旧３公社等】!C27+【年金生活者支援給付金】!C28+【恩給】!C27+'【その他（恩給を除く）】'!C27</f>
        <v>858778.52146889584</v>
      </c>
      <c r="D27" s="110">
        <f>【国民年金】!D27+【厚生年金】!D27+【三共済旧３公社等】!D27+【恩給】!D27+'【その他（恩給を除く）】'!D27</f>
        <v>627940.89070348814</v>
      </c>
      <c r="E27" s="110">
        <f>【国民年金】!E27+【厚生年金】!E27+【三共済旧３公社等】!H27+【年金生活者支援給付金】!C28+【恩給】!E27+'【その他（恩給を除く）】'!E27</f>
        <v>182237.80831768291</v>
      </c>
      <c r="F27" s="111">
        <f>【厚生年金】!F27+【三共済旧３公社等】!I27+'【その他（恩給を除く）】'!F27</f>
        <v>11592.924927638953</v>
      </c>
      <c r="G27" s="112">
        <v>931.60135253472504</v>
      </c>
      <c r="H27" s="66"/>
      <c r="I27" s="66"/>
      <c r="J27" s="66"/>
      <c r="K27" s="66"/>
      <c r="L27" s="150"/>
      <c r="M27" s="150"/>
      <c r="N27" s="150"/>
      <c r="O27" s="150"/>
      <c r="P27" s="150"/>
      <c r="Q27" s="150"/>
    </row>
    <row r="28" spans="1:17">
      <c r="H28" s="24"/>
      <c r="I28" s="24"/>
      <c r="J28" s="24"/>
      <c r="K28" s="24"/>
      <c r="L28" s="24"/>
      <c r="M28" s="24"/>
      <c r="N28" s="24"/>
      <c r="O28" s="24"/>
    </row>
  </sheetData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7" width="9" style="48"/>
    <col min="8" max="9" width="10.5" style="48" customWidth="1"/>
    <col min="10" max="10" width="1.875" style="48" customWidth="1"/>
    <col min="11" max="12" width="9" style="48"/>
    <col min="13" max="14" width="9.375" style="48" customWidth="1"/>
    <col min="15" max="15" width="0.875" style="48" customWidth="1"/>
    <col min="16" max="20" width="9" style="48"/>
    <col min="21" max="21" width="2.375" style="48" customWidth="1"/>
    <col min="22" max="22" width="6.375" style="48" customWidth="1"/>
    <col min="23" max="23" width="11" style="48" customWidth="1"/>
    <col min="24" max="16384" width="9" style="48"/>
  </cols>
  <sheetData>
    <row r="1" spans="1:23">
      <c r="A1" s="48" t="s">
        <v>36</v>
      </c>
      <c r="P1" s="198"/>
      <c r="Q1" s="198"/>
    </row>
    <row r="2" spans="1:23">
      <c r="B2" s="48" t="s">
        <v>69</v>
      </c>
      <c r="H2" s="48" t="s">
        <v>190</v>
      </c>
      <c r="K2" s="48" t="s">
        <v>163</v>
      </c>
      <c r="P2" s="198" t="s">
        <v>73</v>
      </c>
      <c r="Q2" s="198"/>
      <c r="R2" s="198"/>
      <c r="S2" s="198"/>
    </row>
    <row r="3" spans="1:23">
      <c r="B3" s="48" t="s">
        <v>65</v>
      </c>
      <c r="D3" s="48" t="s">
        <v>162</v>
      </c>
      <c r="F3" s="198" t="s">
        <v>87</v>
      </c>
      <c r="G3" s="198"/>
      <c r="H3" s="48" t="s">
        <v>162</v>
      </c>
      <c r="K3" s="48" t="s">
        <v>65</v>
      </c>
      <c r="M3" s="48" t="s">
        <v>162</v>
      </c>
      <c r="P3" s="198" t="s">
        <v>74</v>
      </c>
      <c r="Q3" s="198"/>
      <c r="R3" s="198" t="s">
        <v>162</v>
      </c>
      <c r="S3" s="198"/>
      <c r="T3" s="55" t="s">
        <v>104</v>
      </c>
      <c r="V3" s="48" t="s">
        <v>104</v>
      </c>
    </row>
    <row r="4" spans="1:23">
      <c r="B4" s="58" t="s">
        <v>85</v>
      </c>
      <c r="C4" s="55" t="s">
        <v>1</v>
      </c>
      <c r="D4" s="58" t="s">
        <v>85</v>
      </c>
      <c r="E4" s="55" t="s">
        <v>1</v>
      </c>
      <c r="F4" s="55" t="s">
        <v>86</v>
      </c>
      <c r="G4" s="55" t="s">
        <v>70</v>
      </c>
      <c r="H4" s="58" t="s">
        <v>88</v>
      </c>
      <c r="I4" s="55" t="s">
        <v>1</v>
      </c>
      <c r="J4" s="55"/>
      <c r="K4" s="58" t="s">
        <v>85</v>
      </c>
      <c r="L4" s="55" t="s">
        <v>1</v>
      </c>
      <c r="M4" s="58" t="s">
        <v>85</v>
      </c>
      <c r="N4" s="55" t="s">
        <v>1</v>
      </c>
      <c r="O4" s="55"/>
      <c r="P4" s="55" t="s">
        <v>76</v>
      </c>
      <c r="Q4" s="55" t="s">
        <v>1</v>
      </c>
      <c r="R4" s="55" t="s">
        <v>76</v>
      </c>
      <c r="S4" s="55" t="s">
        <v>1</v>
      </c>
      <c r="V4" s="48" t="s">
        <v>82</v>
      </c>
    </row>
    <row r="5" spans="1:23">
      <c r="A5" s="48">
        <v>2007</v>
      </c>
      <c r="B5" s="158">
        <f>経済前提!G5</f>
        <v>0</v>
      </c>
      <c r="C5" s="158">
        <f>経済前提!H5</f>
        <v>0</v>
      </c>
      <c r="D5" s="158">
        <f>経済前提!G46</f>
        <v>0</v>
      </c>
      <c r="E5" s="158">
        <f>経済前提!H46</f>
        <v>0</v>
      </c>
      <c r="F5" s="158"/>
      <c r="G5" s="158"/>
      <c r="H5" s="158">
        <f t="shared" ref="H5" si="0">D5-$G5</f>
        <v>0</v>
      </c>
      <c r="I5" s="158">
        <f t="shared" ref="I5" si="1">E5-$G5</f>
        <v>0</v>
      </c>
      <c r="J5" s="158"/>
      <c r="K5" s="158">
        <v>1</v>
      </c>
      <c r="L5" s="158">
        <v>1</v>
      </c>
      <c r="M5" s="158">
        <v>1</v>
      </c>
      <c r="N5" s="158">
        <v>1</v>
      </c>
      <c r="O5" s="158"/>
      <c r="P5" s="158"/>
      <c r="Q5" s="158"/>
      <c r="R5" s="158"/>
      <c r="S5" s="158"/>
      <c r="T5" s="62"/>
      <c r="U5" s="62"/>
      <c r="V5" s="62"/>
    </row>
    <row r="6" spans="1:23">
      <c r="A6" s="48">
        <f>A5+1</f>
        <v>2008</v>
      </c>
      <c r="B6" s="158">
        <f>経済前提!G6</f>
        <v>0</v>
      </c>
      <c r="C6" s="158">
        <f>経済前提!H6</f>
        <v>0</v>
      </c>
      <c r="D6" s="158">
        <f>経済前提!G47</f>
        <v>0</v>
      </c>
      <c r="E6" s="158">
        <f>経済前提!H47</f>
        <v>0</v>
      </c>
      <c r="F6" s="158"/>
      <c r="G6" s="158"/>
      <c r="H6" s="158">
        <f t="shared" ref="H6:H38" si="2">D6-$G6</f>
        <v>0</v>
      </c>
      <c r="I6" s="158">
        <f t="shared" ref="I6:I38" si="3">E6-$G6</f>
        <v>0</v>
      </c>
      <c r="J6" s="158"/>
      <c r="K6" s="158">
        <f t="shared" ref="K6:N12" si="4">K5*(1+B6/100)</f>
        <v>1</v>
      </c>
      <c r="L6" s="158">
        <f t="shared" si="4"/>
        <v>1</v>
      </c>
      <c r="M6" s="158">
        <f t="shared" si="4"/>
        <v>1</v>
      </c>
      <c r="N6" s="158">
        <f t="shared" si="4"/>
        <v>1</v>
      </c>
      <c r="O6" s="158"/>
      <c r="P6" s="158"/>
      <c r="Q6" s="158"/>
      <c r="R6" s="158"/>
      <c r="S6" s="158"/>
      <c r="T6" s="62"/>
      <c r="U6" s="62"/>
      <c r="V6" s="62"/>
    </row>
    <row r="7" spans="1:23">
      <c r="A7" s="48">
        <f t="shared" ref="A7:A38" si="5">A6+1</f>
        <v>2009</v>
      </c>
      <c r="B7" s="158">
        <f>経済前提!G7</f>
        <v>0</v>
      </c>
      <c r="C7" s="158">
        <f>経済前提!H7</f>
        <v>0</v>
      </c>
      <c r="D7" s="158">
        <f>経済前提!G48</f>
        <v>0</v>
      </c>
      <c r="E7" s="158">
        <f>経済前提!H48</f>
        <v>0</v>
      </c>
      <c r="F7" s="158"/>
      <c r="G7" s="158"/>
      <c r="H7" s="158">
        <f t="shared" si="2"/>
        <v>0</v>
      </c>
      <c r="I7" s="158">
        <f t="shared" si="3"/>
        <v>0</v>
      </c>
      <c r="J7" s="158"/>
      <c r="K7" s="158">
        <f t="shared" si="4"/>
        <v>1</v>
      </c>
      <c r="L7" s="158">
        <f t="shared" si="4"/>
        <v>1</v>
      </c>
      <c r="M7" s="158">
        <f t="shared" si="4"/>
        <v>1</v>
      </c>
      <c r="N7" s="158">
        <f t="shared" si="4"/>
        <v>1</v>
      </c>
      <c r="O7" s="158"/>
      <c r="P7" s="158"/>
      <c r="Q7" s="158"/>
      <c r="R7" s="158"/>
      <c r="S7" s="158"/>
      <c r="T7" s="62"/>
      <c r="U7" s="62"/>
      <c r="V7" s="62"/>
    </row>
    <row r="8" spans="1:23">
      <c r="A8" s="48">
        <f t="shared" si="5"/>
        <v>2010</v>
      </c>
      <c r="B8" s="158">
        <f>経済前提!G8</f>
        <v>0</v>
      </c>
      <c r="C8" s="158">
        <f>経済前提!H8</f>
        <v>0</v>
      </c>
      <c r="D8" s="158">
        <f>経済前提!G49</f>
        <v>0</v>
      </c>
      <c r="E8" s="158">
        <f>経済前提!H49</f>
        <v>0</v>
      </c>
      <c r="F8" s="158"/>
      <c r="G8" s="158"/>
      <c r="H8" s="158">
        <f t="shared" si="2"/>
        <v>0</v>
      </c>
      <c r="I8" s="158">
        <f t="shared" si="3"/>
        <v>0</v>
      </c>
      <c r="J8" s="158"/>
      <c r="K8" s="158">
        <f t="shared" si="4"/>
        <v>1</v>
      </c>
      <c r="L8" s="158">
        <f t="shared" si="4"/>
        <v>1</v>
      </c>
      <c r="M8" s="158">
        <f t="shared" si="4"/>
        <v>1</v>
      </c>
      <c r="N8" s="158">
        <f t="shared" si="4"/>
        <v>1</v>
      </c>
      <c r="O8" s="158"/>
      <c r="P8" s="158"/>
      <c r="Q8" s="158"/>
      <c r="R8" s="158"/>
      <c r="S8" s="158"/>
      <c r="T8" s="62"/>
      <c r="U8" s="62"/>
      <c r="V8" s="62"/>
    </row>
    <row r="9" spans="1:23">
      <c r="A9" s="48">
        <f t="shared" si="5"/>
        <v>2011</v>
      </c>
      <c r="B9" s="158">
        <f>経済前提!G9</f>
        <v>0</v>
      </c>
      <c r="C9" s="158">
        <f>経済前提!H9</f>
        <v>0</v>
      </c>
      <c r="D9" s="158">
        <f>経済前提!G50</f>
        <v>0</v>
      </c>
      <c r="E9" s="158">
        <f>経済前提!H50</f>
        <v>0</v>
      </c>
      <c r="F9" s="158"/>
      <c r="G9" s="158"/>
      <c r="H9" s="158">
        <f t="shared" si="2"/>
        <v>0</v>
      </c>
      <c r="I9" s="158">
        <f t="shared" si="3"/>
        <v>0</v>
      </c>
      <c r="J9" s="158"/>
      <c r="K9" s="158">
        <f t="shared" si="4"/>
        <v>1</v>
      </c>
      <c r="L9" s="158">
        <f t="shared" si="4"/>
        <v>1</v>
      </c>
      <c r="M9" s="158">
        <f t="shared" si="4"/>
        <v>1</v>
      </c>
      <c r="N9" s="158">
        <f t="shared" si="4"/>
        <v>1</v>
      </c>
      <c r="O9" s="158"/>
      <c r="P9" s="158"/>
      <c r="Q9" s="158"/>
      <c r="R9" s="158"/>
      <c r="S9" s="158"/>
      <c r="T9" s="62"/>
      <c r="U9" s="62"/>
      <c r="V9" s="62"/>
    </row>
    <row r="10" spans="1:23">
      <c r="A10" s="48">
        <f t="shared" si="5"/>
        <v>2012</v>
      </c>
      <c r="B10" s="158">
        <f>経済前提!G10</f>
        <v>0</v>
      </c>
      <c r="C10" s="158">
        <f>経済前提!H10</f>
        <v>0</v>
      </c>
      <c r="D10" s="158">
        <f>経済前提!G51</f>
        <v>0</v>
      </c>
      <c r="E10" s="158">
        <f>経済前提!H51</f>
        <v>0</v>
      </c>
      <c r="F10" s="158"/>
      <c r="G10" s="158"/>
      <c r="H10" s="158">
        <f t="shared" si="2"/>
        <v>0</v>
      </c>
      <c r="I10" s="158">
        <f t="shared" si="3"/>
        <v>0</v>
      </c>
      <c r="J10" s="158"/>
      <c r="K10" s="158">
        <f t="shared" si="4"/>
        <v>1</v>
      </c>
      <c r="L10" s="158">
        <f t="shared" si="4"/>
        <v>1</v>
      </c>
      <c r="M10" s="158">
        <f t="shared" si="4"/>
        <v>1</v>
      </c>
      <c r="N10" s="158">
        <f t="shared" si="4"/>
        <v>1</v>
      </c>
      <c r="O10" s="158"/>
      <c r="P10" s="194">
        <f t="shared" ref="P10:P38" si="6">K10/K9</f>
        <v>1</v>
      </c>
      <c r="Q10" s="194">
        <f t="shared" ref="Q10:Q38" si="7">L10/L9</f>
        <v>1</v>
      </c>
      <c r="R10" s="194">
        <f t="shared" ref="R10:R38" si="8">M10/M9</f>
        <v>1</v>
      </c>
      <c r="S10" s="194">
        <f t="shared" ref="S10:S38" si="9">N10/N9</f>
        <v>1</v>
      </c>
      <c r="T10" s="62">
        <v>1.0176890881573779</v>
      </c>
      <c r="U10" s="158"/>
      <c r="V10" s="158"/>
      <c r="W10" s="130"/>
    </row>
    <row r="11" spans="1:23">
      <c r="A11" s="48">
        <f t="shared" si="5"/>
        <v>2013</v>
      </c>
      <c r="B11" s="158">
        <f>経済前提!G11</f>
        <v>0</v>
      </c>
      <c r="C11" s="158">
        <f>経済前提!H11</f>
        <v>0</v>
      </c>
      <c r="D11" s="158">
        <f>経済前提!G52</f>
        <v>0</v>
      </c>
      <c r="E11" s="158">
        <f>経済前提!H52</f>
        <v>0</v>
      </c>
      <c r="F11" s="158"/>
      <c r="G11" s="158"/>
      <c r="H11" s="158">
        <f t="shared" si="2"/>
        <v>0</v>
      </c>
      <c r="I11" s="158">
        <f t="shared" si="3"/>
        <v>0</v>
      </c>
      <c r="J11" s="158"/>
      <c r="K11" s="158">
        <f t="shared" si="4"/>
        <v>1</v>
      </c>
      <c r="L11" s="158">
        <f t="shared" si="4"/>
        <v>1</v>
      </c>
      <c r="M11" s="158">
        <f t="shared" si="4"/>
        <v>1</v>
      </c>
      <c r="N11" s="158">
        <f t="shared" si="4"/>
        <v>1</v>
      </c>
      <c r="O11" s="158"/>
      <c r="P11" s="194">
        <f t="shared" si="6"/>
        <v>1</v>
      </c>
      <c r="Q11" s="194">
        <f t="shared" si="7"/>
        <v>1</v>
      </c>
      <c r="R11" s="194">
        <f t="shared" si="8"/>
        <v>1</v>
      </c>
      <c r="S11" s="194">
        <f t="shared" si="9"/>
        <v>1</v>
      </c>
      <c r="T11" s="62">
        <v>1.0176890881573779</v>
      </c>
      <c r="U11" s="158"/>
      <c r="V11" s="159"/>
      <c r="W11" s="130"/>
    </row>
    <row r="12" spans="1:23">
      <c r="A12" s="48">
        <f t="shared" si="5"/>
        <v>2014</v>
      </c>
      <c r="B12" s="158">
        <f>経済前提!G12</f>
        <v>0</v>
      </c>
      <c r="C12" s="158">
        <f>経済前提!H12</f>
        <v>0</v>
      </c>
      <c r="D12" s="158">
        <f>経済前提!G53</f>
        <v>0</v>
      </c>
      <c r="E12" s="158">
        <f>経済前提!H53</f>
        <v>0</v>
      </c>
      <c r="F12" s="158"/>
      <c r="G12" s="158"/>
      <c r="H12" s="158">
        <f t="shared" si="2"/>
        <v>0</v>
      </c>
      <c r="I12" s="158">
        <f t="shared" si="3"/>
        <v>0</v>
      </c>
      <c r="J12" s="158"/>
      <c r="K12" s="158">
        <f t="shared" si="4"/>
        <v>1</v>
      </c>
      <c r="L12" s="158">
        <f t="shared" si="4"/>
        <v>1</v>
      </c>
      <c r="M12" s="158">
        <f t="shared" si="4"/>
        <v>1</v>
      </c>
      <c r="N12" s="158">
        <f t="shared" si="4"/>
        <v>1</v>
      </c>
      <c r="O12" s="158"/>
      <c r="P12" s="194">
        <f t="shared" si="6"/>
        <v>1</v>
      </c>
      <c r="Q12" s="194">
        <f t="shared" si="7"/>
        <v>1</v>
      </c>
      <c r="R12" s="194">
        <f t="shared" si="8"/>
        <v>1</v>
      </c>
      <c r="S12" s="194">
        <f t="shared" si="9"/>
        <v>1</v>
      </c>
      <c r="T12" s="62">
        <v>1.0176890881573779</v>
      </c>
      <c r="U12" s="158"/>
      <c r="V12" s="159"/>
      <c r="W12" s="130"/>
    </row>
    <row r="13" spans="1:23">
      <c r="A13" s="48">
        <f t="shared" si="5"/>
        <v>2015</v>
      </c>
      <c r="B13" s="158">
        <f>経済前提!G13</f>
        <v>0</v>
      </c>
      <c r="C13" s="158">
        <f>経済前提!H13</f>
        <v>0</v>
      </c>
      <c r="D13" s="158">
        <f>経済前提!G54</f>
        <v>0</v>
      </c>
      <c r="E13" s="158">
        <f>経済前提!H54</f>
        <v>0</v>
      </c>
      <c r="F13" s="158">
        <f>経済前提!M13</f>
        <v>1.0531423592843645</v>
      </c>
      <c r="G13" s="158">
        <f>経済前提!N13</f>
        <v>0.90120092312293532</v>
      </c>
      <c r="H13" s="158">
        <f t="shared" si="2"/>
        <v>-0.90120092312293532</v>
      </c>
      <c r="I13" s="158">
        <f t="shared" si="3"/>
        <v>-0.90120092312293532</v>
      </c>
      <c r="J13" s="158"/>
      <c r="K13" s="158">
        <f t="shared" ref="K13:K38" si="10">K12*(1+MAX(0,(B13-$F13))/100)</f>
        <v>1</v>
      </c>
      <c r="L13" s="158">
        <f t="shared" ref="L13:L38" si="11">L12*(1+MAX(0,(C13-$F13))/100)</f>
        <v>1</v>
      </c>
      <c r="M13" s="158">
        <f>M12*(1+MAX(0,(D13-$G13))/100)</f>
        <v>1</v>
      </c>
      <c r="N13" s="158">
        <f>N12*(1+MAX(0,(E13-$G13))/100)</f>
        <v>1</v>
      </c>
      <c r="O13" s="158"/>
      <c r="P13" s="194">
        <f t="shared" si="6"/>
        <v>1</v>
      </c>
      <c r="Q13" s="194">
        <f t="shared" si="7"/>
        <v>1</v>
      </c>
      <c r="R13" s="194">
        <f t="shared" si="8"/>
        <v>1</v>
      </c>
      <c r="S13" s="194">
        <f t="shared" si="9"/>
        <v>1</v>
      </c>
      <c r="T13" s="62">
        <v>1.0176890881573779</v>
      </c>
      <c r="U13" s="158"/>
      <c r="V13" s="159"/>
      <c r="W13" s="130"/>
    </row>
    <row r="14" spans="1:23">
      <c r="A14" s="48">
        <f t="shared" si="5"/>
        <v>2016</v>
      </c>
      <c r="B14" s="158">
        <f>経済前提!G14</f>
        <v>1.7679492310491929</v>
      </c>
      <c r="C14" s="158">
        <f>経済前提!H14</f>
        <v>1.7679492310491929</v>
      </c>
      <c r="D14" s="158">
        <f>経済前提!G55</f>
        <v>0</v>
      </c>
      <c r="E14" s="158">
        <f>経済前提!H55</f>
        <v>0</v>
      </c>
      <c r="F14" s="158">
        <f>経済前提!M14</f>
        <v>1.1144593578355064</v>
      </c>
      <c r="G14" s="158">
        <f>経済前提!N14</f>
        <v>0.73335596598308439</v>
      </c>
      <c r="H14" s="158">
        <f t="shared" si="2"/>
        <v>-0.73335596598308439</v>
      </c>
      <c r="I14" s="158">
        <f t="shared" si="3"/>
        <v>-0.73335596598308439</v>
      </c>
      <c r="J14" s="158"/>
      <c r="K14" s="158">
        <f t="shared" si="10"/>
        <v>1.006534898732137</v>
      </c>
      <c r="L14" s="158">
        <f t="shared" si="11"/>
        <v>1.006534898732137</v>
      </c>
      <c r="M14" s="158">
        <f>M13*(1+MAX(0,(D14-$G14))/100)</f>
        <v>1</v>
      </c>
      <c r="N14" s="158">
        <f>N13*(1+MAX(0,(E14-$G14))/100)</f>
        <v>1</v>
      </c>
      <c r="O14" s="158"/>
      <c r="P14" s="194">
        <f t="shared" si="6"/>
        <v>1.006534898732137</v>
      </c>
      <c r="Q14" s="194">
        <f t="shared" si="7"/>
        <v>1.006534898732137</v>
      </c>
      <c r="R14" s="194">
        <f t="shared" si="8"/>
        <v>1</v>
      </c>
      <c r="S14" s="194">
        <f t="shared" si="9"/>
        <v>1</v>
      </c>
      <c r="T14" s="62">
        <v>1.0110817711728532</v>
      </c>
      <c r="U14" s="158"/>
      <c r="V14" s="159"/>
      <c r="W14" s="130"/>
    </row>
    <row r="15" spans="1:23">
      <c r="A15" s="48">
        <f t="shared" si="5"/>
        <v>2017</v>
      </c>
      <c r="B15" s="158">
        <f>経済前提!G15</f>
        <v>1.8001556646886741</v>
      </c>
      <c r="C15" s="158">
        <f>経済前提!H15</f>
        <v>1.8001556646886741</v>
      </c>
      <c r="D15" s="158">
        <f>経済前提!G56</f>
        <v>-0.1</v>
      </c>
      <c r="E15" s="158">
        <f>経済前提!H56</f>
        <v>-0.1</v>
      </c>
      <c r="F15" s="158">
        <f>経済前提!M15</f>
        <v>1.1055742615235784</v>
      </c>
      <c r="G15" s="158">
        <f>経済前提!N15</f>
        <v>0.53273982819750354</v>
      </c>
      <c r="H15" s="158">
        <f t="shared" si="2"/>
        <v>-0.63273982819750352</v>
      </c>
      <c r="I15" s="158">
        <f t="shared" si="3"/>
        <v>-0.63273982819750352</v>
      </c>
      <c r="J15" s="158"/>
      <c r="K15" s="158">
        <f t="shared" si="10"/>
        <v>1.013526102955097</v>
      </c>
      <c r="L15" s="158">
        <f t="shared" si="11"/>
        <v>1.013526102955097</v>
      </c>
      <c r="M15" s="158">
        <f>1+D15/100</f>
        <v>0.999</v>
      </c>
      <c r="N15" s="158">
        <f>1+E15/100</f>
        <v>0.999</v>
      </c>
      <c r="O15" s="158"/>
      <c r="P15" s="194">
        <f t="shared" si="6"/>
        <v>1.006945814031651</v>
      </c>
      <c r="Q15" s="194">
        <f t="shared" si="7"/>
        <v>1.006945814031651</v>
      </c>
      <c r="R15" s="194">
        <f t="shared" si="8"/>
        <v>0.999</v>
      </c>
      <c r="S15" s="194">
        <f t="shared" si="9"/>
        <v>0.999</v>
      </c>
      <c r="T15" s="62">
        <v>1.0031033202844533</v>
      </c>
      <c r="U15" s="158"/>
      <c r="V15" s="159"/>
      <c r="W15" s="130"/>
    </row>
    <row r="16" spans="1:23">
      <c r="A16" s="48">
        <f t="shared" si="5"/>
        <v>2018</v>
      </c>
      <c r="B16" s="158">
        <f>経済前提!G16</f>
        <v>1.3121656105437474</v>
      </c>
      <c r="C16" s="158">
        <f>経済前提!H16</f>
        <v>1.3121656105437474</v>
      </c>
      <c r="D16" s="158">
        <f>経済前提!G57</f>
        <v>0</v>
      </c>
      <c r="E16" s="158">
        <f>経済前提!H57</f>
        <v>0</v>
      </c>
      <c r="F16" s="158">
        <f>経済前提!M16</f>
        <v>1.0018335820984323</v>
      </c>
      <c r="G16" s="158">
        <f>経済前提!N16</f>
        <v>0.32214019848313374</v>
      </c>
      <c r="H16" s="158">
        <f t="shared" si="2"/>
        <v>-0.32214019848313374</v>
      </c>
      <c r="I16" s="158">
        <f t="shared" si="3"/>
        <v>-0.32214019848313374</v>
      </c>
      <c r="J16" s="158"/>
      <c r="K16" s="158">
        <f t="shared" si="10"/>
        <v>1.0166713990692204</v>
      </c>
      <c r="L16" s="158">
        <f t="shared" si="11"/>
        <v>1.0166713990692204</v>
      </c>
      <c r="M16" s="158">
        <f>M15*(1+MAX(0,(H16))/100)</f>
        <v>0.999</v>
      </c>
      <c r="N16" s="158">
        <f>N15*(1+MAX(0,I16)/100)</f>
        <v>0.999</v>
      </c>
      <c r="O16" s="158"/>
      <c r="P16" s="194">
        <f t="shared" si="6"/>
        <v>1.0031033202844533</v>
      </c>
      <c r="Q16" s="194">
        <f t="shared" si="7"/>
        <v>1.0031033202844533</v>
      </c>
      <c r="R16" s="194">
        <f t="shared" si="8"/>
        <v>1</v>
      </c>
      <c r="S16" s="194">
        <f t="shared" si="9"/>
        <v>1</v>
      </c>
      <c r="T16" s="62">
        <v>1</v>
      </c>
      <c r="U16" s="158"/>
      <c r="V16" s="195">
        <f>T16</f>
        <v>1</v>
      </c>
      <c r="W16" s="130"/>
    </row>
    <row r="17" spans="1:23">
      <c r="A17" s="48">
        <f t="shared" si="5"/>
        <v>2019</v>
      </c>
      <c r="B17" s="158">
        <f>経済前提!G17</f>
        <v>2.0934546533227127</v>
      </c>
      <c r="C17" s="158">
        <f>経済前提!H17</f>
        <v>2</v>
      </c>
      <c r="D17" s="158">
        <f>経済前提!G58</f>
        <v>0.64211797618338728</v>
      </c>
      <c r="E17" s="158">
        <f>経済前提!H58</f>
        <v>0.64211797618338728</v>
      </c>
      <c r="F17" s="158">
        <f>経済前提!M17</f>
        <v>0.87827779929986449</v>
      </c>
      <c r="G17" s="158">
        <f>経済前提!N17</f>
        <v>0.44415913909375798</v>
      </c>
      <c r="H17" s="158">
        <f t="shared" si="2"/>
        <v>0.1979588370896293</v>
      </c>
      <c r="I17" s="158">
        <f t="shared" si="3"/>
        <v>0.1979588370896293</v>
      </c>
      <c r="J17" s="158"/>
      <c r="K17" s="158">
        <f t="shared" si="10"/>
        <v>1.0290257545921799</v>
      </c>
      <c r="L17" s="158">
        <f t="shared" si="11"/>
        <v>1.0280756278607484</v>
      </c>
      <c r="M17" s="158">
        <f>M16*(1+MAX(0,(SUM(H16:H17)))/100)</f>
        <v>0.999</v>
      </c>
      <c r="N17" s="158">
        <f>N16*(1+MAX(0,SUM(I16:I17))/100)</f>
        <v>0.999</v>
      </c>
      <c r="O17" s="158"/>
      <c r="P17" s="194">
        <f t="shared" si="6"/>
        <v>1.0121517685402286</v>
      </c>
      <c r="Q17" s="194">
        <f t="shared" si="7"/>
        <v>1.0112172220070013</v>
      </c>
      <c r="R17" s="194">
        <f t="shared" si="8"/>
        <v>1</v>
      </c>
      <c r="S17" s="194">
        <f t="shared" si="9"/>
        <v>1</v>
      </c>
      <c r="T17" s="62">
        <v>0.98871910013768516</v>
      </c>
      <c r="U17" s="158"/>
      <c r="V17" s="195">
        <f>T17*(1+人口等補正!D12)</f>
        <v>0.98949279983033012</v>
      </c>
      <c r="W17" s="130"/>
    </row>
    <row r="18" spans="1:23">
      <c r="A18" s="48">
        <f t="shared" si="5"/>
        <v>2020</v>
      </c>
      <c r="B18" s="158">
        <f>経済前提!G18</f>
        <v>2.8920295314852629</v>
      </c>
      <c r="C18" s="158">
        <f>経済前提!H18</f>
        <v>2</v>
      </c>
      <c r="D18" s="158">
        <f>経済前提!G59</f>
        <v>2.0783262439918904</v>
      </c>
      <c r="E18" s="158">
        <f>経済前提!H59</f>
        <v>1.9</v>
      </c>
      <c r="F18" s="158">
        <f>経済前提!M18</f>
        <v>0.86493605025669251</v>
      </c>
      <c r="G18" s="158">
        <f>経済前提!N18</f>
        <v>0.59995926211425776</v>
      </c>
      <c r="H18" s="158">
        <f t="shared" si="2"/>
        <v>1.4783669818776326</v>
      </c>
      <c r="I18" s="158">
        <f t="shared" si="3"/>
        <v>1.3000407378857421</v>
      </c>
      <c r="J18" s="158"/>
      <c r="K18" s="158">
        <f t="shared" si="10"/>
        <v>1.0498850685836811</v>
      </c>
      <c r="L18" s="158">
        <f t="shared" si="11"/>
        <v>1.0397449436886927</v>
      </c>
      <c r="M18" s="158">
        <f>M17*(1+MAX(0,(SUM(H16:H18)))/100)</f>
        <v>1.0125283143486363</v>
      </c>
      <c r="N18" s="158">
        <f>N17*(1+MAX(0,SUM(I16:I18))/100)</f>
        <v>1.0107468351711573</v>
      </c>
      <c r="O18" s="158"/>
      <c r="P18" s="194">
        <f t="shared" si="6"/>
        <v>1.0202709348122858</v>
      </c>
      <c r="Q18" s="194">
        <f t="shared" si="7"/>
        <v>1.011350639497433</v>
      </c>
      <c r="R18" s="194">
        <f t="shared" si="8"/>
        <v>1.0135418562048413</v>
      </c>
      <c r="S18" s="194">
        <f t="shared" si="9"/>
        <v>1.0117585937649223</v>
      </c>
      <c r="T18" s="62">
        <v>0.98769198872535835</v>
      </c>
      <c r="U18" s="158"/>
      <c r="V18" s="195">
        <f>T18*(1+人口等補正!D13)</f>
        <v>0.98925959488361614</v>
      </c>
      <c r="W18" s="130"/>
    </row>
    <row r="19" spans="1:23">
      <c r="A19" s="48">
        <f t="shared" si="5"/>
        <v>2021</v>
      </c>
      <c r="B19" s="158">
        <f>経済前提!G19</f>
        <v>3.6256026313011835</v>
      </c>
      <c r="C19" s="158">
        <f>経済前提!H19</f>
        <v>2</v>
      </c>
      <c r="D19" s="158">
        <f>経済前提!G60</f>
        <v>2.836780153499241</v>
      </c>
      <c r="E19" s="158">
        <f>経済前提!H60</f>
        <v>2.2999999999999998</v>
      </c>
      <c r="F19" s="158">
        <f>経済前提!M19</f>
        <v>0.8758203730315326</v>
      </c>
      <c r="G19" s="158">
        <f>経済前提!N19</f>
        <v>0.83254515052868483</v>
      </c>
      <c r="H19" s="158">
        <f t="shared" si="2"/>
        <v>2.0042350029705562</v>
      </c>
      <c r="I19" s="158">
        <f t="shared" si="3"/>
        <v>1.4674548494713151</v>
      </c>
      <c r="J19" s="158"/>
      <c r="K19" s="158">
        <f t="shared" si="10"/>
        <v>1.0787546219318174</v>
      </c>
      <c r="L19" s="158">
        <f t="shared" si="11"/>
        <v>1.0514335445180758</v>
      </c>
      <c r="M19" s="158">
        <f t="shared" ref="M19:M38" si="12">M18*(1+MAX(0,(H19))/100)</f>
        <v>1.0328217612397994</v>
      </c>
      <c r="N19" s="158">
        <f t="shared" ref="N19:N38" si="13">N18*(1+MAX(0,I19)/100)</f>
        <v>1.0255790886197542</v>
      </c>
      <c r="O19" s="158"/>
      <c r="P19" s="194">
        <f t="shared" si="6"/>
        <v>1.0274978225826965</v>
      </c>
      <c r="Q19" s="194">
        <f t="shared" si="7"/>
        <v>1.0112417962696847</v>
      </c>
      <c r="R19" s="194">
        <f t="shared" si="8"/>
        <v>1.0200423500297056</v>
      </c>
      <c r="S19" s="194">
        <f t="shared" si="9"/>
        <v>1.0146745484947131</v>
      </c>
      <c r="T19" s="62">
        <v>0.98867373303465067</v>
      </c>
      <c r="U19" s="158"/>
      <c r="V19" s="195">
        <f>T19*(1+人口等補正!D14)</f>
        <v>0.99101009516823257</v>
      </c>
      <c r="W19" s="130"/>
    </row>
    <row r="20" spans="1:23">
      <c r="A20" s="48">
        <f t="shared" si="5"/>
        <v>2022</v>
      </c>
      <c r="B20" s="158">
        <f>経済前提!G20</f>
        <v>3.8199624449899217</v>
      </c>
      <c r="C20" s="158">
        <f>経済前提!H20</f>
        <v>2</v>
      </c>
      <c r="D20" s="158">
        <f>経済前提!G61</f>
        <v>2.9025781596521583</v>
      </c>
      <c r="E20" s="158">
        <f>経済前提!H61</f>
        <v>2.1</v>
      </c>
      <c r="F20" s="158">
        <f>経済前提!M20</f>
        <v>0.88527171951755501</v>
      </c>
      <c r="G20" s="158">
        <f>経済前提!N20</f>
        <v>0.80787899582217515</v>
      </c>
      <c r="H20" s="158">
        <f t="shared" si="2"/>
        <v>2.0946991638299832</v>
      </c>
      <c r="I20" s="158">
        <f t="shared" si="3"/>
        <v>1.292121004177825</v>
      </c>
      <c r="J20" s="158"/>
      <c r="K20" s="158">
        <f t="shared" si="10"/>
        <v>1.1104127337722549</v>
      </c>
      <c r="L20" s="158">
        <f t="shared" si="11"/>
        <v>1.0631541715892978</v>
      </c>
      <c r="M20" s="158">
        <f t="shared" si="12"/>
        <v>1.0544562700363436</v>
      </c>
      <c r="N20" s="158">
        <f t="shared" si="13"/>
        <v>1.0388308114382654</v>
      </c>
      <c r="O20" s="158"/>
      <c r="P20" s="194">
        <f t="shared" si="6"/>
        <v>1.0293469072547237</v>
      </c>
      <c r="Q20" s="194">
        <f t="shared" si="7"/>
        <v>1.0111472828048245</v>
      </c>
      <c r="R20" s="194">
        <f t="shared" si="8"/>
        <v>1.0209469916382998</v>
      </c>
      <c r="S20" s="194">
        <f t="shared" si="9"/>
        <v>1.0129212100417782</v>
      </c>
      <c r="T20" s="62">
        <v>0.98780714076078724</v>
      </c>
      <c r="U20" s="158"/>
      <c r="V20" s="195">
        <f>T20*(1+人口等補正!D15)</f>
        <v>0.99083144607734253</v>
      </c>
      <c r="W20" s="130"/>
    </row>
    <row r="21" spans="1:23">
      <c r="A21" s="48">
        <f t="shared" si="5"/>
        <v>2023</v>
      </c>
      <c r="B21" s="158">
        <f>経済前提!G21</f>
        <v>3.869981706170722</v>
      </c>
      <c r="C21" s="158">
        <f>経済前提!H21</f>
        <v>2</v>
      </c>
      <c r="D21" s="158">
        <f>経済前提!G62</f>
        <v>2.9324107164884872</v>
      </c>
      <c r="E21" s="158">
        <f>経済前提!H62</f>
        <v>2</v>
      </c>
      <c r="F21" s="158">
        <f>経済前提!M21</f>
        <v>0.87245314830692844</v>
      </c>
      <c r="G21" s="158">
        <f>経済前提!N21</f>
        <v>0.80078405108235906</v>
      </c>
      <c r="H21" s="158">
        <f t="shared" si="2"/>
        <v>2.1316266654061282</v>
      </c>
      <c r="I21" s="158">
        <f t="shared" si="3"/>
        <v>1.1992159489176411</v>
      </c>
      <c r="J21" s="158"/>
      <c r="K21" s="158">
        <f t="shared" si="10"/>
        <v>1.1436976725772343</v>
      </c>
      <c r="L21" s="158">
        <f t="shared" si="11"/>
        <v>1.0751417329796966</v>
      </c>
      <c r="M21" s="158">
        <f t="shared" si="12"/>
        <v>1.0769333410634852</v>
      </c>
      <c r="N21" s="158">
        <f t="shared" si="13"/>
        <v>1.0512886362113034</v>
      </c>
      <c r="O21" s="158"/>
      <c r="P21" s="194">
        <f t="shared" si="6"/>
        <v>1.0299752855786379</v>
      </c>
      <c r="Q21" s="194">
        <f t="shared" si="7"/>
        <v>1.0112754685169307</v>
      </c>
      <c r="R21" s="194">
        <f t="shared" si="8"/>
        <v>1.0213162666540614</v>
      </c>
      <c r="S21" s="194">
        <f t="shared" si="9"/>
        <v>1.0119921594891763</v>
      </c>
      <c r="T21" s="62">
        <v>0.98569152595795528</v>
      </c>
      <c r="U21" s="158"/>
      <c r="V21" s="195">
        <f>T21*(1+人口等補正!D16)</f>
        <v>0.98938841686568813</v>
      </c>
      <c r="W21" s="130"/>
    </row>
    <row r="22" spans="1:23">
      <c r="A22" s="48">
        <f t="shared" si="5"/>
        <v>2024</v>
      </c>
      <c r="B22" s="158">
        <f>経済前提!G22</f>
        <v>3.9999192706473785</v>
      </c>
      <c r="C22" s="158">
        <f>経済前提!H22</f>
        <v>2</v>
      </c>
      <c r="D22" s="158">
        <f>経済前提!G63</f>
        <v>3.0985655974219872</v>
      </c>
      <c r="E22" s="158">
        <f>経済前提!H63</f>
        <v>2</v>
      </c>
      <c r="F22" s="158">
        <f>経済前提!M22</f>
        <v>0.86974086250504157</v>
      </c>
      <c r="G22" s="158">
        <f>経済前提!N22</f>
        <v>0.80499588091077456</v>
      </c>
      <c r="H22" s="158">
        <f t="shared" si="2"/>
        <v>2.2935697165112128</v>
      </c>
      <c r="I22" s="158">
        <f t="shared" si="3"/>
        <v>1.1950041190892255</v>
      </c>
      <c r="J22" s="158"/>
      <c r="K22" s="158">
        <f t="shared" si="10"/>
        <v>1.1794974501786732</v>
      </c>
      <c r="L22" s="158">
        <f t="shared" si="11"/>
        <v>1.0872936206577213</v>
      </c>
      <c r="M22" s="158">
        <f t="shared" si="12"/>
        <v>1.1016335580411298</v>
      </c>
      <c r="N22" s="158">
        <f t="shared" si="13"/>
        <v>1.0638515787175453</v>
      </c>
      <c r="O22" s="158"/>
      <c r="P22" s="194">
        <f t="shared" si="6"/>
        <v>1.0313017840814234</v>
      </c>
      <c r="Q22" s="194">
        <f t="shared" si="7"/>
        <v>1.0113025913749496</v>
      </c>
      <c r="R22" s="194">
        <f t="shared" si="8"/>
        <v>1.0229356971651122</v>
      </c>
      <c r="S22" s="194">
        <f t="shared" si="9"/>
        <v>1.0119500411908922</v>
      </c>
      <c r="T22" s="62">
        <v>0.98320386416297112</v>
      </c>
      <c r="U22" s="158"/>
      <c r="V22" s="195">
        <f>T22*(1+人口等補正!D17)</f>
        <v>0.98759456780641319</v>
      </c>
      <c r="W22" s="130"/>
    </row>
    <row r="23" spans="1:23">
      <c r="A23" s="48">
        <f t="shared" si="5"/>
        <v>2025</v>
      </c>
      <c r="B23" s="158">
        <f>経済前提!G23</f>
        <v>3.2404576210654401</v>
      </c>
      <c r="C23" s="158">
        <f>経済前提!H23</f>
        <v>1.2</v>
      </c>
      <c r="D23" s="158">
        <f>経済前提!G64</f>
        <v>3.2995433094022308</v>
      </c>
      <c r="E23" s="158">
        <f>経済前提!H64</f>
        <v>2</v>
      </c>
      <c r="F23" s="158">
        <f>経済前提!M23</f>
        <v>0.88978273657689377</v>
      </c>
      <c r="G23" s="158">
        <f>経済前提!N23</f>
        <v>0.83284913008183603</v>
      </c>
      <c r="H23" s="158">
        <f t="shared" si="2"/>
        <v>2.4666941793203949</v>
      </c>
      <c r="I23" s="158">
        <f t="shared" si="3"/>
        <v>1.1671508699181641</v>
      </c>
      <c r="J23" s="158"/>
      <c r="K23" s="158">
        <f t="shared" si="10"/>
        <v>1.2072236005032062</v>
      </c>
      <c r="L23" s="158">
        <f t="shared" si="11"/>
        <v>1.0906665931730997</v>
      </c>
      <c r="M23" s="158">
        <f t="shared" si="12"/>
        <v>1.1288074888947706</v>
      </c>
      <c r="N23" s="158">
        <f t="shared" si="13"/>
        <v>1.0762683316731854</v>
      </c>
      <c r="O23" s="158"/>
      <c r="P23" s="194">
        <f t="shared" si="6"/>
        <v>1.0235067488448855</v>
      </c>
      <c r="Q23" s="194">
        <f t="shared" si="7"/>
        <v>1.0031021726342311</v>
      </c>
      <c r="R23" s="194">
        <f t="shared" si="8"/>
        <v>1.0246669417932039</v>
      </c>
      <c r="S23" s="194">
        <f t="shared" si="9"/>
        <v>1.0116715086991817</v>
      </c>
      <c r="T23" s="62">
        <v>0.98839622923182924</v>
      </c>
      <c r="U23" s="158"/>
      <c r="V23" s="195">
        <f>T23*(1+人口等補正!D18)</f>
        <v>0.99343345161798569</v>
      </c>
      <c r="W23" s="130"/>
    </row>
    <row r="24" spans="1:23">
      <c r="A24" s="48">
        <f t="shared" si="5"/>
        <v>2026</v>
      </c>
      <c r="B24" s="158">
        <f>経済前提!G24</f>
        <v>3.051372927496887</v>
      </c>
      <c r="C24" s="158">
        <f>経済前提!H24</f>
        <v>1.2</v>
      </c>
      <c r="D24" s="158">
        <f>経済前提!G65</f>
        <v>3.4333225933477651</v>
      </c>
      <c r="E24" s="158">
        <f>経済前提!H65</f>
        <v>2</v>
      </c>
      <c r="F24" s="158">
        <f>経済前提!M24</f>
        <v>0.93845813954028778</v>
      </c>
      <c r="G24" s="158">
        <f>経済前提!N24</f>
        <v>0.88262276153503427</v>
      </c>
      <c r="H24" s="158">
        <f t="shared" si="2"/>
        <v>2.550699831812731</v>
      </c>
      <c r="I24" s="158">
        <f t="shared" si="3"/>
        <v>1.1173772384649658</v>
      </c>
      <c r="J24" s="158"/>
      <c r="K24" s="158">
        <f t="shared" si="10"/>
        <v>1.2327312064819407</v>
      </c>
      <c r="L24" s="158">
        <f t="shared" si="11"/>
        <v>1.093519142872297</v>
      </c>
      <c r="M24" s="158">
        <f t="shared" si="12"/>
        <v>1.157599979615499</v>
      </c>
      <c r="N24" s="158">
        <f t="shared" si="13"/>
        <v>1.0882943090361081</v>
      </c>
      <c r="O24" s="158"/>
      <c r="P24" s="194">
        <f t="shared" si="6"/>
        <v>1.0211291478795661</v>
      </c>
      <c r="Q24" s="194">
        <f t="shared" si="7"/>
        <v>1.002615418604597</v>
      </c>
      <c r="R24" s="194">
        <f t="shared" si="8"/>
        <v>1.0255069983181273</v>
      </c>
      <c r="S24" s="194">
        <f t="shared" si="9"/>
        <v>1.0111737723846497</v>
      </c>
      <c r="T24" s="62">
        <v>0.99392873596687337</v>
      </c>
      <c r="U24" s="158"/>
      <c r="V24" s="195">
        <f>T24*(1+人口等補正!D19)</f>
        <v>0.9996405084872162</v>
      </c>
      <c r="W24" s="130"/>
    </row>
    <row r="25" spans="1:23">
      <c r="A25" s="48">
        <f t="shared" si="5"/>
        <v>2027</v>
      </c>
      <c r="B25" s="158">
        <f>経済前提!G25</f>
        <v>2.7638041253013945</v>
      </c>
      <c r="C25" s="158">
        <f>経済前提!H25</f>
        <v>1.2</v>
      </c>
      <c r="D25" s="158">
        <f>経済前提!G66</f>
        <v>3.4666559255274842</v>
      </c>
      <c r="E25" s="158">
        <f>経済前提!H66</f>
        <v>2</v>
      </c>
      <c r="F25" s="158">
        <f>経済前提!M25</f>
        <v>0.99902366547713872</v>
      </c>
      <c r="G25" s="158">
        <f>経済前提!N25</f>
        <v>0.94191262090467209</v>
      </c>
      <c r="H25" s="158">
        <f t="shared" si="2"/>
        <v>2.5247433046228123</v>
      </c>
      <c r="I25" s="158">
        <f t="shared" si="3"/>
        <v>1.058087379095328</v>
      </c>
      <c r="J25" s="158"/>
      <c r="K25" s="158">
        <f t="shared" si="10"/>
        <v>1.2544862059360899</v>
      </c>
      <c r="L25" s="158">
        <f t="shared" si="11"/>
        <v>1.0957168575629475</v>
      </c>
      <c r="M25" s="158">
        <f t="shared" si="12"/>
        <v>1.1868264075951565</v>
      </c>
      <c r="N25" s="158">
        <f t="shared" si="13"/>
        <v>1.0998094137674317</v>
      </c>
      <c r="O25" s="158"/>
      <c r="P25" s="194">
        <f t="shared" si="6"/>
        <v>1.0176478045982427</v>
      </c>
      <c r="Q25" s="194">
        <f t="shared" si="7"/>
        <v>1.0020097633452285</v>
      </c>
      <c r="R25" s="194">
        <f t="shared" si="8"/>
        <v>1.0252474330462282</v>
      </c>
      <c r="S25" s="194">
        <f t="shared" si="9"/>
        <v>1.0105808737909532</v>
      </c>
      <c r="T25" s="62">
        <v>0.99997979646535895</v>
      </c>
      <c r="U25" s="158"/>
      <c r="V25" s="195">
        <f>T25*(1+人口等補正!D20)</f>
        <v>1.0063300513128</v>
      </c>
      <c r="W25" s="130"/>
    </row>
    <row r="26" spans="1:23">
      <c r="A26" s="48">
        <f t="shared" si="5"/>
        <v>2028</v>
      </c>
      <c r="B26" s="158">
        <f>経済前提!G26</f>
        <v>2.4999999999999911</v>
      </c>
      <c r="C26" s="158">
        <f>経済前提!H26</f>
        <v>1.2</v>
      </c>
      <c r="D26" s="158">
        <f>経済前提!G67</f>
        <v>3.499999999999992</v>
      </c>
      <c r="E26" s="158">
        <f>経済前提!H67</f>
        <v>2</v>
      </c>
      <c r="F26" s="158">
        <f>経済前提!M26</f>
        <v>1.0241540331095031</v>
      </c>
      <c r="G26" s="158">
        <f>経済前提!N26</f>
        <v>0.9672064532121657</v>
      </c>
      <c r="H26" s="158">
        <f t="shared" si="2"/>
        <v>2.5327935467878264</v>
      </c>
      <c r="I26" s="158">
        <f t="shared" si="3"/>
        <v>1.0327935467878344</v>
      </c>
      <c r="J26" s="158"/>
      <c r="K26" s="158">
        <f t="shared" si="10"/>
        <v>1.2730004900115954</v>
      </c>
      <c r="L26" s="158">
        <f t="shared" si="11"/>
        <v>1.0976436314655111</v>
      </c>
      <c r="M26" s="158">
        <f t="shared" si="12"/>
        <v>1.2168862702583005</v>
      </c>
      <c r="N26" s="158">
        <f t="shared" si="13"/>
        <v>1.1111681744197868</v>
      </c>
      <c r="O26" s="158"/>
      <c r="P26" s="194">
        <f t="shared" si="6"/>
        <v>1.014758459668905</v>
      </c>
      <c r="Q26" s="194">
        <f t="shared" si="7"/>
        <v>1.0017584596689049</v>
      </c>
      <c r="R26" s="194">
        <f t="shared" si="8"/>
        <v>1.0253279354678784</v>
      </c>
      <c r="S26" s="194">
        <f t="shared" si="9"/>
        <v>1.0103279354678782</v>
      </c>
      <c r="T26" s="62">
        <v>1.0066245629575168</v>
      </c>
      <c r="U26" s="158"/>
      <c r="V26" s="195">
        <f>T26*(1+人口等補正!D21)</f>
        <v>1.0136130718140004</v>
      </c>
      <c r="W26" s="130"/>
    </row>
    <row r="27" spans="1:23">
      <c r="A27" s="48">
        <f t="shared" si="5"/>
        <v>2029</v>
      </c>
      <c r="B27" s="158">
        <f>経済前提!G27</f>
        <v>2.4999999999999911</v>
      </c>
      <c r="C27" s="158">
        <f>経済前提!H27</f>
        <v>1.2</v>
      </c>
      <c r="D27" s="158">
        <f>経済前提!G68</f>
        <v>2.6882352941176357</v>
      </c>
      <c r="E27" s="158">
        <f>経済前提!H68</f>
        <v>1.2</v>
      </c>
      <c r="F27" s="158">
        <f>経済前提!M27</f>
        <v>1.0389786473034122</v>
      </c>
      <c r="G27" s="158">
        <f>経済前提!N27</f>
        <v>0.98053587857194169</v>
      </c>
      <c r="H27" s="158">
        <f t="shared" si="2"/>
        <v>1.7076994155456942</v>
      </c>
      <c r="I27" s="158">
        <f t="shared" si="3"/>
        <v>0.21946412142805827</v>
      </c>
      <c r="J27" s="158"/>
      <c r="K27" s="158">
        <f t="shared" si="10"/>
        <v>1.2915992989905971</v>
      </c>
      <c r="L27" s="158">
        <f t="shared" si="11"/>
        <v>1.0994110720886847</v>
      </c>
      <c r="M27" s="158">
        <f t="shared" si="12"/>
        <v>1.2376670299833574</v>
      </c>
      <c r="N27" s="158">
        <f t="shared" si="13"/>
        <v>1.1136067898913653</v>
      </c>
      <c r="O27" s="158"/>
      <c r="P27" s="194">
        <f t="shared" si="6"/>
        <v>1.0146102135269659</v>
      </c>
      <c r="Q27" s="194">
        <f t="shared" si="7"/>
        <v>1.0016102135269658</v>
      </c>
      <c r="R27" s="194">
        <f t="shared" si="8"/>
        <v>1.0170769941554569</v>
      </c>
      <c r="S27" s="194">
        <f t="shared" si="9"/>
        <v>1.0021946412142806</v>
      </c>
      <c r="T27" s="62">
        <v>1.0053851137698535</v>
      </c>
      <c r="U27" s="158"/>
      <c r="V27" s="195">
        <f>T27*(1+人口等補正!D22)</f>
        <v>1.0129985602076035</v>
      </c>
      <c r="W27" s="130"/>
    </row>
    <row r="28" spans="1:23">
      <c r="A28" s="48">
        <f t="shared" si="5"/>
        <v>2030</v>
      </c>
      <c r="B28" s="158">
        <f>経済前提!G28</f>
        <v>2.4999999999999911</v>
      </c>
      <c r="C28" s="158">
        <f>経済前提!H28</f>
        <v>1.2</v>
      </c>
      <c r="D28" s="158">
        <f>経済前提!G69</f>
        <v>2.6254518181521469</v>
      </c>
      <c r="E28" s="158">
        <f>経済前提!H69</f>
        <v>1.2</v>
      </c>
      <c r="F28" s="158">
        <f>経済前提!M28</f>
        <v>1.0867128152024617</v>
      </c>
      <c r="G28" s="158">
        <f>経済前提!N28</f>
        <v>1.0274501520656782</v>
      </c>
      <c r="H28" s="158">
        <f t="shared" si="2"/>
        <v>1.5980016660864687</v>
      </c>
      <c r="I28" s="158">
        <f t="shared" si="3"/>
        <v>0.17254984793432171</v>
      </c>
      <c r="J28" s="158"/>
      <c r="K28" s="158">
        <f t="shared" si="10"/>
        <v>1.309853306362166</v>
      </c>
      <c r="L28" s="158">
        <f t="shared" si="11"/>
        <v>1.1006565639416064</v>
      </c>
      <c r="M28" s="158">
        <f t="shared" si="12"/>
        <v>1.2574449697430945</v>
      </c>
      <c r="N28" s="158">
        <f t="shared" si="13"/>
        <v>1.115528316713909</v>
      </c>
      <c r="O28" s="158"/>
      <c r="P28" s="194">
        <f t="shared" si="6"/>
        <v>1.0141328718479754</v>
      </c>
      <c r="Q28" s="194">
        <f t="shared" si="7"/>
        <v>1.0011328718479753</v>
      </c>
      <c r="R28" s="194">
        <f t="shared" si="8"/>
        <v>1.0159800166608648</v>
      </c>
      <c r="S28" s="194">
        <f t="shared" si="9"/>
        <v>1.0017254984793431</v>
      </c>
      <c r="T28" s="62">
        <v>1.0041237084411103</v>
      </c>
      <c r="U28" s="158"/>
      <c r="V28" s="195">
        <f>T28*(1+人口等補正!D23)</f>
        <v>1.012278716812516</v>
      </c>
      <c r="W28" s="130"/>
    </row>
    <row r="29" spans="1:23">
      <c r="A29" s="48">
        <f t="shared" si="5"/>
        <v>2031</v>
      </c>
      <c r="B29" s="158">
        <f>経済前提!G29</f>
        <v>2.4999999999999911</v>
      </c>
      <c r="C29" s="158">
        <f>経済前提!H29</f>
        <v>1.2</v>
      </c>
      <c r="D29" s="158">
        <f>経済前提!G70</f>
        <v>2.5627067279359261</v>
      </c>
      <c r="E29" s="158">
        <f>経済前提!H70</f>
        <v>1.2</v>
      </c>
      <c r="F29" s="158">
        <f>経済前提!M29</f>
        <v>1.1777513702435181</v>
      </c>
      <c r="G29" s="158">
        <f>経済前提!N29</f>
        <v>1.1106318969463786</v>
      </c>
      <c r="H29" s="158">
        <f t="shared" si="2"/>
        <v>1.4520748309895475</v>
      </c>
      <c r="I29" s="158">
        <f t="shared" si="3"/>
        <v>8.9368103053621306E-2</v>
      </c>
      <c r="J29" s="158"/>
      <c r="K29" s="158">
        <f t="shared" si="10"/>
        <v>1.3271728237573597</v>
      </c>
      <c r="L29" s="158">
        <f t="shared" si="11"/>
        <v>1.1009014449454082</v>
      </c>
      <c r="M29" s="158">
        <f t="shared" si="12"/>
        <v>1.2757040116622782</v>
      </c>
      <c r="N29" s="158">
        <f t="shared" si="13"/>
        <v>1.1165252432095822</v>
      </c>
      <c r="O29" s="158"/>
      <c r="P29" s="194">
        <f t="shared" si="6"/>
        <v>1.0132224862975647</v>
      </c>
      <c r="Q29" s="194">
        <f t="shared" si="7"/>
        <v>1.0002224862975648</v>
      </c>
      <c r="R29" s="194">
        <f t="shared" si="8"/>
        <v>1.0145207483098955</v>
      </c>
      <c r="S29" s="194">
        <f t="shared" si="9"/>
        <v>1.0008936810305362</v>
      </c>
      <c r="T29" s="62">
        <v>1.0029641408275018</v>
      </c>
      <c r="U29" s="158"/>
      <c r="V29" s="195">
        <f>T29*(1+人口等補正!D24)</f>
        <v>1.011616026215586</v>
      </c>
      <c r="W29" s="130"/>
    </row>
    <row r="30" spans="1:23">
      <c r="A30" s="48">
        <f t="shared" si="5"/>
        <v>2032</v>
      </c>
      <c r="B30" s="158">
        <f>経済前提!G30</f>
        <v>2.4999999999999911</v>
      </c>
      <c r="C30" s="158">
        <f>経済前提!H30</f>
        <v>1.2</v>
      </c>
      <c r="D30" s="158">
        <f>経済前提!G71</f>
        <v>2.4999999999999911</v>
      </c>
      <c r="E30" s="158">
        <f>経済前提!H71</f>
        <v>1.2</v>
      </c>
      <c r="F30" s="158">
        <f>経済前提!M30</f>
        <v>1.2758569207331203</v>
      </c>
      <c r="G30" s="158">
        <f>経済前提!N30</f>
        <v>1.2043593424348238</v>
      </c>
      <c r="H30" s="158">
        <f t="shared" si="2"/>
        <v>1.2956406575651673</v>
      </c>
      <c r="I30" s="158">
        <f t="shared" si="3"/>
        <v>-4.3593424348238319E-3</v>
      </c>
      <c r="J30" s="158"/>
      <c r="K30" s="158">
        <f t="shared" si="10"/>
        <v>1.3434193180292962</v>
      </c>
      <c r="L30" s="158">
        <f t="shared" si="11"/>
        <v>1.1009014449454082</v>
      </c>
      <c r="M30" s="158">
        <f t="shared" si="12"/>
        <v>1.2922325515075648</v>
      </c>
      <c r="N30" s="158">
        <f t="shared" si="13"/>
        <v>1.1165252432095822</v>
      </c>
      <c r="O30" s="158"/>
      <c r="P30" s="194">
        <f t="shared" si="6"/>
        <v>1.0122414307926688</v>
      </c>
      <c r="Q30" s="194">
        <f t="shared" si="7"/>
        <v>1</v>
      </c>
      <c r="R30" s="194">
        <f t="shared" si="8"/>
        <v>1.0129564065756518</v>
      </c>
      <c r="S30" s="194">
        <f t="shared" si="9"/>
        <v>1</v>
      </c>
      <c r="T30" s="62">
        <v>1.0012261420490438</v>
      </c>
      <c r="U30" s="158"/>
      <c r="V30" s="195">
        <f>T30*(1+人口等補正!D25)</f>
        <v>1.0104300130061732</v>
      </c>
      <c r="W30" s="130"/>
    </row>
    <row r="31" spans="1:23">
      <c r="A31" s="48">
        <f t="shared" si="5"/>
        <v>2033</v>
      </c>
      <c r="B31" s="158">
        <f>経済前提!G31</f>
        <v>2.4999999999999911</v>
      </c>
      <c r="C31" s="158">
        <f>経済前提!H31</f>
        <v>1.2</v>
      </c>
      <c r="D31" s="158">
        <f>経済前提!G72</f>
        <v>2.4999999999999911</v>
      </c>
      <c r="E31" s="158">
        <f>経済前提!H72</f>
        <v>1.2</v>
      </c>
      <c r="F31" s="158">
        <f>経済前提!M31</f>
        <v>1.3624154138394127</v>
      </c>
      <c r="G31" s="158">
        <f>経済前提!N31</f>
        <v>1.2970916963162433</v>
      </c>
      <c r="H31" s="158">
        <f t="shared" si="2"/>
        <v>1.2029083036837478</v>
      </c>
      <c r="I31" s="158">
        <f t="shared" si="3"/>
        <v>-9.709169631624337E-2</v>
      </c>
      <c r="J31" s="158"/>
      <c r="K31" s="158">
        <f t="shared" si="10"/>
        <v>1.3587018491187011</v>
      </c>
      <c r="L31" s="158">
        <f t="shared" si="11"/>
        <v>1.1009014449454082</v>
      </c>
      <c r="M31" s="158">
        <f t="shared" si="12"/>
        <v>1.3077769241725536</v>
      </c>
      <c r="N31" s="158">
        <f t="shared" si="13"/>
        <v>1.1165252432095822</v>
      </c>
      <c r="O31" s="158"/>
      <c r="P31" s="194">
        <f t="shared" si="6"/>
        <v>1.0113758458616058</v>
      </c>
      <c r="Q31" s="194">
        <f t="shared" si="7"/>
        <v>1</v>
      </c>
      <c r="R31" s="194">
        <f t="shared" si="8"/>
        <v>1.0120290830368375</v>
      </c>
      <c r="S31" s="194">
        <f t="shared" si="9"/>
        <v>1</v>
      </c>
      <c r="T31" s="62">
        <v>0.99946113080665788</v>
      </c>
      <c r="U31" s="158"/>
      <c r="V31" s="195">
        <f>T31*(1+人口等補正!D26)</f>
        <v>1.0091286491275722</v>
      </c>
      <c r="W31" s="130"/>
    </row>
    <row r="32" spans="1:23">
      <c r="A32" s="48">
        <f t="shared" si="5"/>
        <v>2034</v>
      </c>
      <c r="B32" s="158">
        <f>経済前提!G32</f>
        <v>2.4999999999999911</v>
      </c>
      <c r="C32" s="158">
        <f>経済前提!H32</f>
        <v>1.2</v>
      </c>
      <c r="D32" s="158">
        <f>経済前提!G73</f>
        <v>2.4999999999999911</v>
      </c>
      <c r="E32" s="158">
        <f>経済前提!H73</f>
        <v>1.2</v>
      </c>
      <c r="F32" s="158">
        <f>経済前提!M32</f>
        <v>1.4773422182648319</v>
      </c>
      <c r="G32" s="158">
        <f>経済前提!N32</f>
        <v>1.4192173879588705</v>
      </c>
      <c r="H32" s="158">
        <f t="shared" si="2"/>
        <v>1.0807826120411206</v>
      </c>
      <c r="I32" s="158">
        <f t="shared" si="3"/>
        <v>-0.21921738795887058</v>
      </c>
      <c r="J32" s="158"/>
      <c r="K32" s="158">
        <f t="shared" si="10"/>
        <v>1.3725967193092929</v>
      </c>
      <c r="L32" s="158">
        <f t="shared" si="11"/>
        <v>1.1009014449454082</v>
      </c>
      <c r="M32" s="158">
        <f t="shared" si="12"/>
        <v>1.3219111497732967</v>
      </c>
      <c r="N32" s="158">
        <f t="shared" si="13"/>
        <v>1.1165252432095822</v>
      </c>
      <c r="O32" s="158"/>
      <c r="P32" s="194">
        <f t="shared" si="6"/>
        <v>1.0102265778173516</v>
      </c>
      <c r="Q32" s="194">
        <f t="shared" si="7"/>
        <v>1</v>
      </c>
      <c r="R32" s="194">
        <f t="shared" si="8"/>
        <v>1.0108078261204112</v>
      </c>
      <c r="S32" s="194">
        <f t="shared" si="9"/>
        <v>1</v>
      </c>
      <c r="T32" s="62">
        <v>0.99778666231999391</v>
      </c>
      <c r="U32" s="158"/>
      <c r="V32" s="195">
        <f>T32*(1+人口等補正!D27)</f>
        <v>1.0079217026587557</v>
      </c>
      <c r="W32" s="130"/>
    </row>
    <row r="33" spans="1:23">
      <c r="A33" s="48">
        <f t="shared" si="5"/>
        <v>2035</v>
      </c>
      <c r="B33" s="158">
        <f>経済前提!G33</f>
        <v>2.4999999999999911</v>
      </c>
      <c r="C33" s="158">
        <f>経済前提!H33</f>
        <v>1.2</v>
      </c>
      <c r="D33" s="158">
        <f>経済前提!G74</f>
        <v>2.4999999999999911</v>
      </c>
      <c r="E33" s="158">
        <f>経済前提!H74</f>
        <v>1.2</v>
      </c>
      <c r="F33" s="158">
        <f>経済前提!M33</f>
        <v>1.6079993535666135</v>
      </c>
      <c r="G33" s="158">
        <f>経済前提!N33</f>
        <v>1.5473880812889469</v>
      </c>
      <c r="H33" s="158">
        <f t="shared" si="2"/>
        <v>0.95261191871104423</v>
      </c>
      <c r="I33" s="158">
        <f t="shared" si="3"/>
        <v>-0.34738808128894694</v>
      </c>
      <c r="J33" s="158"/>
      <c r="K33" s="158">
        <f t="shared" si="10"/>
        <v>1.3848402909184552</v>
      </c>
      <c r="L33" s="158">
        <f t="shared" si="11"/>
        <v>1.1009014449454082</v>
      </c>
      <c r="M33" s="158">
        <f t="shared" si="12"/>
        <v>1.3345038329408074</v>
      </c>
      <c r="N33" s="158">
        <f t="shared" si="13"/>
        <v>1.1165252432095822</v>
      </c>
      <c r="O33" s="158"/>
      <c r="P33" s="194">
        <f t="shared" si="6"/>
        <v>1.0089200064643338</v>
      </c>
      <c r="Q33" s="194">
        <f t="shared" si="7"/>
        <v>1</v>
      </c>
      <c r="R33" s="194">
        <f t="shared" si="8"/>
        <v>1.0095261191871105</v>
      </c>
      <c r="S33" s="194">
        <f t="shared" si="9"/>
        <v>1</v>
      </c>
      <c r="T33" s="62">
        <v>0.99629588500612343</v>
      </c>
      <c r="U33" s="158"/>
      <c r="V33" s="195">
        <f>T33*(1+人口等補正!D28)</f>
        <v>1.0069014828995353</v>
      </c>
      <c r="W33" s="130"/>
    </row>
    <row r="34" spans="1:23">
      <c r="A34" s="48">
        <f t="shared" si="5"/>
        <v>2036</v>
      </c>
      <c r="B34" s="158">
        <f>経済前提!G34</f>
        <v>2.4999999999999911</v>
      </c>
      <c r="C34" s="158">
        <f>経済前提!H34</f>
        <v>1.2</v>
      </c>
      <c r="D34" s="158">
        <f>経済前提!G75</f>
        <v>2.4999999999999911</v>
      </c>
      <c r="E34" s="158">
        <f>経済前提!H75</f>
        <v>1.2</v>
      </c>
      <c r="F34" s="158">
        <f>経済前提!M34</f>
        <v>1.7192500682681742</v>
      </c>
      <c r="G34" s="158">
        <f>経済前提!N34</f>
        <v>1.6558810471991365</v>
      </c>
      <c r="H34" s="158">
        <f t="shared" si="2"/>
        <v>0.84411895280085458</v>
      </c>
      <c r="I34" s="158">
        <f t="shared" si="3"/>
        <v>-0.45588104719913658</v>
      </c>
      <c r="J34" s="158"/>
      <c r="K34" s="158">
        <f t="shared" si="10"/>
        <v>1.3956524305443958</v>
      </c>
      <c r="L34" s="158">
        <f t="shared" si="11"/>
        <v>1.1009014449454082</v>
      </c>
      <c r="M34" s="158">
        <f t="shared" si="12"/>
        <v>1.3457686327205147</v>
      </c>
      <c r="N34" s="158">
        <f t="shared" si="13"/>
        <v>1.1165252432095822</v>
      </c>
      <c r="O34" s="158"/>
      <c r="P34" s="194">
        <f t="shared" si="6"/>
        <v>1.0078074993173183</v>
      </c>
      <c r="Q34" s="194">
        <f t="shared" si="7"/>
        <v>1</v>
      </c>
      <c r="R34" s="194">
        <f t="shared" si="8"/>
        <v>1.0084411895280085</v>
      </c>
      <c r="S34" s="194">
        <f t="shared" si="9"/>
        <v>1</v>
      </c>
      <c r="T34" s="62">
        <v>0.99489974126054082</v>
      </c>
      <c r="U34" s="158"/>
      <c r="V34" s="195">
        <f>T34*(1+人口等補正!D29)</f>
        <v>1.0060546061801146</v>
      </c>
      <c r="W34" s="130"/>
    </row>
    <row r="35" spans="1:23">
      <c r="A35" s="48">
        <f t="shared" si="5"/>
        <v>2037</v>
      </c>
      <c r="B35" s="158">
        <f>経済前提!G35</f>
        <v>2.4999999999999911</v>
      </c>
      <c r="C35" s="158">
        <f>経済前提!H35</f>
        <v>1.2</v>
      </c>
      <c r="D35" s="158">
        <f>経済前提!G76</f>
        <v>2.4999999999999911</v>
      </c>
      <c r="E35" s="158">
        <f>経済前提!H76</f>
        <v>1.2</v>
      </c>
      <c r="F35" s="158">
        <f>経済前提!M35</f>
        <v>1.7860540859731209</v>
      </c>
      <c r="G35" s="158">
        <f>経済前提!N35</f>
        <v>1.7161537929100685</v>
      </c>
      <c r="H35" s="158">
        <f t="shared" si="2"/>
        <v>0.78384620708992259</v>
      </c>
      <c r="I35" s="158">
        <f t="shared" si="3"/>
        <v>-0.51615379291006858</v>
      </c>
      <c r="J35" s="158"/>
      <c r="K35" s="158">
        <f t="shared" si="10"/>
        <v>1.4056166340462841</v>
      </c>
      <c r="L35" s="158">
        <f t="shared" si="11"/>
        <v>1.1009014449454082</v>
      </c>
      <c r="M35" s="158">
        <f t="shared" si="12"/>
        <v>1.3563173891043006</v>
      </c>
      <c r="N35" s="158">
        <f t="shared" si="13"/>
        <v>1.1165252432095822</v>
      </c>
      <c r="O35" s="158"/>
      <c r="P35" s="194">
        <f t="shared" si="6"/>
        <v>1.0071394591402687</v>
      </c>
      <c r="Q35" s="194">
        <f t="shared" si="7"/>
        <v>1</v>
      </c>
      <c r="R35" s="194">
        <f t="shared" si="8"/>
        <v>1.0078384620708993</v>
      </c>
      <c r="S35" s="194">
        <f t="shared" si="9"/>
        <v>1</v>
      </c>
      <c r="T35" s="62">
        <v>0.99361036529163027</v>
      </c>
      <c r="U35" s="158"/>
      <c r="V35" s="195">
        <f>T35*(1+人口等補正!D30)</f>
        <v>1.0053587084396864</v>
      </c>
      <c r="W35" s="130"/>
    </row>
    <row r="36" spans="1:23">
      <c r="A36" s="48">
        <f t="shared" si="5"/>
        <v>2038</v>
      </c>
      <c r="B36" s="158">
        <f>経済前提!G36</f>
        <v>2.4999999999999911</v>
      </c>
      <c r="C36" s="158">
        <f>経済前提!H36</f>
        <v>1.2</v>
      </c>
      <c r="D36" s="158">
        <f>経済前提!G77</f>
        <v>2.4999999999999911</v>
      </c>
      <c r="E36" s="158">
        <f>経済前提!H77</f>
        <v>1.2</v>
      </c>
      <c r="F36" s="158">
        <f>経済前提!M36</f>
        <v>1.8129322691479264</v>
      </c>
      <c r="G36" s="158">
        <f>経済前提!N36</f>
        <v>1.7100153638000766</v>
      </c>
      <c r="H36" s="158">
        <f t="shared" si="2"/>
        <v>0.78998463619991455</v>
      </c>
      <c r="I36" s="158">
        <f t="shared" si="3"/>
        <v>-0.51001536380007662</v>
      </c>
      <c r="J36" s="158"/>
      <c r="K36" s="158">
        <f t="shared" si="10"/>
        <v>1.4152741723583053</v>
      </c>
      <c r="L36" s="158">
        <f t="shared" si="11"/>
        <v>1.1009014449454082</v>
      </c>
      <c r="M36" s="158">
        <f t="shared" si="12"/>
        <v>1.3670320880963325</v>
      </c>
      <c r="N36" s="158">
        <f t="shared" si="13"/>
        <v>1.1165252432095822</v>
      </c>
      <c r="O36" s="158"/>
      <c r="P36" s="194">
        <f t="shared" si="6"/>
        <v>1.0068706773085208</v>
      </c>
      <c r="Q36" s="194">
        <f t="shared" si="7"/>
        <v>1</v>
      </c>
      <c r="R36" s="194">
        <f t="shared" si="8"/>
        <v>1.0078998463619993</v>
      </c>
      <c r="S36" s="194">
        <f t="shared" si="9"/>
        <v>1</v>
      </c>
      <c r="T36" s="62">
        <v>0.99250616351888166</v>
      </c>
      <c r="U36" s="158"/>
      <c r="V36" s="195">
        <f>T36*(1+人口等補正!D31)</f>
        <v>1.0047858561993406</v>
      </c>
      <c r="W36" s="130"/>
    </row>
    <row r="37" spans="1:23">
      <c r="A37" s="48">
        <f t="shared" si="5"/>
        <v>2039</v>
      </c>
      <c r="B37" s="158">
        <f>経済前提!G37</f>
        <v>2.4999999999999911</v>
      </c>
      <c r="C37" s="158">
        <f>経済前提!H37</f>
        <v>1.2</v>
      </c>
      <c r="D37" s="158">
        <f>経済前提!G78</f>
        <v>2.4999999999999911</v>
      </c>
      <c r="E37" s="158">
        <f>経済前提!H78</f>
        <v>1.2</v>
      </c>
      <c r="F37" s="158">
        <f>経済前提!M37</f>
        <v>1.8331058901056794</v>
      </c>
      <c r="G37" s="158">
        <f>経済前提!N37</f>
        <v>1.6886451571020862</v>
      </c>
      <c r="H37" s="158">
        <f t="shared" si="2"/>
        <v>0.81135484289790494</v>
      </c>
      <c r="I37" s="158">
        <f t="shared" si="3"/>
        <v>-0.48864515710208623</v>
      </c>
      <c r="J37" s="158"/>
      <c r="K37" s="158">
        <f t="shared" si="10"/>
        <v>1.4247125524526183</v>
      </c>
      <c r="L37" s="158">
        <f t="shared" si="11"/>
        <v>1.1009014449454082</v>
      </c>
      <c r="M37" s="158">
        <f t="shared" si="12"/>
        <v>1.3781235691470706</v>
      </c>
      <c r="N37" s="158">
        <f t="shared" si="13"/>
        <v>1.1165252432095822</v>
      </c>
      <c r="O37" s="158"/>
      <c r="P37" s="194">
        <f t="shared" si="6"/>
        <v>1.0066689410989431</v>
      </c>
      <c r="Q37" s="194">
        <f t="shared" si="7"/>
        <v>1</v>
      </c>
      <c r="R37" s="194">
        <f t="shared" si="8"/>
        <v>1.0081135484289792</v>
      </c>
      <c r="S37" s="194">
        <f t="shared" si="9"/>
        <v>1</v>
      </c>
      <c r="T37" s="62">
        <v>0.99163636193829374</v>
      </c>
      <c r="U37" s="158"/>
      <c r="V37" s="195">
        <f>T37*(1+人口等補正!D32)</f>
        <v>1.004434273386936</v>
      </c>
      <c r="W37" s="130"/>
    </row>
    <row r="38" spans="1:23">
      <c r="A38" s="48">
        <f t="shared" si="5"/>
        <v>2040</v>
      </c>
      <c r="B38" s="158">
        <f>経済前提!G38</f>
        <v>2.4999999999999911</v>
      </c>
      <c r="C38" s="158">
        <f>経済前提!H38</f>
        <v>1.2</v>
      </c>
      <c r="D38" s="158">
        <f>経済前提!G79</f>
        <v>2.4999999999999911</v>
      </c>
      <c r="E38" s="158">
        <f>経済前提!H79</f>
        <v>1.2</v>
      </c>
      <c r="F38" s="158">
        <f>経済前提!M38</f>
        <v>1.8644130526473621</v>
      </c>
      <c r="G38" s="158">
        <f>経済前提!N38</f>
        <v>1.6830499090556557</v>
      </c>
      <c r="H38" s="158">
        <f t="shared" si="2"/>
        <v>0.81695009094433546</v>
      </c>
      <c r="I38" s="158">
        <f t="shared" si="3"/>
        <v>-0.4830499090556557</v>
      </c>
      <c r="J38" s="158"/>
      <c r="K38" s="158">
        <f t="shared" si="10"/>
        <v>1.4337678394733018</v>
      </c>
      <c r="L38" s="158">
        <f t="shared" si="11"/>
        <v>1.1009014449454082</v>
      </c>
      <c r="M38" s="158">
        <f t="shared" si="12"/>
        <v>1.3893821508985429</v>
      </c>
      <c r="N38" s="158">
        <f t="shared" si="13"/>
        <v>1.1165252432095822</v>
      </c>
      <c r="O38" s="158"/>
      <c r="P38" s="194">
        <f t="shared" si="6"/>
        <v>1.0063558694735264</v>
      </c>
      <c r="Q38" s="194">
        <f t="shared" si="7"/>
        <v>1</v>
      </c>
      <c r="R38" s="194">
        <f t="shared" si="8"/>
        <v>1.0081695009094434</v>
      </c>
      <c r="S38" s="194">
        <f t="shared" si="9"/>
        <v>1</v>
      </c>
      <c r="T38" s="62">
        <v>0.99100399907326697</v>
      </c>
      <c r="U38" s="158"/>
      <c r="V38" s="195">
        <f>T38*(1+人口等補正!D33)</f>
        <v>1.0042250252733147</v>
      </c>
      <c r="W38" s="130"/>
    </row>
    <row r="39" spans="1:23">
      <c r="G39" s="63"/>
      <c r="H39" s="63"/>
      <c r="I39" s="63"/>
      <c r="J39" s="63"/>
    </row>
    <row r="40" spans="1:23">
      <c r="G40" s="63"/>
      <c r="H40" s="63"/>
      <c r="I40" s="63"/>
      <c r="J40" s="63"/>
    </row>
    <row r="41" spans="1:23">
      <c r="G41" s="63"/>
      <c r="H41" s="63"/>
      <c r="I41" s="63"/>
      <c r="J41" s="63"/>
    </row>
    <row r="42" spans="1:23">
      <c r="G42" s="63"/>
      <c r="H42" s="63"/>
      <c r="I42" s="63"/>
      <c r="J42" s="63"/>
    </row>
    <row r="43" spans="1:23">
      <c r="G43" s="63"/>
      <c r="H43" s="63"/>
      <c r="I43" s="63"/>
      <c r="J43" s="63"/>
    </row>
  </sheetData>
  <mergeCells count="5">
    <mergeCell ref="P1:Q1"/>
    <mergeCell ref="P2:S2"/>
    <mergeCell ref="P3:Q3"/>
    <mergeCell ref="R3:S3"/>
    <mergeCell ref="F3:G3"/>
  </mergeCells>
  <phoneticPr fontId="1"/>
  <pageMargins left="0.31496062992125984" right="0.31496062992125984" top="0.15748031496062992" bottom="0.15748031496062992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"/>
  <sheetViews>
    <sheetView zoomScaleNormal="100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1" width="6.75" style="48" customWidth="1"/>
    <col min="2" max="3" width="9" style="48"/>
    <col min="4" max="4" width="7.5" style="48" customWidth="1"/>
    <col min="5" max="6" width="9" style="48"/>
    <col min="7" max="8" width="9.25" style="48" customWidth="1"/>
    <col min="9" max="13" width="9" style="48"/>
    <col min="14" max="14" width="7.75" style="48" customWidth="1"/>
    <col min="15" max="15" width="1.25" style="48" customWidth="1"/>
    <col min="16" max="16" width="9.25" style="48" customWidth="1"/>
    <col min="17" max="16384" width="9" style="48"/>
  </cols>
  <sheetData>
    <row r="1" spans="1:22">
      <c r="B1" s="48" t="s">
        <v>64</v>
      </c>
      <c r="M1" s="55" t="s">
        <v>72</v>
      </c>
    </row>
    <row r="2" spans="1:22">
      <c r="G2" s="48" t="s">
        <v>69</v>
      </c>
      <c r="I2" s="61" t="s">
        <v>42</v>
      </c>
      <c r="J2" s="191" t="s">
        <v>6</v>
      </c>
      <c r="K2" s="192"/>
      <c r="L2" s="192"/>
      <c r="M2" s="55" t="s">
        <v>10</v>
      </c>
      <c r="N2" s="55" t="s">
        <v>10</v>
      </c>
      <c r="P2" s="199" t="s">
        <v>125</v>
      </c>
      <c r="Q2" s="199"/>
      <c r="R2" s="199" t="s">
        <v>128</v>
      </c>
      <c r="S2" s="199"/>
      <c r="T2" s="191" t="s">
        <v>194</v>
      </c>
      <c r="U2" s="56"/>
    </row>
    <row r="3" spans="1:22">
      <c r="B3" s="55" t="s">
        <v>4</v>
      </c>
      <c r="C3" s="55" t="s">
        <v>41</v>
      </c>
      <c r="D3" s="55" t="s">
        <v>5</v>
      </c>
      <c r="E3" s="55" t="s">
        <v>39</v>
      </c>
      <c r="F3" s="58" t="s">
        <v>40</v>
      </c>
      <c r="G3" s="55" t="s">
        <v>85</v>
      </c>
      <c r="H3" s="55" t="s">
        <v>1</v>
      </c>
      <c r="I3" s="55" t="s">
        <v>7</v>
      </c>
      <c r="J3" s="56" t="s">
        <v>90</v>
      </c>
      <c r="K3" s="193"/>
      <c r="L3" s="193"/>
      <c r="M3" s="55" t="s">
        <v>3</v>
      </c>
      <c r="N3" s="55" t="s">
        <v>3</v>
      </c>
      <c r="P3" s="199" t="s">
        <v>126</v>
      </c>
      <c r="Q3" s="199" t="s">
        <v>193</v>
      </c>
      <c r="R3" s="199" t="s">
        <v>129</v>
      </c>
      <c r="S3" s="199" t="s">
        <v>127</v>
      </c>
      <c r="T3" s="191" t="s">
        <v>195</v>
      </c>
      <c r="U3" s="56"/>
    </row>
    <row r="4" spans="1:22">
      <c r="D4" s="55" t="s">
        <v>38</v>
      </c>
      <c r="G4" s="55"/>
      <c r="I4" s="55" t="s">
        <v>8</v>
      </c>
      <c r="J4" s="55" t="s">
        <v>8</v>
      </c>
      <c r="K4" s="193"/>
      <c r="L4" s="193"/>
      <c r="M4" s="55" t="s">
        <v>71</v>
      </c>
      <c r="N4" s="55" t="s">
        <v>70</v>
      </c>
      <c r="P4" s="199"/>
      <c r="Q4" s="198"/>
      <c r="R4" s="199"/>
      <c r="S4" s="198"/>
      <c r="T4" s="56"/>
      <c r="U4" s="56"/>
    </row>
    <row r="5" spans="1:22">
      <c r="A5" s="48">
        <v>2007</v>
      </c>
      <c r="B5" s="158"/>
      <c r="C5" s="158"/>
      <c r="D5" s="158"/>
      <c r="E5" s="158"/>
      <c r="F5" s="158"/>
      <c r="G5" s="158"/>
      <c r="H5" s="158"/>
      <c r="I5" s="160"/>
      <c r="J5" s="160"/>
      <c r="K5" s="158"/>
      <c r="L5" s="158"/>
      <c r="M5" s="158"/>
      <c r="N5" s="158"/>
      <c r="P5" s="59"/>
      <c r="Q5" s="59"/>
      <c r="R5" s="59"/>
      <c r="S5" s="59"/>
    </row>
    <row r="6" spans="1:22">
      <c r="A6" s="48">
        <f>A5+1</f>
        <v>2008</v>
      </c>
      <c r="B6" s="158">
        <v>1.4</v>
      </c>
      <c r="C6" s="158">
        <v>-0.49</v>
      </c>
      <c r="D6" s="158">
        <f t="shared" ref="D6:D38" si="0">((1+C6/100)/(1+B6/100)-1)*100</f>
        <v>-1.8639053254437932</v>
      </c>
      <c r="E6" s="158"/>
      <c r="F6" s="158">
        <v>-0.21197097075519311</v>
      </c>
      <c r="G6" s="158"/>
      <c r="H6" s="158"/>
      <c r="I6" s="160"/>
      <c r="J6" s="158">
        <v>0.999</v>
      </c>
      <c r="K6" s="158"/>
      <c r="L6" s="158"/>
      <c r="M6" s="158"/>
      <c r="N6" s="158"/>
      <c r="P6" s="59"/>
      <c r="Q6" s="59"/>
      <c r="R6" s="59"/>
      <c r="S6" s="59"/>
    </row>
    <row r="7" spans="1:22">
      <c r="A7" s="48">
        <f t="shared" ref="A7:A27" si="1">A6+1</f>
        <v>2009</v>
      </c>
      <c r="B7" s="158">
        <v>-1.4</v>
      </c>
      <c r="C7" s="158">
        <v>-3.03</v>
      </c>
      <c r="D7" s="158">
        <f t="shared" si="0"/>
        <v>-1.6531440162271815</v>
      </c>
      <c r="E7" s="158">
        <f>(POWER((1+D6/100)*(1+D7/100)*(1+D8/100),1/3)-1)*100</f>
        <v>-1.089674640455196</v>
      </c>
      <c r="F7" s="158">
        <v>-0.21242124212420554</v>
      </c>
      <c r="G7" s="158"/>
      <c r="H7" s="158"/>
      <c r="I7" s="160"/>
      <c r="J7" s="158">
        <v>0.997</v>
      </c>
      <c r="K7" s="158"/>
      <c r="L7" s="158"/>
      <c r="M7" s="158"/>
      <c r="N7" s="158"/>
      <c r="P7" s="59"/>
      <c r="Q7" s="59"/>
      <c r="R7" s="59"/>
      <c r="S7" s="59"/>
    </row>
    <row r="8" spans="1:22">
      <c r="A8" s="48">
        <f t="shared" si="1"/>
        <v>2010</v>
      </c>
      <c r="B8" s="158">
        <v>-0.7</v>
      </c>
      <c r="C8" s="158">
        <v>-0.44</v>
      </c>
      <c r="D8" s="158">
        <f t="shared" si="0"/>
        <v>0.26183282980867251</v>
      </c>
      <c r="E8" s="158">
        <f t="shared" ref="E8" si="2">(POWER((1+D7/100)*(1+D8/100)*(1+D9/100),1/3)-1)*100</f>
        <v>-0.39423796675185363</v>
      </c>
      <c r="F8" s="158">
        <v>-0.21287343050946372</v>
      </c>
      <c r="G8" s="158"/>
      <c r="H8" s="158"/>
      <c r="I8" s="160"/>
      <c r="J8" s="158">
        <v>1.008</v>
      </c>
      <c r="K8" s="158"/>
      <c r="L8" s="158"/>
      <c r="M8" s="158"/>
      <c r="N8" s="158"/>
      <c r="P8" s="59"/>
      <c r="Q8" s="59"/>
      <c r="R8" s="59"/>
      <c r="S8" s="59"/>
    </row>
    <row r="9" spans="1:22">
      <c r="A9" s="48">
        <f t="shared" si="1"/>
        <v>2011</v>
      </c>
      <c r="B9" s="158">
        <v>-0.3</v>
      </c>
      <c r="C9" s="158">
        <v>-0.08</v>
      </c>
      <c r="D9" s="158">
        <f t="shared" si="0"/>
        <v>0.22066198595787068</v>
      </c>
      <c r="E9" s="158">
        <f>(POWER((1+D8/100)*(1+D9/100)*(1+D10/100),1/3)-1)*100</f>
        <v>5.3813285784376497E-2</v>
      </c>
      <c r="F9" s="158">
        <v>-0.21332754817947608</v>
      </c>
      <c r="G9" s="158"/>
      <c r="H9" s="158"/>
      <c r="I9" s="160"/>
      <c r="J9" s="158">
        <v>0.98399999999999999</v>
      </c>
      <c r="K9" s="158"/>
      <c r="L9" s="158"/>
      <c r="M9" s="158"/>
      <c r="N9" s="158"/>
      <c r="P9" s="59"/>
      <c r="Q9" s="59"/>
      <c r="R9" s="59"/>
      <c r="S9" s="59"/>
    </row>
    <row r="10" spans="1:22">
      <c r="A10" s="48">
        <f t="shared" si="1"/>
        <v>2012</v>
      </c>
      <c r="B10" s="158">
        <v>0</v>
      </c>
      <c r="C10" s="158">
        <v>-0.32</v>
      </c>
      <c r="D10" s="158">
        <f t="shared" si="0"/>
        <v>-0.31999999999999806</v>
      </c>
      <c r="E10" s="158">
        <f>(POWER((1+D9/100)*(1+D10/100)*(1+D11/100),1/3)-1)*100</f>
        <v>-9.9782207956833346E-2</v>
      </c>
      <c r="F10" s="158">
        <v>-0.21378360750780034</v>
      </c>
      <c r="G10" s="158"/>
      <c r="H10" s="158"/>
      <c r="I10" s="160"/>
      <c r="J10" s="158">
        <v>0.96399999999999997</v>
      </c>
      <c r="K10" s="158"/>
      <c r="L10" s="158"/>
      <c r="M10" s="158"/>
      <c r="N10" s="158"/>
      <c r="P10" s="59"/>
      <c r="Q10" s="59"/>
      <c r="R10" s="59"/>
      <c r="S10" s="59"/>
    </row>
    <row r="11" spans="1:22">
      <c r="A11" s="48">
        <f t="shared" si="1"/>
        <v>2013</v>
      </c>
      <c r="B11" s="158">
        <v>0.4</v>
      </c>
      <c r="C11" s="158">
        <v>0.2</v>
      </c>
      <c r="D11" s="158">
        <f t="shared" si="0"/>
        <v>-0.19920318725099584</v>
      </c>
      <c r="E11" s="158">
        <f t="shared" ref="E11:E38" si="3">(POWER((1+D10/100)*(1+D11/100)*(1+D12/100),1/3)-1)*100</f>
        <v>-0.69479391672784274</v>
      </c>
      <c r="F11" s="158">
        <v>-0.21424162097388733</v>
      </c>
      <c r="G11" s="158"/>
      <c r="H11" s="158"/>
      <c r="I11" s="194">
        <f>ROUND((1+B9/100)*(1+E7/100),3)</f>
        <v>0.98599999999999999</v>
      </c>
      <c r="J11" s="158">
        <v>0.95099999999999996</v>
      </c>
      <c r="K11" s="158"/>
      <c r="L11" s="158"/>
      <c r="M11" s="158"/>
      <c r="N11" s="158"/>
      <c r="P11" s="49">
        <v>296612.103572583</v>
      </c>
      <c r="Q11" s="59"/>
      <c r="R11" s="59"/>
      <c r="S11" s="59"/>
    </row>
    <row r="12" spans="1:22">
      <c r="A12" s="48">
        <f t="shared" si="1"/>
        <v>2014</v>
      </c>
      <c r="B12" s="158">
        <v>2.6</v>
      </c>
      <c r="C12" s="158">
        <v>1</v>
      </c>
      <c r="D12" s="158">
        <f t="shared" si="0"/>
        <v>-1.5594541910331383</v>
      </c>
      <c r="E12" s="158">
        <f t="shared" si="3"/>
        <v>-0.66290895375764602</v>
      </c>
      <c r="F12" s="158">
        <v>-0.21470160116449089</v>
      </c>
      <c r="G12" s="158"/>
      <c r="H12" s="158"/>
      <c r="I12" s="194">
        <f>ROUND((1+B10/100)*(1+E8/100),3)</f>
        <v>0.996</v>
      </c>
      <c r="J12" s="158">
        <v>0.94699999999999995</v>
      </c>
      <c r="K12" s="158"/>
      <c r="L12" s="158"/>
      <c r="M12" s="158"/>
      <c r="N12" s="158"/>
      <c r="P12" s="49">
        <v>304712.62221812998</v>
      </c>
      <c r="Q12" s="57">
        <f>P12/P11-1</f>
        <v>2.731014192603487E-2</v>
      </c>
      <c r="R12" s="53">
        <v>39.175556</v>
      </c>
      <c r="S12" s="59"/>
    </row>
    <row r="13" spans="1:22">
      <c r="A13" s="48">
        <f t="shared" si="1"/>
        <v>2015</v>
      </c>
      <c r="B13" s="158">
        <v>2.7</v>
      </c>
      <c r="C13" s="158">
        <v>2.4700000000000002</v>
      </c>
      <c r="D13" s="158">
        <f t="shared" si="0"/>
        <v>-0.22395326192794496</v>
      </c>
      <c r="E13" s="158">
        <f t="shared" si="3"/>
        <v>-0.65496818667341028</v>
      </c>
      <c r="F13" s="158">
        <v>-0.21516356077457832</v>
      </c>
      <c r="G13" s="158"/>
      <c r="H13" s="158"/>
      <c r="I13" s="194">
        <f>ROUND((1+B11/100)*(1+E9/100),3)</f>
        <v>1.0049999999999999</v>
      </c>
      <c r="J13" s="158">
        <v>0.95199999999999996</v>
      </c>
      <c r="K13" s="158" t="s">
        <v>142</v>
      </c>
      <c r="L13" s="158"/>
      <c r="M13" s="158">
        <v>1.0531423592843645</v>
      </c>
      <c r="N13" s="158">
        <v>0.90120092312293532</v>
      </c>
      <c r="P13" s="49">
        <v>317004.805031228</v>
      </c>
      <c r="Q13" s="57">
        <f t="shared" ref="Q13:S38" si="4">P13/P12-1</f>
        <v>4.0340248210323892E-2</v>
      </c>
      <c r="R13" s="53">
        <v>39.233595999999999</v>
      </c>
      <c r="S13" s="57">
        <f t="shared" si="4"/>
        <v>1.4815360884730122E-3</v>
      </c>
    </row>
    <row r="14" spans="1:22">
      <c r="A14" s="48">
        <f t="shared" si="1"/>
        <v>2016</v>
      </c>
      <c r="B14" s="158">
        <v>2.7</v>
      </c>
      <c r="C14" s="158">
        <v>2.52</v>
      </c>
      <c r="D14" s="158">
        <f t="shared" si="0"/>
        <v>-0.17526777020447915</v>
      </c>
      <c r="E14" s="158">
        <f t="shared" si="3"/>
        <v>0.30791366833264888</v>
      </c>
      <c r="F14" s="158">
        <v>-0.21562751260872925</v>
      </c>
      <c r="G14" s="158">
        <f t="shared" ref="G14:G38" si="5">MAX(((1+E11/100)*(1+B13/100)*(1+F11/100)-1)*100,0)</f>
        <v>1.7679492310491929</v>
      </c>
      <c r="H14" s="158">
        <f t="shared" ref="H14:H38" si="6">MIN(G14,B13)</f>
        <v>1.7679492310491929</v>
      </c>
      <c r="I14" s="194">
        <f>ROUND((1+B12/100)*(1+E10/100),3)</f>
        <v>1.0249999999999999</v>
      </c>
      <c r="J14" s="158">
        <v>0.97599999999999998</v>
      </c>
      <c r="K14" s="158" t="s">
        <v>67</v>
      </c>
      <c r="L14" s="158" t="s">
        <v>68</v>
      </c>
      <c r="M14" s="158">
        <v>1.1144593578355064</v>
      </c>
      <c r="N14" s="158">
        <v>0.73335596598308439</v>
      </c>
      <c r="P14" s="49">
        <v>332309.31908182101</v>
      </c>
      <c r="Q14" s="57">
        <f t="shared" si="4"/>
        <v>4.8278492337317624E-2</v>
      </c>
      <c r="R14" s="53">
        <v>39.425734000000006</v>
      </c>
      <c r="S14" s="57">
        <f t="shared" si="4"/>
        <v>4.8972824209130295E-3</v>
      </c>
      <c r="T14" s="48" t="s">
        <v>140</v>
      </c>
    </row>
    <row r="15" spans="1:22">
      <c r="A15" s="48">
        <f t="shared" si="1"/>
        <v>2017</v>
      </c>
      <c r="B15" s="158">
        <v>2.2000000000000002</v>
      </c>
      <c r="C15" s="158">
        <v>3.56</v>
      </c>
      <c r="D15" s="158">
        <f t="shared" si="0"/>
        <v>1.3307240704500956</v>
      </c>
      <c r="E15" s="158">
        <f t="shared" si="3"/>
        <v>0.94725222962170896</v>
      </c>
      <c r="F15" s="158">
        <v>-7.2031156527374574E-2</v>
      </c>
      <c r="G15" s="158">
        <f t="shared" si="5"/>
        <v>1.8001556646886741</v>
      </c>
      <c r="H15" s="158">
        <f t="shared" si="6"/>
        <v>1.8001556646886741</v>
      </c>
      <c r="I15" s="194">
        <f t="shared" ref="I15:I38" si="7">(1+B13/100)*(1+E11/100)</f>
        <v>1.019864466475205</v>
      </c>
      <c r="J15" s="158">
        <f>I15*J14</f>
        <v>0.99538771927980008</v>
      </c>
      <c r="K15" s="158">
        <v>1</v>
      </c>
      <c r="L15" s="158"/>
      <c r="M15" s="158">
        <v>1.1055742615235784</v>
      </c>
      <c r="N15" s="158">
        <v>0.53273982819750354</v>
      </c>
      <c r="P15" s="49">
        <v>348171.17956947302</v>
      </c>
      <c r="Q15" s="57">
        <f t="shared" si="4"/>
        <v>4.7732216873961564E-2</v>
      </c>
      <c r="R15" s="53">
        <v>39.599392000000002</v>
      </c>
      <c r="S15" s="57">
        <f t="shared" si="4"/>
        <v>4.404686543058256E-3</v>
      </c>
      <c r="T15" s="57">
        <f>Q15-S15</f>
        <v>4.3327530330903308E-2</v>
      </c>
      <c r="U15" s="57"/>
    </row>
    <row r="16" spans="1:22">
      <c r="A16" s="48">
        <f t="shared" si="1"/>
        <v>2018</v>
      </c>
      <c r="B16" s="158">
        <v>2</v>
      </c>
      <c r="C16" s="158">
        <v>3.73</v>
      </c>
      <c r="D16" s="158">
        <f t="shared" si="0"/>
        <v>1.6960784313725608</v>
      </c>
      <c r="E16" s="158">
        <f t="shared" si="3"/>
        <v>1.593728069903122</v>
      </c>
      <c r="F16" s="158">
        <v>0</v>
      </c>
      <c r="G16" s="158">
        <f t="shared" si="5"/>
        <v>1.3121656105437474</v>
      </c>
      <c r="H16" s="158">
        <f t="shared" si="6"/>
        <v>1.3121656105437474</v>
      </c>
      <c r="I16" s="194">
        <f t="shared" si="7"/>
        <v>1.020191925044909</v>
      </c>
      <c r="J16" s="158">
        <f t="shared" ref="J16:J38" si="8">I16*J15</f>
        <v>1.0154865134981206</v>
      </c>
      <c r="K16" s="158">
        <v>1</v>
      </c>
      <c r="L16" s="158">
        <f>AVERAGE(K15:K16)</f>
        <v>1</v>
      </c>
      <c r="M16" s="158">
        <v>1.0018335820984323</v>
      </c>
      <c r="N16" s="158">
        <v>0.32214019848313374</v>
      </c>
      <c r="P16" s="49">
        <v>363223.50578900898</v>
      </c>
      <c r="Q16" s="57">
        <f t="shared" si="4"/>
        <v>4.3232545089311403E-2</v>
      </c>
      <c r="R16" s="53">
        <v>39.634062999999998</v>
      </c>
      <c r="S16" s="57">
        <f t="shared" si="4"/>
        <v>8.7554374572196281E-4</v>
      </c>
      <c r="T16" s="57">
        <f t="shared" ref="T16:T38" si="9">Q16-S16</f>
        <v>4.235700134358944E-2</v>
      </c>
      <c r="U16" s="53">
        <f>POWER((1+T15)*(1+T16),1/2)</f>
        <v>1.0428421529334788</v>
      </c>
      <c r="V16" s="161">
        <v>1</v>
      </c>
    </row>
    <row r="17" spans="1:22">
      <c r="A17" s="48">
        <f t="shared" si="1"/>
        <v>2019</v>
      </c>
      <c r="B17" s="158">
        <v>2</v>
      </c>
      <c r="C17" s="158">
        <v>3.79</v>
      </c>
      <c r="D17" s="158">
        <f t="shared" si="0"/>
        <v>1.7549019607843164</v>
      </c>
      <c r="E17" s="158">
        <f t="shared" si="3"/>
        <v>1.7842769068528552</v>
      </c>
      <c r="F17" s="158">
        <v>0</v>
      </c>
      <c r="G17" s="158">
        <f t="shared" si="5"/>
        <v>2.0934546533227127</v>
      </c>
      <c r="H17" s="158">
        <f t="shared" si="6"/>
        <v>2</v>
      </c>
      <c r="I17" s="194">
        <f t="shared" si="7"/>
        <v>1.0153062251321978</v>
      </c>
      <c r="J17" s="158">
        <f t="shared" si="8"/>
        <v>1.0310297786924334</v>
      </c>
      <c r="K17" s="158">
        <f t="shared" ref="K17:K38" si="10">K16*I17</f>
        <v>1.0153062251321978</v>
      </c>
      <c r="L17" s="158">
        <f t="shared" ref="L17:L38" si="11">AVERAGE(K16:K17)</f>
        <v>1.007653112566099</v>
      </c>
      <c r="M17" s="158">
        <v>0.87827779929986449</v>
      </c>
      <c r="N17" s="158">
        <f>マクロ経済スライド!K11*(-100)</f>
        <v>0.44415913909375798</v>
      </c>
      <c r="P17" s="49">
        <v>377696.44580823497</v>
      </c>
      <c r="Q17" s="57">
        <f t="shared" si="4"/>
        <v>3.9845824371380623E-2</v>
      </c>
      <c r="R17" s="53">
        <v>39.672004999999999</v>
      </c>
      <c r="S17" s="57">
        <f t="shared" si="4"/>
        <v>9.573078591513795E-4</v>
      </c>
      <c r="T17" s="57">
        <f t="shared" si="9"/>
        <v>3.8888516512229243E-2</v>
      </c>
      <c r="U17" s="53">
        <f t="shared" ref="U17:U38" si="12">POWER((1+T16)*(1+T17),1/2)</f>
        <v>1.0406213138322593</v>
      </c>
      <c r="V17" s="161">
        <f t="shared" ref="V17:V38" si="13">V16*U17</f>
        <v>1.0406213138322593</v>
      </c>
    </row>
    <row r="18" spans="1:22">
      <c r="A18" s="48">
        <f t="shared" si="1"/>
        <v>2020</v>
      </c>
      <c r="B18" s="158">
        <v>2</v>
      </c>
      <c r="C18" s="158">
        <v>3.94</v>
      </c>
      <c r="D18" s="158">
        <f t="shared" si="0"/>
        <v>1.9019607843137276</v>
      </c>
      <c r="E18" s="158">
        <f t="shared" si="3"/>
        <v>1.833315398206592</v>
      </c>
      <c r="F18" s="158">
        <v>0</v>
      </c>
      <c r="G18" s="158">
        <f t="shared" si="5"/>
        <v>2.8920295314852629</v>
      </c>
      <c r="H18" s="158">
        <f t="shared" si="6"/>
        <v>2</v>
      </c>
      <c r="I18" s="194">
        <f t="shared" si="7"/>
        <v>1.023140719416993</v>
      </c>
      <c r="J18" s="158">
        <f t="shared" si="8"/>
        <v>1.0548885495117195</v>
      </c>
      <c r="K18" s="158">
        <f t="shared" si="10"/>
        <v>1.0388011416103085</v>
      </c>
      <c r="L18" s="158">
        <f t="shared" si="11"/>
        <v>1.0270536833712531</v>
      </c>
      <c r="M18" s="158">
        <v>0.86493605025669251</v>
      </c>
      <c r="N18" s="158">
        <f>マクロ経済スライド!K12*(-100)</f>
        <v>0.59995926211425776</v>
      </c>
      <c r="P18" s="49">
        <v>392621.78938714601</v>
      </c>
      <c r="Q18" s="57">
        <f t="shared" si="4"/>
        <v>3.9516770000237011E-2</v>
      </c>
      <c r="R18" s="53">
        <v>39.701892000000001</v>
      </c>
      <c r="S18" s="57">
        <f t="shared" si="4"/>
        <v>7.533523954739163E-4</v>
      </c>
      <c r="T18" s="57">
        <f t="shared" si="9"/>
        <v>3.8763417604763095E-2</v>
      </c>
      <c r="U18" s="53">
        <f t="shared" si="12"/>
        <v>1.0388259651753924</v>
      </c>
      <c r="V18" s="161">
        <f t="shared" si="13"/>
        <v>1.0810244407238816</v>
      </c>
    </row>
    <row r="19" spans="1:22">
      <c r="A19" s="48">
        <f t="shared" si="1"/>
        <v>2021</v>
      </c>
      <c r="B19" s="158">
        <v>2</v>
      </c>
      <c r="C19" s="158">
        <v>3.88</v>
      </c>
      <c r="D19" s="158">
        <f t="shared" si="0"/>
        <v>1.8431372549019498</v>
      </c>
      <c r="E19" s="158">
        <f t="shared" si="3"/>
        <v>1.9607051673013576</v>
      </c>
      <c r="F19" s="158">
        <v>0</v>
      </c>
      <c r="G19" s="158">
        <f t="shared" si="5"/>
        <v>3.6256026313011835</v>
      </c>
      <c r="H19" s="158">
        <f t="shared" si="6"/>
        <v>2</v>
      </c>
      <c r="I19" s="194">
        <f t="shared" si="7"/>
        <v>1.0296619727421414</v>
      </c>
      <c r="J19" s="158">
        <f t="shared" si="8"/>
        <v>1.0861786249133332</v>
      </c>
      <c r="K19" s="158">
        <f t="shared" si="10"/>
        <v>1.0696140327572587</v>
      </c>
      <c r="L19" s="158">
        <f t="shared" si="11"/>
        <v>1.0542075871837837</v>
      </c>
      <c r="M19" s="158">
        <v>0.8758203730315326</v>
      </c>
      <c r="N19" s="158">
        <f>マクロ経済スライド!K13*(-100)</f>
        <v>0.83254515052868483</v>
      </c>
      <c r="P19" s="49">
        <v>407838.36358393898</v>
      </c>
      <c r="Q19" s="57">
        <f t="shared" si="4"/>
        <v>3.8756316149811676E-2</v>
      </c>
      <c r="R19" s="53">
        <v>39.699296000000004</v>
      </c>
      <c r="S19" s="57">
        <f t="shared" si="4"/>
        <v>-6.5387312020215305E-5</v>
      </c>
      <c r="T19" s="57">
        <f t="shared" si="9"/>
        <v>3.8821703461831891E-2</v>
      </c>
      <c r="U19" s="53">
        <f t="shared" si="12"/>
        <v>1.0387925601245007</v>
      </c>
      <c r="V19" s="161">
        <f t="shared" si="13"/>
        <v>1.1229601463367176</v>
      </c>
    </row>
    <row r="20" spans="1:22">
      <c r="A20" s="48">
        <f t="shared" si="1"/>
        <v>2022</v>
      </c>
      <c r="B20" s="158">
        <v>2</v>
      </c>
      <c r="C20" s="158">
        <v>4.18</v>
      </c>
      <c r="D20" s="158">
        <f t="shared" si="0"/>
        <v>2.1372549019607945</v>
      </c>
      <c r="E20" s="158">
        <f t="shared" si="3"/>
        <v>2.0162624714085364</v>
      </c>
      <c r="F20" s="158">
        <v>0</v>
      </c>
      <c r="G20" s="158">
        <f t="shared" si="5"/>
        <v>3.8199624449899217</v>
      </c>
      <c r="H20" s="158">
        <f t="shared" si="6"/>
        <v>2</v>
      </c>
      <c r="I20" s="194">
        <f t="shared" si="7"/>
        <v>1.0362560263130118</v>
      </c>
      <c r="J20" s="158">
        <f t="shared" si="8"/>
        <v>1.1255591457188221</v>
      </c>
      <c r="K20" s="158">
        <f t="shared" si="10"/>
        <v>1.1083939872736726</v>
      </c>
      <c r="L20" s="158">
        <f t="shared" si="11"/>
        <v>1.0890040100154657</v>
      </c>
      <c r="M20" s="158">
        <v>0.88527171951755501</v>
      </c>
      <c r="N20" s="158">
        <f>マクロ経済スライド!K14*(-100)</f>
        <v>0.80787899582217515</v>
      </c>
      <c r="P20" s="49">
        <v>423881.57429066702</v>
      </c>
      <c r="Q20" s="57">
        <f t="shared" si="4"/>
        <v>3.9337178988621879E-2</v>
      </c>
      <c r="R20" s="53">
        <v>39.681384000000001</v>
      </c>
      <c r="S20" s="57">
        <f t="shared" si="4"/>
        <v>-4.5119188007769484E-4</v>
      </c>
      <c r="T20" s="57">
        <f t="shared" si="9"/>
        <v>3.9788370868699574E-2</v>
      </c>
      <c r="U20" s="53">
        <f t="shared" si="12"/>
        <v>1.0393049247769517</v>
      </c>
      <c r="V20" s="161">
        <f t="shared" si="13"/>
        <v>1.1670980104159969</v>
      </c>
    </row>
    <row r="21" spans="1:22">
      <c r="A21" s="48">
        <f t="shared" si="1"/>
        <v>2023</v>
      </c>
      <c r="B21" s="158">
        <v>2</v>
      </c>
      <c r="C21" s="158">
        <v>4.1100000000000003</v>
      </c>
      <c r="D21" s="158">
        <f t="shared" si="0"/>
        <v>2.0686274509803759</v>
      </c>
      <c r="E21" s="158">
        <f t="shared" si="3"/>
        <v>1.8294198888309188</v>
      </c>
      <c r="F21" s="158">
        <v>0</v>
      </c>
      <c r="G21" s="158">
        <f t="shared" si="5"/>
        <v>3.869981706170722</v>
      </c>
      <c r="H21" s="158">
        <f t="shared" si="6"/>
        <v>2</v>
      </c>
      <c r="I21" s="194">
        <f t="shared" si="7"/>
        <v>1.0381996244498992</v>
      </c>
      <c r="J21" s="158">
        <f t="shared" si="8"/>
        <v>1.1685550823814306</v>
      </c>
      <c r="K21" s="158">
        <f t="shared" si="10"/>
        <v>1.1507342213300533</v>
      </c>
      <c r="L21" s="158">
        <f t="shared" si="11"/>
        <v>1.1295641043018629</v>
      </c>
      <c r="M21" s="158">
        <v>0.87245314830692844</v>
      </c>
      <c r="N21" s="158">
        <f>マクロ経済スライド!K15*(-100)</f>
        <v>0.80078405108235906</v>
      </c>
      <c r="P21" s="49">
        <v>440908.97481092002</v>
      </c>
      <c r="Q21" s="57">
        <f t="shared" si="4"/>
        <v>4.0170183261084347E-2</v>
      </c>
      <c r="R21" s="53">
        <v>39.659552000000005</v>
      </c>
      <c r="S21" s="57">
        <f t="shared" si="4"/>
        <v>-5.5018242307269816E-4</v>
      </c>
      <c r="T21" s="57">
        <f t="shared" si="9"/>
        <v>4.0720365684157045E-2</v>
      </c>
      <c r="U21" s="53">
        <f t="shared" si="12"/>
        <v>1.04025426390119</v>
      </c>
      <c r="V21" s="161">
        <f t="shared" si="13"/>
        <v>1.2140786817258362</v>
      </c>
    </row>
    <row r="22" spans="1:22">
      <c r="A22" s="48">
        <f t="shared" si="1"/>
        <v>2024</v>
      </c>
      <c r="B22" s="158">
        <v>1.2</v>
      </c>
      <c r="C22" s="158">
        <v>2.5</v>
      </c>
      <c r="D22" s="158">
        <f t="shared" si="0"/>
        <v>1.2845849802371356</v>
      </c>
      <c r="E22" s="158">
        <f t="shared" si="3"/>
        <v>1.5452609933808148</v>
      </c>
      <c r="F22" s="158">
        <v>0</v>
      </c>
      <c r="G22" s="158">
        <f t="shared" si="5"/>
        <v>3.9999192706473785</v>
      </c>
      <c r="H22" s="158">
        <f t="shared" si="6"/>
        <v>2</v>
      </c>
      <c r="I22" s="194">
        <f t="shared" si="7"/>
        <v>1.0386998170617072</v>
      </c>
      <c r="J22" s="158">
        <f t="shared" si="8"/>
        <v>1.2137779502961201</v>
      </c>
      <c r="K22" s="158">
        <f t="shared" si="10"/>
        <v>1.1952674251821724</v>
      </c>
      <c r="L22" s="158">
        <f t="shared" si="11"/>
        <v>1.1730008232561129</v>
      </c>
      <c r="M22" s="158">
        <v>0.86974086250504157</v>
      </c>
      <c r="N22" s="158">
        <f>マクロ経済スライド!K16*(-100)</f>
        <v>0.80499588091077456</v>
      </c>
      <c r="P22" s="49">
        <v>454526.40361919499</v>
      </c>
      <c r="Q22" s="57">
        <f t="shared" si="4"/>
        <v>3.0884898213094258E-2</v>
      </c>
      <c r="R22" s="53">
        <v>39.623867999999995</v>
      </c>
      <c r="S22" s="57">
        <f t="shared" si="4"/>
        <v>-8.9975802046404763E-4</v>
      </c>
      <c r="T22" s="57">
        <f t="shared" si="9"/>
        <v>3.1784656233558306E-2</v>
      </c>
      <c r="U22" s="53">
        <f t="shared" si="12"/>
        <v>1.0362428792241185</v>
      </c>
      <c r="V22" s="161">
        <f t="shared" si="13"/>
        <v>1.2580803887562026</v>
      </c>
    </row>
    <row r="23" spans="1:22">
      <c r="A23" s="48">
        <f t="shared" si="1"/>
        <v>2025</v>
      </c>
      <c r="B23" s="158">
        <v>1.2</v>
      </c>
      <c r="C23" s="158">
        <v>2.5</v>
      </c>
      <c r="D23" s="158">
        <f t="shared" si="0"/>
        <v>1.2845849802371356</v>
      </c>
      <c r="E23" s="158">
        <f t="shared" si="3"/>
        <v>1.2845849802371356</v>
      </c>
      <c r="F23" s="158">
        <v>0</v>
      </c>
      <c r="G23" s="158">
        <f t="shared" si="5"/>
        <v>3.2404576210654401</v>
      </c>
      <c r="H23" s="158">
        <f t="shared" si="6"/>
        <v>1.2</v>
      </c>
      <c r="I23" s="194">
        <f t="shared" si="7"/>
        <v>1.0399991927064738</v>
      </c>
      <c r="J23" s="158">
        <f t="shared" si="8"/>
        <v>1.2623280884328834</v>
      </c>
      <c r="K23" s="158">
        <f t="shared" si="10"/>
        <v>1.243077157257805</v>
      </c>
      <c r="L23" s="158">
        <f t="shared" si="11"/>
        <v>1.2191722912199887</v>
      </c>
      <c r="M23" s="158">
        <v>0.88978273657689377</v>
      </c>
      <c r="N23" s="158">
        <f>マクロ経済スライド!K17*(-100)</f>
        <v>0.83284913008183603</v>
      </c>
      <c r="P23" s="49">
        <v>464810.17012970202</v>
      </c>
      <c r="Q23" s="57">
        <f t="shared" si="4"/>
        <v>2.2625234592802412E-2</v>
      </c>
      <c r="R23" s="53">
        <v>39.574737999999996</v>
      </c>
      <c r="S23" s="57">
        <f t="shared" si="4"/>
        <v>-1.2399092385427801E-3</v>
      </c>
      <c r="T23" s="57">
        <f t="shared" si="9"/>
        <v>2.3865143831345192E-2</v>
      </c>
      <c r="U23" s="53">
        <f t="shared" si="12"/>
        <v>1.0278172724066994</v>
      </c>
      <c r="V23" s="161">
        <f t="shared" si="13"/>
        <v>1.2930767536397603</v>
      </c>
    </row>
    <row r="24" spans="1:22">
      <c r="A24" s="48">
        <f t="shared" si="1"/>
        <v>2026</v>
      </c>
      <c r="B24" s="158">
        <v>1.2</v>
      </c>
      <c r="C24" s="158">
        <v>2.5</v>
      </c>
      <c r="D24" s="158">
        <f t="shared" si="0"/>
        <v>1.2845849802371356</v>
      </c>
      <c r="E24" s="158">
        <f t="shared" si="3"/>
        <v>1.2845849802371356</v>
      </c>
      <c r="F24" s="158">
        <v>0</v>
      </c>
      <c r="G24" s="158">
        <f t="shared" si="5"/>
        <v>3.051372927496887</v>
      </c>
      <c r="H24" s="158">
        <f t="shared" si="6"/>
        <v>1.2</v>
      </c>
      <c r="I24" s="194">
        <f t="shared" si="7"/>
        <v>1.0324045762106544</v>
      </c>
      <c r="J24" s="158">
        <f t="shared" si="8"/>
        <v>1.3032332951773564</v>
      </c>
      <c r="K24" s="158">
        <f t="shared" si="10"/>
        <v>1.2833585457358891</v>
      </c>
      <c r="L24" s="158">
        <f t="shared" si="11"/>
        <v>1.2632178514968471</v>
      </c>
      <c r="M24" s="158">
        <v>0.93845813954028778</v>
      </c>
      <c r="N24" s="158">
        <f>マクロ経済スライド!K18*(-100)</f>
        <v>0.88262276153503427</v>
      </c>
      <c r="P24" s="49">
        <v>475273.587523208</v>
      </c>
      <c r="Q24" s="57">
        <f t="shared" si="4"/>
        <v>2.251116276260956E-2</v>
      </c>
      <c r="R24" s="53">
        <v>39.519916000000002</v>
      </c>
      <c r="S24" s="57">
        <f t="shared" si="4"/>
        <v>-1.3852776485846485E-3</v>
      </c>
      <c r="T24" s="57">
        <f t="shared" si="9"/>
        <v>2.3896440411194209E-2</v>
      </c>
      <c r="U24" s="53">
        <f t="shared" si="12"/>
        <v>1.023880792001691</v>
      </c>
      <c r="V24" s="161">
        <f t="shared" si="13"/>
        <v>1.3239564506356531</v>
      </c>
    </row>
    <row r="25" spans="1:22">
      <c r="A25" s="48">
        <f t="shared" si="1"/>
        <v>2027</v>
      </c>
      <c r="B25" s="158">
        <v>1.2</v>
      </c>
      <c r="C25" s="158">
        <v>2.5</v>
      </c>
      <c r="D25" s="158">
        <f t="shared" si="0"/>
        <v>1.2845849802371356</v>
      </c>
      <c r="E25" s="158">
        <f t="shared" si="3"/>
        <v>1.2845849802371356</v>
      </c>
      <c r="F25" s="158">
        <v>0</v>
      </c>
      <c r="G25" s="158">
        <f t="shared" si="5"/>
        <v>2.7638041253013945</v>
      </c>
      <c r="H25" s="158">
        <f t="shared" si="6"/>
        <v>1.2</v>
      </c>
      <c r="I25" s="194">
        <f t="shared" si="7"/>
        <v>1.0305137292749689</v>
      </c>
      <c r="J25" s="158">
        <f t="shared" si="8"/>
        <v>1.342999803128524</v>
      </c>
      <c r="K25" s="158">
        <f t="shared" si="10"/>
        <v>1.3225186009631917</v>
      </c>
      <c r="L25" s="158">
        <f t="shared" si="11"/>
        <v>1.3029385733495404</v>
      </c>
      <c r="M25" s="158">
        <v>0.99902366547713872</v>
      </c>
      <c r="N25" s="158">
        <f>マクロ経済スライド!K19*(-100)</f>
        <v>0.94191262090467209</v>
      </c>
      <c r="P25" s="49">
        <v>485575.90027491603</v>
      </c>
      <c r="Q25" s="57">
        <f t="shared" si="4"/>
        <v>2.1676594328324583E-2</v>
      </c>
      <c r="R25" s="53">
        <v>39.449968999999996</v>
      </c>
      <c r="S25" s="57">
        <f t="shared" si="4"/>
        <v>-1.7699177295823487E-3</v>
      </c>
      <c r="T25" s="57">
        <f t="shared" si="9"/>
        <v>2.3446512057906932E-2</v>
      </c>
      <c r="U25" s="53">
        <f t="shared" si="12"/>
        <v>1.0236714515152523</v>
      </c>
      <c r="V25" s="161">
        <f t="shared" si="13"/>
        <v>1.3552964215651806</v>
      </c>
    </row>
    <row r="26" spans="1:22">
      <c r="A26" s="48">
        <f t="shared" si="1"/>
        <v>2028</v>
      </c>
      <c r="B26" s="158">
        <v>1.2</v>
      </c>
      <c r="C26" s="158">
        <v>2.5</v>
      </c>
      <c r="D26" s="158">
        <f t="shared" si="0"/>
        <v>1.2845849802371356</v>
      </c>
      <c r="E26" s="158">
        <f t="shared" si="3"/>
        <v>1.2845849802371356</v>
      </c>
      <c r="F26" s="158">
        <v>0</v>
      </c>
      <c r="G26" s="158">
        <f t="shared" si="5"/>
        <v>2.4999999999999911</v>
      </c>
      <c r="H26" s="158">
        <f t="shared" si="6"/>
        <v>1.2</v>
      </c>
      <c r="I26" s="194">
        <f t="shared" si="7"/>
        <v>1.0276380412530139</v>
      </c>
      <c r="J26" s="158">
        <f t="shared" si="8"/>
        <v>1.3801176870901797</v>
      </c>
      <c r="K26" s="158">
        <f t="shared" si="10"/>
        <v>1.3590704246144907</v>
      </c>
      <c r="L26" s="158">
        <f t="shared" si="11"/>
        <v>1.3407945127888412</v>
      </c>
      <c r="M26" s="158">
        <v>1.0241540331095031</v>
      </c>
      <c r="N26" s="158">
        <f>マクロ経済スライド!K20*(-100)</f>
        <v>0.9672064532121657</v>
      </c>
      <c r="P26" s="49">
        <v>495464.19306148402</v>
      </c>
      <c r="Q26" s="57">
        <f t="shared" si="4"/>
        <v>2.0364051801107896E-2</v>
      </c>
      <c r="R26" s="53">
        <v>39.347127</v>
      </c>
      <c r="S26" s="57">
        <f t="shared" si="4"/>
        <v>-2.606896852060836E-3</v>
      </c>
      <c r="T26" s="57">
        <f t="shared" si="9"/>
        <v>2.2970948653168732E-2</v>
      </c>
      <c r="U26" s="53">
        <f t="shared" si="12"/>
        <v>1.0232087027266989</v>
      </c>
      <c r="V26" s="161">
        <f t="shared" si="13"/>
        <v>1.3867510933198457</v>
      </c>
    </row>
    <row r="27" spans="1:22">
      <c r="A27" s="48">
        <f t="shared" si="1"/>
        <v>2029</v>
      </c>
      <c r="B27" s="158">
        <v>1.2</v>
      </c>
      <c r="C27" s="158">
        <v>2.5</v>
      </c>
      <c r="D27" s="158">
        <f t="shared" si="0"/>
        <v>1.2845849802371356</v>
      </c>
      <c r="E27" s="158">
        <f t="shared" si="3"/>
        <v>1.2845849802371356</v>
      </c>
      <c r="F27" s="158">
        <v>0</v>
      </c>
      <c r="G27" s="158">
        <f t="shared" si="5"/>
        <v>2.4999999999999911</v>
      </c>
      <c r="H27" s="158">
        <f t="shared" si="6"/>
        <v>1.2</v>
      </c>
      <c r="I27" s="194">
        <f t="shared" si="7"/>
        <v>1.0249999999999999</v>
      </c>
      <c r="J27" s="158">
        <f t="shared" si="8"/>
        <v>1.4146206292674341</v>
      </c>
      <c r="K27" s="158">
        <f t="shared" si="10"/>
        <v>1.3930471852298529</v>
      </c>
      <c r="L27" s="158">
        <f t="shared" si="11"/>
        <v>1.3760588049221718</v>
      </c>
      <c r="M27" s="158">
        <v>1.0389786473034122</v>
      </c>
      <c r="N27" s="158">
        <f>マクロ経済スライド!K21*(-100)</f>
        <v>0.98053587857194169</v>
      </c>
      <c r="P27" s="49">
        <v>505234.350941332</v>
      </c>
      <c r="Q27" s="57">
        <f t="shared" si="4"/>
        <v>1.9719200734725106E-2</v>
      </c>
      <c r="R27" s="53">
        <v>39.226401000000003</v>
      </c>
      <c r="S27" s="57">
        <f t="shared" si="4"/>
        <v>-3.0682290984039851E-3</v>
      </c>
      <c r="T27" s="57">
        <f t="shared" si="9"/>
        <v>2.2787429833129091E-2</v>
      </c>
      <c r="U27" s="53">
        <f t="shared" si="12"/>
        <v>1.0228791851274188</v>
      </c>
      <c r="V27" s="161">
        <f t="shared" si="13"/>
        <v>1.4184788283095608</v>
      </c>
    </row>
    <row r="28" spans="1:22">
      <c r="A28" s="48">
        <f t="shared" ref="A28:A38" si="14">A27+1</f>
        <v>2030</v>
      </c>
      <c r="B28" s="158">
        <v>1.2</v>
      </c>
      <c r="C28" s="158">
        <v>2.5</v>
      </c>
      <c r="D28" s="158">
        <f t="shared" si="0"/>
        <v>1.2845849802371356</v>
      </c>
      <c r="E28" s="158">
        <f t="shared" si="3"/>
        <v>1.2845849802371356</v>
      </c>
      <c r="F28" s="158">
        <v>0</v>
      </c>
      <c r="G28" s="158">
        <f t="shared" si="5"/>
        <v>2.4999999999999911</v>
      </c>
      <c r="H28" s="158">
        <f t="shared" si="6"/>
        <v>1.2</v>
      </c>
      <c r="I28" s="194">
        <f t="shared" si="7"/>
        <v>1.0249999999999999</v>
      </c>
      <c r="J28" s="158">
        <f t="shared" si="8"/>
        <v>1.4499861449991198</v>
      </c>
      <c r="K28" s="158">
        <f t="shared" si="10"/>
        <v>1.4278733648605992</v>
      </c>
      <c r="L28" s="158">
        <f t="shared" si="11"/>
        <v>1.4104602750452262</v>
      </c>
      <c r="M28" s="158">
        <v>1.0867128152024617</v>
      </c>
      <c r="N28" s="158">
        <f>マクロ経済スライド!K22*(-100)</f>
        <v>1.0274501520656782</v>
      </c>
      <c r="P28" s="49">
        <v>514403.09949342703</v>
      </c>
      <c r="Q28" s="57">
        <f t="shared" si="4"/>
        <v>1.8147516167521527E-2</v>
      </c>
      <c r="R28" s="53">
        <v>39.040849999999999</v>
      </c>
      <c r="S28" s="57">
        <f t="shared" si="4"/>
        <v>-4.7302580728729726E-3</v>
      </c>
      <c r="T28" s="57">
        <f t="shared" si="9"/>
        <v>2.2877774240394499E-2</v>
      </c>
      <c r="U28" s="53">
        <f t="shared" si="12"/>
        <v>1.0228326010392732</v>
      </c>
      <c r="V28" s="161">
        <f t="shared" si="13"/>
        <v>1.4508663894790088</v>
      </c>
    </row>
    <row r="29" spans="1:22">
      <c r="A29" s="48">
        <f t="shared" si="14"/>
        <v>2031</v>
      </c>
      <c r="B29" s="158">
        <v>1.2</v>
      </c>
      <c r="C29" s="158">
        <v>2.5</v>
      </c>
      <c r="D29" s="158">
        <f t="shared" si="0"/>
        <v>1.2845849802371356</v>
      </c>
      <c r="E29" s="158">
        <f t="shared" si="3"/>
        <v>1.2845849802371356</v>
      </c>
      <c r="F29" s="158">
        <v>0</v>
      </c>
      <c r="G29" s="158">
        <f t="shared" si="5"/>
        <v>2.4999999999999911</v>
      </c>
      <c r="H29" s="158">
        <f t="shared" si="6"/>
        <v>1.2</v>
      </c>
      <c r="I29" s="194">
        <f t="shared" si="7"/>
        <v>1.0249999999999999</v>
      </c>
      <c r="J29" s="158">
        <f t="shared" si="8"/>
        <v>1.4862357986240977</v>
      </c>
      <c r="K29" s="158">
        <f t="shared" si="10"/>
        <v>1.4635701989821142</v>
      </c>
      <c r="L29" s="158">
        <f t="shared" si="11"/>
        <v>1.4457217819213568</v>
      </c>
      <c r="M29" s="158">
        <v>1.1777513702435181</v>
      </c>
      <c r="N29" s="158">
        <f>マクロ経済スライド!K23*(-100)</f>
        <v>1.1106318969463786</v>
      </c>
      <c r="P29" s="49">
        <v>522077.04697079299</v>
      </c>
      <c r="Q29" s="57">
        <f t="shared" si="4"/>
        <v>1.491815948411479E-2</v>
      </c>
      <c r="R29" s="53">
        <v>38.715122999999991</v>
      </c>
      <c r="S29" s="57">
        <f t="shared" si="4"/>
        <v>-8.3432353547632232E-3</v>
      </c>
      <c r="T29" s="57">
        <f t="shared" si="9"/>
        <v>2.3261394838878013E-2</v>
      </c>
      <c r="U29" s="53">
        <f t="shared" si="12"/>
        <v>1.0230695665588498</v>
      </c>
      <c r="V29" s="161">
        <f t="shared" si="13"/>
        <v>1.4843372482190929</v>
      </c>
    </row>
    <row r="30" spans="1:22">
      <c r="A30" s="48">
        <f t="shared" si="14"/>
        <v>2032</v>
      </c>
      <c r="B30" s="158">
        <v>1.2</v>
      </c>
      <c r="C30" s="158">
        <v>2.5</v>
      </c>
      <c r="D30" s="158">
        <f t="shared" si="0"/>
        <v>1.2845849802371356</v>
      </c>
      <c r="E30" s="158">
        <f t="shared" si="3"/>
        <v>1.2845849802371356</v>
      </c>
      <c r="F30" s="158">
        <v>0</v>
      </c>
      <c r="G30" s="158">
        <f t="shared" si="5"/>
        <v>2.4999999999999911</v>
      </c>
      <c r="H30" s="158">
        <f t="shared" si="6"/>
        <v>1.2</v>
      </c>
      <c r="I30" s="194">
        <f t="shared" si="7"/>
        <v>1.0249999999999999</v>
      </c>
      <c r="J30" s="158">
        <f t="shared" si="8"/>
        <v>1.5233916935897001</v>
      </c>
      <c r="K30" s="158">
        <f t="shared" si="10"/>
        <v>1.5001594539566669</v>
      </c>
      <c r="L30" s="158">
        <f t="shared" si="11"/>
        <v>1.4818648264693906</v>
      </c>
      <c r="M30" s="158">
        <v>1.2758569207331203</v>
      </c>
      <c r="N30" s="158">
        <f>マクロ経済スライド!K24*(-100)</f>
        <v>1.2043593424348238</v>
      </c>
      <c r="P30" s="49">
        <v>528734.25439946703</v>
      </c>
      <c r="Q30" s="57">
        <f t="shared" si="4"/>
        <v>1.2751388836763855E-2</v>
      </c>
      <c r="R30" s="53">
        <v>38.300736000000001</v>
      </c>
      <c r="S30" s="57">
        <f t="shared" si="4"/>
        <v>-1.0703491759537775E-2</v>
      </c>
      <c r="T30" s="57">
        <f t="shared" si="9"/>
        <v>2.345488059630163E-2</v>
      </c>
      <c r="U30" s="53">
        <f t="shared" si="12"/>
        <v>1.0233581331448092</v>
      </c>
      <c r="V30" s="161">
        <f t="shared" si="13"/>
        <v>1.519008595294794</v>
      </c>
    </row>
    <row r="31" spans="1:22">
      <c r="A31" s="48">
        <f t="shared" si="14"/>
        <v>2033</v>
      </c>
      <c r="B31" s="158">
        <v>1.2</v>
      </c>
      <c r="C31" s="158">
        <v>2.5</v>
      </c>
      <c r="D31" s="158">
        <f t="shared" si="0"/>
        <v>1.2845849802371356</v>
      </c>
      <c r="E31" s="158">
        <f t="shared" si="3"/>
        <v>1.2845849802371356</v>
      </c>
      <c r="F31" s="158">
        <v>0</v>
      </c>
      <c r="G31" s="158">
        <f t="shared" si="5"/>
        <v>2.4999999999999911</v>
      </c>
      <c r="H31" s="158">
        <f t="shared" si="6"/>
        <v>1.2</v>
      </c>
      <c r="I31" s="194">
        <f t="shared" si="7"/>
        <v>1.0249999999999999</v>
      </c>
      <c r="J31" s="158">
        <f t="shared" si="8"/>
        <v>1.5614764859294423</v>
      </c>
      <c r="K31" s="158">
        <f t="shared" si="10"/>
        <v>1.5376634403055836</v>
      </c>
      <c r="L31" s="158">
        <f t="shared" si="11"/>
        <v>1.5189114471311251</v>
      </c>
      <c r="M31" s="158">
        <v>1.3624154138394127</v>
      </c>
      <c r="N31" s="158">
        <f>マクロ経済スライド!K25*(-100)</f>
        <v>1.2970916963162433</v>
      </c>
      <c r="P31" s="49">
        <v>535063.37901670695</v>
      </c>
      <c r="Q31" s="57">
        <f t="shared" si="4"/>
        <v>1.1970332098926617E-2</v>
      </c>
      <c r="R31" s="53">
        <v>37.860393999999999</v>
      </c>
      <c r="S31" s="57">
        <f t="shared" si="4"/>
        <v>-1.1496959222924596E-2</v>
      </c>
      <c r="T31" s="57">
        <f t="shared" si="9"/>
        <v>2.3467291321851214E-2</v>
      </c>
      <c r="U31" s="53">
        <f t="shared" si="12"/>
        <v>1.0234610859402644</v>
      </c>
      <c r="V31" s="161">
        <f t="shared" si="13"/>
        <v>1.5546461864930055</v>
      </c>
    </row>
    <row r="32" spans="1:22">
      <c r="A32" s="48">
        <f t="shared" si="14"/>
        <v>2034</v>
      </c>
      <c r="B32" s="158">
        <v>1.2</v>
      </c>
      <c r="C32" s="158">
        <v>2.5</v>
      </c>
      <c r="D32" s="158">
        <f t="shared" si="0"/>
        <v>1.2845849802371356</v>
      </c>
      <c r="E32" s="158">
        <f t="shared" si="3"/>
        <v>1.2845849802371356</v>
      </c>
      <c r="F32" s="158">
        <v>0</v>
      </c>
      <c r="G32" s="158">
        <f t="shared" si="5"/>
        <v>2.4999999999999911</v>
      </c>
      <c r="H32" s="158">
        <f t="shared" si="6"/>
        <v>1.2</v>
      </c>
      <c r="I32" s="194">
        <f t="shared" si="7"/>
        <v>1.0249999999999999</v>
      </c>
      <c r="J32" s="158">
        <f t="shared" si="8"/>
        <v>1.6005133980776782</v>
      </c>
      <c r="K32" s="158">
        <f t="shared" si="10"/>
        <v>1.576105026313223</v>
      </c>
      <c r="L32" s="158">
        <f t="shared" si="11"/>
        <v>1.5568842333094033</v>
      </c>
      <c r="M32" s="158">
        <v>1.4773422182648319</v>
      </c>
      <c r="N32" s="158">
        <f>マクロ経済スライド!K26*(-100)</f>
        <v>1.4192173879588705</v>
      </c>
      <c r="P32" s="49">
        <v>541145.75747695798</v>
      </c>
      <c r="Q32" s="57">
        <f t="shared" si="4"/>
        <v>1.1367585035306771E-2</v>
      </c>
      <c r="R32" s="53">
        <v>37.395037999999992</v>
      </c>
      <c r="S32" s="57">
        <f t="shared" si="4"/>
        <v>-1.2291367068182346E-2</v>
      </c>
      <c r="T32" s="57">
        <f t="shared" si="9"/>
        <v>2.3658952103489117E-2</v>
      </c>
      <c r="U32" s="53">
        <f t="shared" si="12"/>
        <v>1.0235631172266431</v>
      </c>
      <c r="V32" s="161">
        <f t="shared" si="13"/>
        <v>1.5912784968312936</v>
      </c>
    </row>
    <row r="33" spans="1:22">
      <c r="A33" s="48">
        <f t="shared" si="14"/>
        <v>2035</v>
      </c>
      <c r="B33" s="158">
        <v>1.2</v>
      </c>
      <c r="C33" s="158">
        <v>2.5</v>
      </c>
      <c r="D33" s="158">
        <f t="shared" si="0"/>
        <v>1.2845849802371356</v>
      </c>
      <c r="E33" s="158">
        <f t="shared" si="3"/>
        <v>1.2845849802371356</v>
      </c>
      <c r="F33" s="158">
        <v>0</v>
      </c>
      <c r="G33" s="158">
        <f t="shared" si="5"/>
        <v>2.4999999999999911</v>
      </c>
      <c r="H33" s="158">
        <f t="shared" si="6"/>
        <v>1.2</v>
      </c>
      <c r="I33" s="194">
        <f t="shared" si="7"/>
        <v>1.0249999999999999</v>
      </c>
      <c r="J33" s="158">
        <f t="shared" si="8"/>
        <v>1.64052623302962</v>
      </c>
      <c r="K33" s="158">
        <f t="shared" si="10"/>
        <v>1.6155076519710534</v>
      </c>
      <c r="L33" s="158">
        <f t="shared" si="11"/>
        <v>1.5958063391421382</v>
      </c>
      <c r="M33" s="158">
        <v>1.6079993535666135</v>
      </c>
      <c r="N33" s="158">
        <f>マクロ経済スライド!K27*(-100)</f>
        <v>1.5473880812889469</v>
      </c>
      <c r="P33" s="49">
        <v>547153.07147772296</v>
      </c>
      <c r="Q33" s="57">
        <f t="shared" si="4"/>
        <v>1.1101101538287139E-2</v>
      </c>
      <c r="R33" s="53">
        <v>36.910618000000007</v>
      </c>
      <c r="S33" s="57">
        <f t="shared" si="4"/>
        <v>-1.2954125090071766E-2</v>
      </c>
      <c r="T33" s="57">
        <f t="shared" si="9"/>
        <v>2.4055226628358906E-2</v>
      </c>
      <c r="U33" s="53">
        <f t="shared" si="12"/>
        <v>1.0238570701941199</v>
      </c>
      <c r="V33" s="161">
        <f t="shared" si="13"/>
        <v>1.6292417396285914</v>
      </c>
    </row>
    <row r="34" spans="1:22">
      <c r="A34" s="48">
        <f t="shared" si="14"/>
        <v>2036</v>
      </c>
      <c r="B34" s="158">
        <v>1.2</v>
      </c>
      <c r="C34" s="158">
        <v>2.5</v>
      </c>
      <c r="D34" s="158">
        <f t="shared" si="0"/>
        <v>1.2845849802371356</v>
      </c>
      <c r="E34" s="158">
        <f t="shared" si="3"/>
        <v>1.2845849802371356</v>
      </c>
      <c r="F34" s="158">
        <v>0</v>
      </c>
      <c r="G34" s="158">
        <f t="shared" si="5"/>
        <v>2.4999999999999911</v>
      </c>
      <c r="H34" s="158">
        <f t="shared" si="6"/>
        <v>1.2</v>
      </c>
      <c r="I34" s="194">
        <f t="shared" si="7"/>
        <v>1.0249999999999999</v>
      </c>
      <c r="J34" s="158">
        <f t="shared" si="8"/>
        <v>1.6815393888553603</v>
      </c>
      <c r="K34" s="158">
        <f t="shared" si="10"/>
        <v>1.6558953432703296</v>
      </c>
      <c r="L34" s="158">
        <f t="shared" si="11"/>
        <v>1.6357014976206914</v>
      </c>
      <c r="M34" s="158">
        <v>1.7192500682681742</v>
      </c>
      <c r="N34" s="158">
        <f>マクロ経済スライド!K28*(-100)</f>
        <v>1.6558810471991365</v>
      </c>
      <c r="P34" s="49">
        <v>553278.55852498906</v>
      </c>
      <c r="Q34" s="57">
        <f t="shared" si="4"/>
        <v>1.119519813847103E-2</v>
      </c>
      <c r="R34" s="53">
        <v>36.419922</v>
      </c>
      <c r="S34" s="57">
        <f t="shared" si="4"/>
        <v>-1.3294169173759363E-2</v>
      </c>
      <c r="T34" s="57">
        <f t="shared" si="9"/>
        <v>2.4489367312230392E-2</v>
      </c>
      <c r="U34" s="53">
        <f t="shared" si="12"/>
        <v>1.0242722739688261</v>
      </c>
      <c r="V34" s="161">
        <f t="shared" si="13"/>
        <v>1.6687871414943034</v>
      </c>
    </row>
    <row r="35" spans="1:22">
      <c r="A35" s="48">
        <f t="shared" si="14"/>
        <v>2037</v>
      </c>
      <c r="B35" s="158">
        <v>1.2</v>
      </c>
      <c r="C35" s="158">
        <v>2.5</v>
      </c>
      <c r="D35" s="158">
        <f t="shared" si="0"/>
        <v>1.2845849802371356</v>
      </c>
      <c r="E35" s="158">
        <f t="shared" si="3"/>
        <v>1.2845849802371356</v>
      </c>
      <c r="F35" s="158">
        <v>0</v>
      </c>
      <c r="G35" s="158">
        <f t="shared" si="5"/>
        <v>2.4999999999999911</v>
      </c>
      <c r="H35" s="158">
        <f t="shared" si="6"/>
        <v>1.2</v>
      </c>
      <c r="I35" s="194">
        <f t="shared" si="7"/>
        <v>1.0249999999999999</v>
      </c>
      <c r="J35" s="158">
        <f t="shared" si="8"/>
        <v>1.7235778735767442</v>
      </c>
      <c r="K35" s="158">
        <f t="shared" si="10"/>
        <v>1.6972927268520877</v>
      </c>
      <c r="L35" s="158">
        <f t="shared" si="11"/>
        <v>1.6765940350612087</v>
      </c>
      <c r="M35" s="158">
        <v>1.7860540859731209</v>
      </c>
      <c r="N35" s="158">
        <f>マクロ経済スライド!K29*(-100)</f>
        <v>1.7161537929100685</v>
      </c>
      <c r="P35" s="49">
        <v>559307.72624076798</v>
      </c>
      <c r="Q35" s="57">
        <f t="shared" si="4"/>
        <v>1.0897164950422811E-2</v>
      </c>
      <c r="R35" s="53">
        <v>35.907960999999993</v>
      </c>
      <c r="S35" s="57">
        <f t="shared" si="4"/>
        <v>-1.4057169040614825E-2</v>
      </c>
      <c r="T35" s="57">
        <f t="shared" si="9"/>
        <v>2.4954333991037636E-2</v>
      </c>
      <c r="U35" s="53">
        <f t="shared" si="12"/>
        <v>1.0247218242793537</v>
      </c>
      <c r="V35" s="161">
        <f t="shared" si="13"/>
        <v>1.7100426039659704</v>
      </c>
    </row>
    <row r="36" spans="1:22">
      <c r="A36" s="48">
        <f t="shared" si="14"/>
        <v>2038</v>
      </c>
      <c r="B36" s="158">
        <v>1.2</v>
      </c>
      <c r="C36" s="158">
        <v>2.5</v>
      </c>
      <c r="D36" s="158">
        <f t="shared" si="0"/>
        <v>1.2845849802371356</v>
      </c>
      <c r="E36" s="158">
        <f t="shared" si="3"/>
        <v>1.2845849802371356</v>
      </c>
      <c r="F36" s="158">
        <v>0</v>
      </c>
      <c r="G36" s="158">
        <f t="shared" si="5"/>
        <v>2.4999999999999911</v>
      </c>
      <c r="H36" s="158">
        <f t="shared" si="6"/>
        <v>1.2</v>
      </c>
      <c r="I36" s="194">
        <f t="shared" si="7"/>
        <v>1.0249999999999999</v>
      </c>
      <c r="J36" s="158">
        <f t="shared" si="8"/>
        <v>1.7666673204161627</v>
      </c>
      <c r="K36" s="158">
        <f t="shared" si="10"/>
        <v>1.7397250450233896</v>
      </c>
      <c r="L36" s="158">
        <f t="shared" si="11"/>
        <v>1.7185088859377387</v>
      </c>
      <c r="M36" s="158">
        <v>1.8129322691479264</v>
      </c>
      <c r="N36" s="158">
        <f>マクロ経済スライド!K30*(-100)</f>
        <v>1.7100153638000766</v>
      </c>
      <c r="P36" s="49">
        <v>565141.91380643996</v>
      </c>
      <c r="Q36" s="57">
        <f t="shared" si="4"/>
        <v>1.0431087024105334E-2</v>
      </c>
      <c r="R36" s="53">
        <v>35.371375999999998</v>
      </c>
      <c r="S36" s="57">
        <f t="shared" si="4"/>
        <v>-1.4943343622323635E-2</v>
      </c>
      <c r="T36" s="57">
        <f t="shared" si="9"/>
        <v>2.5374430646428969E-2</v>
      </c>
      <c r="U36" s="53">
        <f t="shared" si="12"/>
        <v>1.0251643608000864</v>
      </c>
      <c r="V36" s="161">
        <f t="shared" si="13"/>
        <v>1.7530747330356895</v>
      </c>
    </row>
    <row r="37" spans="1:22">
      <c r="A37" s="48">
        <f t="shared" si="14"/>
        <v>2039</v>
      </c>
      <c r="B37" s="158">
        <v>1.2</v>
      </c>
      <c r="C37" s="158">
        <v>2.5</v>
      </c>
      <c r="D37" s="158">
        <f t="shared" si="0"/>
        <v>1.2845849802371356</v>
      </c>
      <c r="E37" s="158">
        <f t="shared" si="3"/>
        <v>1.2845849802371356</v>
      </c>
      <c r="F37" s="158">
        <v>0</v>
      </c>
      <c r="G37" s="158">
        <f t="shared" si="5"/>
        <v>2.4999999999999911</v>
      </c>
      <c r="H37" s="158">
        <f t="shared" si="6"/>
        <v>1.2</v>
      </c>
      <c r="I37" s="194">
        <f t="shared" si="7"/>
        <v>1.0249999999999999</v>
      </c>
      <c r="J37" s="158">
        <f t="shared" si="8"/>
        <v>1.8108340034265666</v>
      </c>
      <c r="K37" s="158">
        <f t="shared" si="10"/>
        <v>1.7832181711489743</v>
      </c>
      <c r="L37" s="158">
        <f t="shared" si="11"/>
        <v>1.7614716080861821</v>
      </c>
      <c r="M37" s="158">
        <v>1.8331058901056794</v>
      </c>
      <c r="N37" s="158">
        <f>マクロ経済スライド!K31*(-100)</f>
        <v>1.6886451571020862</v>
      </c>
      <c r="P37" s="49">
        <v>571028.14176408097</v>
      </c>
      <c r="Q37" s="57">
        <f t="shared" si="4"/>
        <v>1.0415486471345048E-2</v>
      </c>
      <c r="R37" s="53">
        <v>34.833513000000004</v>
      </c>
      <c r="S37" s="57">
        <f t="shared" si="4"/>
        <v>-1.520616557297616E-2</v>
      </c>
      <c r="T37" s="57">
        <f t="shared" si="9"/>
        <v>2.5621652044321208E-2</v>
      </c>
      <c r="U37" s="53">
        <f t="shared" si="12"/>
        <v>1.0254980338955291</v>
      </c>
      <c r="V37" s="161">
        <f t="shared" si="13"/>
        <v>1.797774692000029</v>
      </c>
    </row>
    <row r="38" spans="1:22">
      <c r="A38" s="48">
        <f t="shared" si="14"/>
        <v>2040</v>
      </c>
      <c r="B38" s="158">
        <v>1.2</v>
      </c>
      <c r="C38" s="158">
        <v>2.5</v>
      </c>
      <c r="D38" s="158">
        <f t="shared" si="0"/>
        <v>1.2845849802371356</v>
      </c>
      <c r="E38" s="158">
        <f t="shared" si="3"/>
        <v>0.85456686752016786</v>
      </c>
      <c r="F38" s="158">
        <v>0</v>
      </c>
      <c r="G38" s="158">
        <f t="shared" si="5"/>
        <v>2.4999999999999911</v>
      </c>
      <c r="H38" s="158">
        <f t="shared" si="6"/>
        <v>1.2</v>
      </c>
      <c r="I38" s="194">
        <f t="shared" si="7"/>
        <v>1.0249999999999999</v>
      </c>
      <c r="J38" s="158">
        <f t="shared" si="8"/>
        <v>1.8561048535122306</v>
      </c>
      <c r="K38" s="158">
        <f t="shared" si="10"/>
        <v>1.8277986254276986</v>
      </c>
      <c r="L38" s="158">
        <f t="shared" si="11"/>
        <v>1.8055083982883364</v>
      </c>
      <c r="M38" s="158">
        <v>1.8644130526473621</v>
      </c>
      <c r="N38" s="158">
        <f>マクロ経済スライド!K32*(-100)</f>
        <v>1.6830499090556557</v>
      </c>
      <c r="P38" s="49">
        <v>577070.00608326402</v>
      </c>
      <c r="Q38" s="57">
        <f t="shared" si="4"/>
        <v>1.0580676988209081E-2</v>
      </c>
      <c r="R38" s="53">
        <v>34.300153999999999</v>
      </c>
      <c r="S38" s="57">
        <f t="shared" si="4"/>
        <v>-1.5311662650850155E-2</v>
      </c>
      <c r="T38" s="57">
        <f t="shared" si="9"/>
        <v>2.5892339639059236E-2</v>
      </c>
      <c r="U38" s="53">
        <f t="shared" si="12"/>
        <v>1.0257569869127026</v>
      </c>
      <c r="V38" s="161">
        <f t="shared" si="13"/>
        <v>1.8440799512138617</v>
      </c>
    </row>
    <row r="39" spans="1:22">
      <c r="I39" s="62"/>
      <c r="J39" s="62"/>
    </row>
    <row r="40" spans="1:22" hidden="1">
      <c r="I40" s="62"/>
      <c r="J40" s="62"/>
    </row>
    <row r="41" spans="1:22" hidden="1">
      <c r="I41" s="62"/>
      <c r="J41" s="62"/>
    </row>
    <row r="42" spans="1:22">
      <c r="B42" s="48" t="s">
        <v>147</v>
      </c>
      <c r="I42" s="62"/>
      <c r="J42" s="62"/>
    </row>
    <row r="43" spans="1:22">
      <c r="G43" s="48" t="s">
        <v>69</v>
      </c>
      <c r="I43" s="154" t="s">
        <v>42</v>
      </c>
      <c r="J43" s="191" t="s">
        <v>6</v>
      </c>
      <c r="K43" s="192"/>
      <c r="L43" s="192"/>
      <c r="M43" s="55"/>
      <c r="N43" s="55"/>
      <c r="P43" s="55"/>
      <c r="Q43" s="55"/>
      <c r="R43" s="55"/>
      <c r="S43" s="55"/>
      <c r="T43" s="56"/>
      <c r="U43" s="56"/>
    </row>
    <row r="44" spans="1:22">
      <c r="B44" s="55" t="s">
        <v>4</v>
      </c>
      <c r="C44" s="55" t="s">
        <v>41</v>
      </c>
      <c r="D44" s="55" t="s">
        <v>5</v>
      </c>
      <c r="E44" s="55" t="s">
        <v>39</v>
      </c>
      <c r="F44" s="58" t="s">
        <v>40</v>
      </c>
      <c r="G44" s="55" t="s">
        <v>85</v>
      </c>
      <c r="H44" s="55" t="s">
        <v>1</v>
      </c>
      <c r="I44" s="155" t="s">
        <v>7</v>
      </c>
      <c r="J44" s="56" t="s">
        <v>90</v>
      </c>
      <c r="K44" s="193"/>
      <c r="L44" s="193"/>
      <c r="M44" s="55"/>
      <c r="N44" s="55"/>
      <c r="P44" s="55"/>
      <c r="Q44" s="55"/>
      <c r="R44" s="55"/>
      <c r="S44" s="55"/>
      <c r="T44" s="56"/>
      <c r="U44" s="56"/>
    </row>
    <row r="45" spans="1:22">
      <c r="B45" s="55" t="s">
        <v>63</v>
      </c>
      <c r="C45" s="55" t="s">
        <v>63</v>
      </c>
      <c r="D45" s="55" t="s">
        <v>38</v>
      </c>
      <c r="G45" s="55"/>
      <c r="I45" s="155" t="s">
        <v>8</v>
      </c>
      <c r="J45" s="191" t="s">
        <v>8</v>
      </c>
      <c r="K45" s="193"/>
      <c r="L45" s="193"/>
      <c r="M45" s="55"/>
      <c r="N45" s="55"/>
      <c r="T45" s="56"/>
      <c r="U45" s="56"/>
    </row>
    <row r="46" spans="1:22">
      <c r="A46" s="48">
        <v>2007</v>
      </c>
      <c r="B46" s="62"/>
      <c r="C46" s="62"/>
      <c r="D46" s="62"/>
      <c r="E46" s="62"/>
      <c r="F46" s="62"/>
      <c r="G46" s="62"/>
      <c r="H46" s="62"/>
      <c r="I46" s="153"/>
      <c r="J46" s="153"/>
      <c r="K46" s="62"/>
      <c r="L46" s="62"/>
      <c r="M46" s="62"/>
      <c r="N46" s="62"/>
      <c r="P46" s="59"/>
      <c r="Q46" s="59"/>
      <c r="R46" s="59"/>
      <c r="S46" s="59"/>
    </row>
    <row r="47" spans="1:22">
      <c r="A47" s="48">
        <f>A46+1</f>
        <v>2008</v>
      </c>
      <c r="B47" s="158">
        <f t="shared" ref="B47:B48" si="15">B6</f>
        <v>1.4</v>
      </c>
      <c r="C47" s="158">
        <v>-0.49</v>
      </c>
      <c r="D47" s="158">
        <f t="shared" ref="D47:D79" si="16">((1+C47/100)/(1+B47/100)-1)*100</f>
        <v>-1.8639053254437932</v>
      </c>
      <c r="E47" s="158"/>
      <c r="F47" s="158">
        <v>-0.21197097075519311</v>
      </c>
      <c r="G47" s="158"/>
      <c r="H47" s="158"/>
      <c r="I47" s="160"/>
      <c r="J47" s="158">
        <v>0.999</v>
      </c>
      <c r="K47" s="158"/>
      <c r="L47" s="158"/>
      <c r="M47" s="62"/>
      <c r="N47" s="62"/>
      <c r="P47" s="59"/>
      <c r="Q47" s="59"/>
      <c r="R47" s="59"/>
      <c r="S47" s="59"/>
      <c r="T47" s="60"/>
      <c r="U47" s="60"/>
      <c r="V47" s="60"/>
    </row>
    <row r="48" spans="1:22">
      <c r="A48" s="48">
        <f t="shared" ref="A48:A79" si="17">A47+1</f>
        <v>2009</v>
      </c>
      <c r="B48" s="158">
        <f t="shared" si="15"/>
        <v>-1.4</v>
      </c>
      <c r="C48" s="158">
        <v>-3.03</v>
      </c>
      <c r="D48" s="158">
        <f t="shared" si="16"/>
        <v>-1.6531440162271815</v>
      </c>
      <c r="E48" s="158">
        <f t="shared" ref="E48:E50" si="18">(POWER((1+D47/100)*(1+D48/100)*(1+D49/100),1/3)-1)*100</f>
        <v>-1.089674640455196</v>
      </c>
      <c r="F48" s="158">
        <v>-0.21242124212420554</v>
      </c>
      <c r="G48" s="158"/>
      <c r="H48" s="158"/>
      <c r="I48" s="160"/>
      <c r="J48" s="158">
        <v>0.997</v>
      </c>
      <c r="K48" s="158"/>
      <c r="L48" s="158"/>
      <c r="M48" s="62"/>
      <c r="N48" s="62"/>
      <c r="P48" s="59"/>
      <c r="Q48" s="59"/>
      <c r="R48" s="59"/>
      <c r="S48" s="59"/>
      <c r="T48" s="60"/>
      <c r="U48" s="60"/>
      <c r="V48" s="60"/>
    </row>
    <row r="49" spans="1:22">
      <c r="A49" s="48">
        <f t="shared" si="17"/>
        <v>2010</v>
      </c>
      <c r="B49" s="158">
        <v>-0.7</v>
      </c>
      <c r="C49" s="158">
        <v>-0.44</v>
      </c>
      <c r="D49" s="158">
        <f t="shared" si="16"/>
        <v>0.26183282980867251</v>
      </c>
      <c r="E49" s="158">
        <f t="shared" si="18"/>
        <v>-0.39423796675185363</v>
      </c>
      <c r="F49" s="158">
        <v>-0.21287343050946372</v>
      </c>
      <c r="G49" s="158"/>
      <c r="H49" s="158"/>
      <c r="I49" s="160"/>
      <c r="J49" s="158">
        <v>1.008</v>
      </c>
      <c r="K49" s="158"/>
      <c r="L49" s="158"/>
      <c r="M49" s="62"/>
      <c r="N49" s="62"/>
      <c r="P49" s="59"/>
      <c r="Q49" s="59"/>
      <c r="R49" s="59"/>
      <c r="S49" s="59"/>
      <c r="T49" s="60"/>
      <c r="U49" s="60"/>
      <c r="V49" s="60"/>
    </row>
    <row r="50" spans="1:22">
      <c r="A50" s="48">
        <f t="shared" si="17"/>
        <v>2011</v>
      </c>
      <c r="B50" s="158">
        <v>-0.3</v>
      </c>
      <c r="C50" s="158">
        <v>-0.08</v>
      </c>
      <c r="D50" s="158">
        <f t="shared" si="16"/>
        <v>0.22066198595787068</v>
      </c>
      <c r="E50" s="158">
        <f t="shared" si="18"/>
        <v>5.3813285784376497E-2</v>
      </c>
      <c r="F50" s="158">
        <v>-0.21332754817947608</v>
      </c>
      <c r="G50" s="158"/>
      <c r="H50" s="158"/>
      <c r="I50" s="160"/>
      <c r="J50" s="158">
        <v>0.98399999999999999</v>
      </c>
      <c r="K50" s="158"/>
      <c r="L50" s="158"/>
      <c r="M50" s="62"/>
      <c r="N50" s="62"/>
      <c r="P50" s="59"/>
      <c r="Q50" s="59"/>
      <c r="R50" s="59"/>
      <c r="S50" s="59"/>
      <c r="T50" s="60"/>
      <c r="U50" s="60"/>
      <c r="V50" s="60"/>
    </row>
    <row r="51" spans="1:22">
      <c r="A51" s="48">
        <f t="shared" si="17"/>
        <v>2012</v>
      </c>
      <c r="B51" s="158">
        <v>0</v>
      </c>
      <c r="C51" s="158">
        <v>-0.32</v>
      </c>
      <c r="D51" s="158">
        <f t="shared" si="16"/>
        <v>-0.31999999999999806</v>
      </c>
      <c r="E51" s="158">
        <f>(POWER((1+D50/100)*(1+D51/100)*(1+D52/100),1/3)-1)*100</f>
        <v>-0.21290451229462048</v>
      </c>
      <c r="F51" s="158">
        <v>-0.21378360750780034</v>
      </c>
      <c r="G51" s="158"/>
      <c r="H51" s="158"/>
      <c r="I51" s="160"/>
      <c r="J51" s="158">
        <v>0.96399999999999997</v>
      </c>
      <c r="K51" s="158"/>
      <c r="L51" s="158"/>
      <c r="M51" s="62"/>
      <c r="N51" s="62"/>
      <c r="P51" s="59"/>
      <c r="Q51" s="59"/>
      <c r="R51" s="59"/>
      <c r="S51" s="59"/>
      <c r="T51" s="60"/>
      <c r="U51" s="60"/>
      <c r="V51" s="60"/>
    </row>
    <row r="52" spans="1:22">
      <c r="A52" s="48">
        <f t="shared" si="17"/>
        <v>2013</v>
      </c>
      <c r="B52" s="158">
        <v>0.4</v>
      </c>
      <c r="C52" s="158">
        <v>-0.14000000000000001</v>
      </c>
      <c r="D52" s="158">
        <f t="shared" si="16"/>
        <v>-0.53784860557768432</v>
      </c>
      <c r="E52" s="158">
        <f t="shared" ref="E52:E79" si="19">(POWER((1+D51/100)*(1+D52/100)*(1+D53/100),1/3)-1)*100</f>
        <v>-0.81981603493205268</v>
      </c>
      <c r="F52" s="158">
        <v>-0.21424162097388733</v>
      </c>
      <c r="G52" s="158"/>
      <c r="H52" s="158"/>
      <c r="I52" s="194">
        <f>ROUND((1+B50/100)*(1+E48/100),3)</f>
        <v>0.98599999999999999</v>
      </c>
      <c r="J52" s="158">
        <v>0.95099999999999996</v>
      </c>
      <c r="K52" s="158"/>
      <c r="L52" s="158"/>
      <c r="M52" s="62"/>
      <c r="N52" s="62"/>
      <c r="P52" s="59"/>
      <c r="Q52" s="59"/>
      <c r="R52" s="59"/>
      <c r="S52" s="59"/>
      <c r="T52" s="60"/>
      <c r="U52" s="60"/>
      <c r="V52" s="60"/>
    </row>
    <row r="53" spans="1:22">
      <c r="A53" s="48">
        <f t="shared" si="17"/>
        <v>2014</v>
      </c>
      <c r="B53" s="158">
        <v>2.7</v>
      </c>
      <c r="C53" s="158">
        <v>1.06</v>
      </c>
      <c r="D53" s="158">
        <f t="shared" si="16"/>
        <v>-1.5968841285296964</v>
      </c>
      <c r="E53" s="158">
        <f t="shared" si="19"/>
        <v>-0.86835192116387905</v>
      </c>
      <c r="F53" s="158">
        <v>-0.21470160116449089</v>
      </c>
      <c r="G53" s="158"/>
      <c r="H53" s="158"/>
      <c r="I53" s="194">
        <f>ROUND((1+B51/100)*(1+E49/100),3)</f>
        <v>0.996</v>
      </c>
      <c r="J53" s="158">
        <v>0.94699999999999995</v>
      </c>
      <c r="K53" s="158"/>
      <c r="L53" s="158"/>
      <c r="M53" s="62"/>
      <c r="N53" s="62"/>
      <c r="P53" s="59"/>
      <c r="Q53" s="59"/>
      <c r="R53" s="59"/>
      <c r="S53" s="59"/>
      <c r="T53" s="60"/>
      <c r="U53" s="60"/>
      <c r="V53" s="60"/>
    </row>
    <row r="54" spans="1:22">
      <c r="A54" s="48">
        <f t="shared" si="17"/>
        <v>2015</v>
      </c>
      <c r="B54" s="158">
        <v>0.8</v>
      </c>
      <c r="C54" s="158">
        <v>0.33</v>
      </c>
      <c r="D54" s="158">
        <f t="shared" si="16"/>
        <v>-0.46626984126982851</v>
      </c>
      <c r="E54" s="158">
        <f t="shared" si="19"/>
        <v>-0.6734204423703205</v>
      </c>
      <c r="F54" s="158">
        <v>-0.21516356077457832</v>
      </c>
      <c r="G54" s="158"/>
      <c r="H54" s="158"/>
      <c r="I54" s="194">
        <f>ROUND((1+B52/100)*(1+E50/100),3)</f>
        <v>1.0049999999999999</v>
      </c>
      <c r="J54" s="158">
        <v>0.95199999999999996</v>
      </c>
      <c r="K54" s="158" t="s">
        <v>142</v>
      </c>
      <c r="L54" s="158"/>
      <c r="M54" s="62"/>
      <c r="N54" s="62"/>
      <c r="P54" s="59"/>
      <c r="Q54" s="59"/>
      <c r="R54" s="59"/>
      <c r="S54" s="59"/>
      <c r="T54" s="60"/>
      <c r="U54" s="60"/>
      <c r="V54" s="60"/>
    </row>
    <row r="55" spans="1:22">
      <c r="A55" s="48">
        <f t="shared" si="17"/>
        <v>2016</v>
      </c>
      <c r="B55" s="158">
        <v>-0.1</v>
      </c>
      <c r="C55" s="158">
        <v>-0.05</v>
      </c>
      <c r="D55" s="158">
        <f t="shared" si="16"/>
        <v>5.0050050050054473E-2</v>
      </c>
      <c r="E55" s="158">
        <f t="shared" si="19"/>
        <v>-0.13901087051580996</v>
      </c>
      <c r="F55" s="158">
        <v>-0.21562751260872925</v>
      </c>
      <c r="G55" s="158">
        <f>MAX(((1+E52/100)*(1+B54/100)*(1+F52/100)-1)*100,0)</f>
        <v>0</v>
      </c>
      <c r="H55" s="158">
        <f t="shared" ref="H55:H79" si="20">MIN(G55,B54)</f>
        <v>0</v>
      </c>
      <c r="I55" s="194">
        <f>ROUND((1+B53/100)*(1+E51/100),3)</f>
        <v>1.0249999999999999</v>
      </c>
      <c r="J55" s="158">
        <v>0.97599999999999998</v>
      </c>
      <c r="K55" s="158" t="s">
        <v>67</v>
      </c>
      <c r="L55" s="158" t="s">
        <v>68</v>
      </c>
      <c r="M55" s="62"/>
      <c r="N55" s="62"/>
      <c r="P55" s="59"/>
      <c r="Q55" s="59"/>
      <c r="R55" s="59"/>
      <c r="S55" s="59"/>
      <c r="T55" s="48" t="s">
        <v>140</v>
      </c>
    </row>
    <row r="56" spans="1:22">
      <c r="A56" s="48">
        <f t="shared" si="17"/>
        <v>2017</v>
      </c>
      <c r="B56" s="158">
        <v>0.5</v>
      </c>
      <c r="C56" s="158">
        <v>0.5</v>
      </c>
      <c r="D56" s="158">
        <f t="shared" si="16"/>
        <v>0</v>
      </c>
      <c r="E56" s="158">
        <f t="shared" si="19"/>
        <v>0.24721044586735186</v>
      </c>
      <c r="F56" s="158">
        <v>-7.2031156527374574E-2</v>
      </c>
      <c r="G56" s="158">
        <f>B55</f>
        <v>-0.1</v>
      </c>
      <c r="H56" s="158">
        <f t="shared" si="20"/>
        <v>-0.1</v>
      </c>
      <c r="I56" s="194">
        <f t="shared" ref="I56:I79" si="21">(1+B54/100)*(1+E52/100)</f>
        <v>0.99973625436788494</v>
      </c>
      <c r="J56" s="158">
        <f>I56*J55</f>
        <v>0.97574258426305571</v>
      </c>
      <c r="K56" s="158">
        <v>1</v>
      </c>
      <c r="L56" s="158"/>
      <c r="M56" s="62"/>
      <c r="N56" s="62"/>
      <c r="P56" s="59"/>
      <c r="Q56" s="59"/>
      <c r="R56" s="59"/>
      <c r="S56" s="59"/>
    </row>
    <row r="57" spans="1:22">
      <c r="A57" s="48">
        <f t="shared" si="17"/>
        <v>2018</v>
      </c>
      <c r="B57" s="158">
        <v>1</v>
      </c>
      <c r="C57" s="158">
        <v>1.7</v>
      </c>
      <c r="D57" s="158">
        <f t="shared" si="16"/>
        <v>0.69306930693069368</v>
      </c>
      <c r="E57" s="158">
        <f t="shared" si="19"/>
        <v>0.5247117825017078</v>
      </c>
      <c r="F57" s="158">
        <v>0</v>
      </c>
      <c r="G57" s="158">
        <f t="shared" ref="G57:G79" si="22">MAX(((1+E54/100)*(1+B56/100)*(1+F54/100)-1)*100,0)</f>
        <v>0</v>
      </c>
      <c r="H57" s="158">
        <f t="shared" si="20"/>
        <v>0</v>
      </c>
      <c r="I57" s="194">
        <f t="shared" si="21"/>
        <v>0.99032516430757289</v>
      </c>
      <c r="J57" s="158">
        <f t="shared" ref="J57:J79" si="23">I57*J56</f>
        <v>0.96630243508220648</v>
      </c>
      <c r="K57" s="158">
        <v>1</v>
      </c>
      <c r="L57" s="158">
        <f>AVERAGE(K56:K57)</f>
        <v>1</v>
      </c>
      <c r="M57" s="62"/>
      <c r="N57" s="62"/>
      <c r="P57" s="59"/>
      <c r="Q57" s="59"/>
      <c r="R57" s="59"/>
      <c r="S57" s="59"/>
      <c r="T57" s="162">
        <f t="shared" ref="T57:T79" si="24">POWER((1+C56/100)*(1+C57/100),1/2)</f>
        <v>1.0109821956889249</v>
      </c>
      <c r="U57" s="162"/>
      <c r="V57" s="162">
        <v>1</v>
      </c>
    </row>
    <row r="58" spans="1:22">
      <c r="A58" s="48">
        <f t="shared" si="17"/>
        <v>2019</v>
      </c>
      <c r="B58" s="158">
        <v>1.9</v>
      </c>
      <c r="C58" s="158">
        <v>2.8</v>
      </c>
      <c r="D58" s="158">
        <f t="shared" si="16"/>
        <v>0.88321884200197598</v>
      </c>
      <c r="E58" s="158">
        <f t="shared" si="19"/>
        <v>0.78607067546734299</v>
      </c>
      <c r="F58" s="158">
        <v>0</v>
      </c>
      <c r="G58" s="158">
        <f t="shared" si="22"/>
        <v>0.64211797618338728</v>
      </c>
      <c r="H58" s="158">
        <f t="shared" si="20"/>
        <v>0.64211797618338728</v>
      </c>
      <c r="I58" s="194">
        <f t="shared" si="21"/>
        <v>0.9982321245541782</v>
      </c>
      <c r="J58" s="158">
        <f t="shared" si="23"/>
        <v>0.96459413273398686</v>
      </c>
      <c r="K58" s="158">
        <f t="shared" ref="K58:K79" si="25">K57*I58</f>
        <v>0.9982321245541782</v>
      </c>
      <c r="L58" s="158">
        <f t="shared" ref="L58:L79" si="26">AVERAGE(K57:K58)</f>
        <v>0.99911606227708916</v>
      </c>
      <c r="M58" s="62"/>
      <c r="N58" s="62"/>
      <c r="P58" s="59"/>
      <c r="Q58" s="59"/>
      <c r="R58" s="59"/>
      <c r="S58" s="59"/>
      <c r="T58" s="162">
        <f t="shared" si="24"/>
        <v>1.0224852077169624</v>
      </c>
      <c r="U58" s="162"/>
      <c r="V58" s="162">
        <f t="shared" ref="V58:V79" si="27">T58*V57</f>
        <v>1.0224852077169624</v>
      </c>
    </row>
    <row r="59" spans="1:22">
      <c r="A59" s="48">
        <f t="shared" si="17"/>
        <v>2020</v>
      </c>
      <c r="B59" s="158">
        <v>2.2999999999999998</v>
      </c>
      <c r="C59" s="158">
        <v>3.1</v>
      </c>
      <c r="D59" s="158">
        <f t="shared" si="16"/>
        <v>0.782013685239491</v>
      </c>
      <c r="E59" s="158">
        <f t="shared" si="19"/>
        <v>0.91412815342009068</v>
      </c>
      <c r="F59" s="158">
        <v>0</v>
      </c>
      <c r="G59" s="158">
        <f t="shared" si="22"/>
        <v>2.0783262439918904</v>
      </c>
      <c r="H59" s="158">
        <f t="shared" si="20"/>
        <v>1.9</v>
      </c>
      <c r="I59" s="194">
        <f t="shared" si="21"/>
        <v>1.0085959902077903</v>
      </c>
      <c r="J59" s="158">
        <f t="shared" si="23"/>
        <v>0.97288577445346025</v>
      </c>
      <c r="K59" s="158">
        <f t="shared" si="25"/>
        <v>1.0068129181219476</v>
      </c>
      <c r="L59" s="158">
        <f t="shared" si="26"/>
        <v>1.0025225213380629</v>
      </c>
      <c r="M59" s="62"/>
      <c r="N59" s="62"/>
      <c r="P59" s="59"/>
      <c r="Q59" s="59"/>
      <c r="R59" s="59"/>
      <c r="S59" s="59"/>
      <c r="T59" s="162">
        <f t="shared" si="24"/>
        <v>1.0294989072359426</v>
      </c>
      <c r="U59" s="162"/>
      <c r="V59" s="162">
        <f t="shared" si="27"/>
        <v>1.0526474040095286</v>
      </c>
    </row>
    <row r="60" spans="1:22">
      <c r="A60" s="48">
        <f t="shared" si="17"/>
        <v>2021</v>
      </c>
      <c r="B60" s="158">
        <v>2.1</v>
      </c>
      <c r="C60" s="158">
        <v>3.2</v>
      </c>
      <c r="D60" s="158">
        <f t="shared" si="16"/>
        <v>1.0773751224290029</v>
      </c>
      <c r="E60" s="158">
        <f t="shared" si="19"/>
        <v>1.0770250955117522</v>
      </c>
      <c r="F60" s="158">
        <v>0</v>
      </c>
      <c r="G60" s="158">
        <f t="shared" si="22"/>
        <v>2.836780153499241</v>
      </c>
      <c r="H60" s="158">
        <f t="shared" si="20"/>
        <v>2.2999999999999998</v>
      </c>
      <c r="I60" s="194">
        <f t="shared" si="21"/>
        <v>1.0215190744433882</v>
      </c>
      <c r="J60" s="158">
        <f t="shared" si="23"/>
        <v>0.99382137585883767</v>
      </c>
      <c r="K60" s="158">
        <f t="shared" si="25"/>
        <v>1.0284786002575788</v>
      </c>
      <c r="L60" s="158">
        <f t="shared" si="26"/>
        <v>1.0176457591897632</v>
      </c>
      <c r="M60" s="62"/>
      <c r="N60" s="62"/>
      <c r="P60" s="59"/>
      <c r="Q60" s="59"/>
      <c r="R60" s="59"/>
      <c r="S60" s="59"/>
      <c r="T60" s="162">
        <f t="shared" si="24"/>
        <v>1.0314998788172494</v>
      </c>
      <c r="U60" s="162"/>
      <c r="V60" s="162">
        <f t="shared" si="27"/>
        <v>1.0858056696731209</v>
      </c>
    </row>
    <row r="61" spans="1:22">
      <c r="A61" s="48">
        <f t="shared" si="17"/>
        <v>2022</v>
      </c>
      <c r="B61" s="158">
        <v>2</v>
      </c>
      <c r="C61" s="158">
        <v>3.4</v>
      </c>
      <c r="D61" s="158">
        <f t="shared" si="16"/>
        <v>1.3725490196078383</v>
      </c>
      <c r="E61" s="158">
        <f t="shared" si="19"/>
        <v>1.2740620680413928</v>
      </c>
      <c r="F61" s="158">
        <v>0</v>
      </c>
      <c r="G61" s="158">
        <f t="shared" si="22"/>
        <v>2.9025781596521583</v>
      </c>
      <c r="H61" s="158">
        <f t="shared" si="20"/>
        <v>2.1</v>
      </c>
      <c r="I61" s="194">
        <f t="shared" si="21"/>
        <v>1.0283678015349924</v>
      </c>
      <c r="J61" s="158">
        <f t="shared" si="23"/>
        <v>1.0220139034104343</v>
      </c>
      <c r="K61" s="158">
        <f t="shared" si="25"/>
        <v>1.0576542770726725</v>
      </c>
      <c r="L61" s="158">
        <f t="shared" si="26"/>
        <v>1.0430664386651256</v>
      </c>
      <c r="M61" s="62"/>
      <c r="N61" s="62"/>
      <c r="P61" s="59"/>
      <c r="Q61" s="59"/>
      <c r="R61" s="59"/>
      <c r="S61" s="59"/>
      <c r="T61" s="162">
        <f t="shared" si="24"/>
        <v>1.0329995159727812</v>
      </c>
      <c r="U61" s="162"/>
      <c r="V61" s="162">
        <f t="shared" si="27"/>
        <v>1.1216367312128355</v>
      </c>
    </row>
    <row r="62" spans="1:22">
      <c r="A62" s="48">
        <f t="shared" si="17"/>
        <v>2023</v>
      </c>
      <c r="B62" s="158">
        <v>2</v>
      </c>
      <c r="C62" s="158">
        <v>3.4</v>
      </c>
      <c r="D62" s="158">
        <f t="shared" si="16"/>
        <v>1.3725490196078383</v>
      </c>
      <c r="E62" s="158">
        <f t="shared" si="19"/>
        <v>1.4052182287723092</v>
      </c>
      <c r="F62" s="158">
        <v>0</v>
      </c>
      <c r="G62" s="158">
        <f t="shared" si="22"/>
        <v>2.9324107164884872</v>
      </c>
      <c r="H62" s="158">
        <f t="shared" si="20"/>
        <v>2</v>
      </c>
      <c r="I62" s="194">
        <f t="shared" si="21"/>
        <v>1.0290257815965216</v>
      </c>
      <c r="J62" s="158">
        <f t="shared" si="23"/>
        <v>1.051678655759434</v>
      </c>
      <c r="K62" s="158">
        <f t="shared" si="25"/>
        <v>1.0883535191236107</v>
      </c>
      <c r="L62" s="158">
        <f t="shared" si="26"/>
        <v>1.0730038980981416</v>
      </c>
      <c r="M62" s="62"/>
      <c r="N62" s="62"/>
      <c r="P62" s="59"/>
      <c r="Q62" s="59"/>
      <c r="R62" s="59"/>
      <c r="S62" s="59"/>
      <c r="T62" s="162">
        <f t="shared" si="24"/>
        <v>1.034</v>
      </c>
      <c r="U62" s="162"/>
      <c r="V62" s="162">
        <f t="shared" si="27"/>
        <v>1.159772380074072</v>
      </c>
    </row>
    <row r="63" spans="1:22">
      <c r="A63" s="48">
        <f t="shared" si="17"/>
        <v>2024</v>
      </c>
      <c r="B63" s="158">
        <v>2</v>
      </c>
      <c r="C63" s="158">
        <v>3.5</v>
      </c>
      <c r="D63" s="158">
        <f t="shared" si="16"/>
        <v>1.4705882352941124</v>
      </c>
      <c r="E63" s="158">
        <f t="shared" si="19"/>
        <v>1.4378979662034164</v>
      </c>
      <c r="F63" s="158">
        <v>0</v>
      </c>
      <c r="G63" s="158">
        <f t="shared" si="22"/>
        <v>3.0985655974219872</v>
      </c>
      <c r="H63" s="158">
        <f t="shared" si="20"/>
        <v>2</v>
      </c>
      <c r="I63" s="194">
        <f t="shared" si="21"/>
        <v>1.0293241071648849</v>
      </c>
      <c r="J63" s="158">
        <f t="shared" si="23"/>
        <v>1.0825181933639456</v>
      </c>
      <c r="K63" s="158">
        <f t="shared" si="25"/>
        <v>1.1202685143516711</v>
      </c>
      <c r="L63" s="158">
        <f t="shared" si="26"/>
        <v>1.1043110167376409</v>
      </c>
      <c r="M63" s="62"/>
      <c r="N63" s="62"/>
      <c r="P63" s="59"/>
      <c r="Q63" s="59"/>
      <c r="R63" s="59"/>
      <c r="S63" s="59"/>
      <c r="T63" s="162">
        <f t="shared" si="24"/>
        <v>1.0344998791686735</v>
      </c>
      <c r="U63" s="162"/>
      <c r="V63" s="162">
        <f t="shared" si="27"/>
        <v>1.1997843870497924</v>
      </c>
    </row>
    <row r="64" spans="1:22">
      <c r="A64" s="48">
        <f t="shared" si="17"/>
        <v>2025</v>
      </c>
      <c r="B64" s="158">
        <v>2</v>
      </c>
      <c r="C64" s="158">
        <v>3.5</v>
      </c>
      <c r="D64" s="158">
        <f t="shared" si="16"/>
        <v>1.4705882352941124</v>
      </c>
      <c r="E64" s="158">
        <f t="shared" si="19"/>
        <v>1.4705882352941124</v>
      </c>
      <c r="F64" s="158">
        <v>0</v>
      </c>
      <c r="G64" s="158">
        <f t="shared" si="22"/>
        <v>3.2995433094022308</v>
      </c>
      <c r="H64" s="158">
        <f t="shared" si="20"/>
        <v>2</v>
      </c>
      <c r="I64" s="194">
        <f t="shared" si="21"/>
        <v>1.0309856559742199</v>
      </c>
      <c r="J64" s="158">
        <f t="shared" si="23"/>
        <v>1.1160607296893548</v>
      </c>
      <c r="K64" s="158">
        <f t="shared" si="25"/>
        <v>1.1549807691361222</v>
      </c>
      <c r="L64" s="158">
        <f t="shared" si="26"/>
        <v>1.1376246417438967</v>
      </c>
      <c r="M64" s="62"/>
      <c r="N64" s="62"/>
      <c r="P64" s="59"/>
      <c r="Q64" s="59"/>
      <c r="R64" s="59"/>
      <c r="S64" s="59"/>
      <c r="T64" s="162">
        <f t="shared" si="24"/>
        <v>1.0349999999999999</v>
      </c>
      <c r="U64" s="162"/>
      <c r="V64" s="162">
        <f t="shared" si="27"/>
        <v>1.241776840596535</v>
      </c>
    </row>
    <row r="65" spans="1:22">
      <c r="A65" s="48">
        <f t="shared" si="17"/>
        <v>2026</v>
      </c>
      <c r="B65" s="158">
        <v>2</v>
      </c>
      <c r="C65" s="158">
        <v>3.5</v>
      </c>
      <c r="D65" s="158">
        <f t="shared" si="16"/>
        <v>1.4705882352941124</v>
      </c>
      <c r="E65" s="158">
        <f t="shared" si="19"/>
        <v>1.4705882352941124</v>
      </c>
      <c r="F65" s="158">
        <v>0</v>
      </c>
      <c r="G65" s="158">
        <f t="shared" si="22"/>
        <v>3.4333225933477651</v>
      </c>
      <c r="H65" s="158">
        <f t="shared" si="20"/>
        <v>2</v>
      </c>
      <c r="I65" s="194">
        <f t="shared" si="21"/>
        <v>1.0329954330940223</v>
      </c>
      <c r="J65" s="158">
        <f t="shared" si="23"/>
        <v>1.1528856368246856</v>
      </c>
      <c r="K65" s="158">
        <f t="shared" si="25"/>
        <v>1.1930898598290356</v>
      </c>
      <c r="L65" s="158">
        <f t="shared" si="26"/>
        <v>1.174035314482579</v>
      </c>
      <c r="M65" s="62"/>
      <c r="N65" s="62"/>
      <c r="P65" s="59"/>
      <c r="Q65" s="59"/>
      <c r="R65" s="59"/>
      <c r="S65" s="59"/>
      <c r="T65" s="162">
        <f t="shared" si="24"/>
        <v>1.0349999999999999</v>
      </c>
      <c r="U65" s="162"/>
      <c r="V65" s="162">
        <f t="shared" si="27"/>
        <v>1.2852390300174137</v>
      </c>
    </row>
    <row r="66" spans="1:22">
      <c r="A66" s="48">
        <f t="shared" si="17"/>
        <v>2027</v>
      </c>
      <c r="B66" s="158">
        <v>2</v>
      </c>
      <c r="C66" s="158">
        <v>3.5</v>
      </c>
      <c r="D66" s="158">
        <f t="shared" si="16"/>
        <v>1.4705882352941124</v>
      </c>
      <c r="E66" s="158">
        <f t="shared" si="19"/>
        <v>1.4085492274230615</v>
      </c>
      <c r="F66" s="158">
        <v>0</v>
      </c>
      <c r="G66" s="158">
        <f t="shared" si="22"/>
        <v>3.4666559255274842</v>
      </c>
      <c r="H66" s="158">
        <f t="shared" si="20"/>
        <v>2</v>
      </c>
      <c r="I66" s="194">
        <f t="shared" si="21"/>
        <v>1.0343332259334777</v>
      </c>
      <c r="J66" s="158">
        <f t="shared" si="23"/>
        <v>1.1924679198692487</v>
      </c>
      <c r="K66" s="158">
        <f t="shared" si="25"/>
        <v>1.2340524835454871</v>
      </c>
      <c r="L66" s="158">
        <f t="shared" si="26"/>
        <v>1.2135711716872613</v>
      </c>
      <c r="M66" s="62"/>
      <c r="N66" s="62"/>
      <c r="P66" s="59"/>
      <c r="Q66" s="59"/>
      <c r="R66" s="59"/>
      <c r="S66" s="59"/>
      <c r="T66" s="162">
        <f t="shared" si="24"/>
        <v>1.0349999999999999</v>
      </c>
      <c r="U66" s="162"/>
      <c r="V66" s="162">
        <f t="shared" si="27"/>
        <v>1.3302223960680231</v>
      </c>
    </row>
    <row r="67" spans="1:22">
      <c r="A67" s="48">
        <f t="shared" si="17"/>
        <v>2028</v>
      </c>
      <c r="B67" s="158">
        <v>1.2</v>
      </c>
      <c r="C67" s="158">
        <v>2.5</v>
      </c>
      <c r="D67" s="158">
        <f t="shared" si="16"/>
        <v>1.2845849802371356</v>
      </c>
      <c r="E67" s="158">
        <f t="shared" si="19"/>
        <v>1.346548150134308</v>
      </c>
      <c r="F67" s="158">
        <v>0</v>
      </c>
      <c r="G67" s="158">
        <f t="shared" si="22"/>
        <v>3.499999999999992</v>
      </c>
      <c r="H67" s="158">
        <f t="shared" si="20"/>
        <v>2</v>
      </c>
      <c r="I67" s="194">
        <f t="shared" si="21"/>
        <v>1.0346665592552748</v>
      </c>
      <c r="J67" s="158">
        <f t="shared" si="23"/>
        <v>1.2338066796734104</v>
      </c>
      <c r="K67" s="158">
        <f t="shared" si="25"/>
        <v>1.2768328370904358</v>
      </c>
      <c r="L67" s="158">
        <f t="shared" si="26"/>
        <v>1.2554426603179616</v>
      </c>
      <c r="M67" s="62"/>
      <c r="N67" s="62"/>
      <c r="P67" s="59"/>
      <c r="Q67" s="59"/>
      <c r="R67" s="59"/>
      <c r="S67" s="59"/>
      <c r="T67" s="162">
        <f t="shared" si="24"/>
        <v>1.0299878640061735</v>
      </c>
      <c r="U67" s="162"/>
      <c r="V67" s="162">
        <f t="shared" si="27"/>
        <v>1.3701129243792771</v>
      </c>
    </row>
    <row r="68" spans="1:22">
      <c r="A68" s="48">
        <f t="shared" si="17"/>
        <v>2029</v>
      </c>
      <c r="B68" s="158">
        <v>1.2</v>
      </c>
      <c r="C68" s="158">
        <v>2.5</v>
      </c>
      <c r="D68" s="158">
        <f t="shared" si="16"/>
        <v>1.2845849802371356</v>
      </c>
      <c r="E68" s="158">
        <f t="shared" si="19"/>
        <v>1.2845849802371356</v>
      </c>
      <c r="F68" s="158">
        <v>0</v>
      </c>
      <c r="G68" s="158">
        <f t="shared" si="22"/>
        <v>2.6882352941176357</v>
      </c>
      <c r="H68" s="158">
        <f t="shared" si="20"/>
        <v>1.2</v>
      </c>
      <c r="I68" s="194">
        <f t="shared" si="21"/>
        <v>1.0349999999999999</v>
      </c>
      <c r="J68" s="158">
        <f t="shared" si="23"/>
        <v>1.2769899134619798</v>
      </c>
      <c r="K68" s="158">
        <f t="shared" si="25"/>
        <v>1.321521986388601</v>
      </c>
      <c r="L68" s="158">
        <f t="shared" si="26"/>
        <v>1.2991774117395183</v>
      </c>
      <c r="M68" s="62"/>
      <c r="N68" s="62"/>
      <c r="P68" s="59"/>
      <c r="Q68" s="59"/>
      <c r="R68" s="59"/>
      <c r="S68" s="59"/>
      <c r="T68" s="162">
        <f t="shared" si="24"/>
        <v>1.0249999999999999</v>
      </c>
      <c r="U68" s="162"/>
      <c r="V68" s="162">
        <f t="shared" si="27"/>
        <v>1.404365747488759</v>
      </c>
    </row>
    <row r="69" spans="1:22">
      <c r="A69" s="48">
        <f t="shared" si="17"/>
        <v>2030</v>
      </c>
      <c r="B69" s="158">
        <v>1.2</v>
      </c>
      <c r="C69" s="158">
        <v>2.5</v>
      </c>
      <c r="D69" s="158">
        <f t="shared" si="16"/>
        <v>1.2845849802371356</v>
      </c>
      <c r="E69" s="158">
        <f t="shared" si="19"/>
        <v>1.2845849802371356</v>
      </c>
      <c r="F69" s="158">
        <v>0</v>
      </c>
      <c r="G69" s="158">
        <f t="shared" si="22"/>
        <v>2.6254518181521469</v>
      </c>
      <c r="H69" s="158">
        <f t="shared" si="20"/>
        <v>1.2</v>
      </c>
      <c r="I69" s="194">
        <f t="shared" si="21"/>
        <v>1.0268823529411764</v>
      </c>
      <c r="J69" s="158">
        <f t="shared" si="23"/>
        <v>1.3113184070179869</v>
      </c>
      <c r="K69" s="158">
        <f t="shared" si="25"/>
        <v>1.3570476068462238</v>
      </c>
      <c r="L69" s="158">
        <f t="shared" si="26"/>
        <v>1.3392847966174124</v>
      </c>
      <c r="M69" s="62"/>
      <c r="N69" s="62"/>
      <c r="P69" s="59"/>
      <c r="Q69" s="59"/>
      <c r="R69" s="59"/>
      <c r="S69" s="59"/>
      <c r="T69" s="162">
        <f t="shared" si="24"/>
        <v>1.0249999999999999</v>
      </c>
      <c r="U69" s="162"/>
      <c r="V69" s="162">
        <f t="shared" si="27"/>
        <v>1.4394748911759778</v>
      </c>
    </row>
    <row r="70" spans="1:22">
      <c r="A70" s="48">
        <f t="shared" si="17"/>
        <v>2031</v>
      </c>
      <c r="B70" s="158">
        <f t="shared" ref="B70:B79" si="28">B29</f>
        <v>1.2</v>
      </c>
      <c r="C70" s="158">
        <v>2.5</v>
      </c>
      <c r="D70" s="158">
        <f t="shared" si="16"/>
        <v>1.2845849802371356</v>
      </c>
      <c r="E70" s="158">
        <f t="shared" si="19"/>
        <v>1.2845849802371356</v>
      </c>
      <c r="F70" s="158">
        <v>0</v>
      </c>
      <c r="G70" s="158">
        <f t="shared" si="22"/>
        <v>2.5627067279359261</v>
      </c>
      <c r="H70" s="158">
        <f t="shared" si="20"/>
        <v>1.2</v>
      </c>
      <c r="I70" s="194">
        <f t="shared" si="21"/>
        <v>1.0262545181815215</v>
      </c>
      <c r="J70" s="158">
        <f t="shared" si="23"/>
        <v>1.3457464399768044</v>
      </c>
      <c r="K70" s="158">
        <f t="shared" si="25"/>
        <v>1.3926762379133582</v>
      </c>
      <c r="L70" s="158">
        <f t="shared" si="26"/>
        <v>1.3748619223797909</v>
      </c>
      <c r="M70" s="62"/>
      <c r="N70" s="62"/>
      <c r="P70" s="59"/>
      <c r="Q70" s="59"/>
      <c r="R70" s="59"/>
      <c r="S70" s="59"/>
      <c r="T70" s="162">
        <f t="shared" si="24"/>
        <v>1.0249999999999999</v>
      </c>
      <c r="U70" s="162"/>
      <c r="V70" s="162">
        <f t="shared" si="27"/>
        <v>1.4754617634553771</v>
      </c>
    </row>
    <row r="71" spans="1:22">
      <c r="A71" s="48">
        <f t="shared" si="17"/>
        <v>2032</v>
      </c>
      <c r="B71" s="158">
        <f t="shared" si="28"/>
        <v>1.2</v>
      </c>
      <c r="C71" s="158">
        <v>2.5</v>
      </c>
      <c r="D71" s="158">
        <f t="shared" si="16"/>
        <v>1.2845849802371356</v>
      </c>
      <c r="E71" s="158">
        <f t="shared" si="19"/>
        <v>1.2845849802371356</v>
      </c>
      <c r="F71" s="158">
        <v>0</v>
      </c>
      <c r="G71" s="158">
        <f t="shared" si="22"/>
        <v>2.4999999999999911</v>
      </c>
      <c r="H71" s="158">
        <f t="shared" si="20"/>
        <v>1.2</v>
      </c>
      <c r="I71" s="194">
        <f t="shared" si="21"/>
        <v>1.0256270672793593</v>
      </c>
      <c r="J71" s="158">
        <f t="shared" si="23"/>
        <v>1.3802339745350483</v>
      </c>
      <c r="K71" s="158">
        <f t="shared" si="25"/>
        <v>1.4283664455607288</v>
      </c>
      <c r="L71" s="158">
        <f t="shared" si="26"/>
        <v>1.4105213417370435</v>
      </c>
      <c r="M71" s="62"/>
      <c r="N71" s="62"/>
      <c r="P71" s="59"/>
      <c r="Q71" s="59"/>
      <c r="R71" s="59"/>
      <c r="S71" s="59"/>
      <c r="T71" s="162">
        <f t="shared" si="24"/>
        <v>1.0249999999999999</v>
      </c>
      <c r="U71" s="162"/>
      <c r="V71" s="162">
        <f t="shared" si="27"/>
        <v>1.5123483075417614</v>
      </c>
    </row>
    <row r="72" spans="1:22">
      <c r="A72" s="48">
        <f t="shared" si="17"/>
        <v>2033</v>
      </c>
      <c r="B72" s="158">
        <f t="shared" si="28"/>
        <v>1.2</v>
      </c>
      <c r="C72" s="158">
        <v>2.5</v>
      </c>
      <c r="D72" s="158">
        <f t="shared" si="16"/>
        <v>1.2845849802371356</v>
      </c>
      <c r="E72" s="158">
        <f t="shared" si="19"/>
        <v>1.2845849802371356</v>
      </c>
      <c r="F72" s="158">
        <v>0</v>
      </c>
      <c r="G72" s="158">
        <f t="shared" si="22"/>
        <v>2.4999999999999911</v>
      </c>
      <c r="H72" s="158">
        <f t="shared" si="20"/>
        <v>1.2</v>
      </c>
      <c r="I72" s="194">
        <f t="shared" si="21"/>
        <v>1.0249999999999999</v>
      </c>
      <c r="J72" s="158">
        <f t="shared" si="23"/>
        <v>1.4147398238984243</v>
      </c>
      <c r="K72" s="158">
        <f t="shared" si="25"/>
        <v>1.4640756066997469</v>
      </c>
      <c r="L72" s="158">
        <f t="shared" si="26"/>
        <v>1.446221026130238</v>
      </c>
      <c r="M72" s="62"/>
      <c r="N72" s="62"/>
      <c r="P72" s="59"/>
      <c r="Q72" s="59"/>
      <c r="R72" s="59"/>
      <c r="S72" s="59"/>
      <c r="T72" s="162">
        <f t="shared" si="24"/>
        <v>1.0249999999999999</v>
      </c>
      <c r="U72" s="162"/>
      <c r="V72" s="162">
        <f t="shared" si="27"/>
        <v>1.5501570152303052</v>
      </c>
    </row>
    <row r="73" spans="1:22">
      <c r="A73" s="48">
        <f t="shared" si="17"/>
        <v>2034</v>
      </c>
      <c r="B73" s="158">
        <f t="shared" si="28"/>
        <v>1.2</v>
      </c>
      <c r="C73" s="158">
        <v>2.5</v>
      </c>
      <c r="D73" s="158">
        <f t="shared" si="16"/>
        <v>1.2845849802371356</v>
      </c>
      <c r="E73" s="158">
        <f t="shared" si="19"/>
        <v>1.2845849802371356</v>
      </c>
      <c r="F73" s="158">
        <v>0</v>
      </c>
      <c r="G73" s="158">
        <f t="shared" si="22"/>
        <v>2.4999999999999911</v>
      </c>
      <c r="H73" s="158">
        <f t="shared" si="20"/>
        <v>1.2</v>
      </c>
      <c r="I73" s="194">
        <f t="shared" si="21"/>
        <v>1.0249999999999999</v>
      </c>
      <c r="J73" s="158">
        <f t="shared" si="23"/>
        <v>1.4501083194958848</v>
      </c>
      <c r="K73" s="158">
        <f t="shared" si="25"/>
        <v>1.5006774968672405</v>
      </c>
      <c r="L73" s="158">
        <f t="shared" si="26"/>
        <v>1.4823765517834937</v>
      </c>
      <c r="M73" s="62"/>
      <c r="N73" s="62"/>
      <c r="P73" s="59"/>
      <c r="Q73" s="59"/>
      <c r="R73" s="59"/>
      <c r="S73" s="59"/>
      <c r="T73" s="162">
        <f t="shared" si="24"/>
        <v>1.0249999999999999</v>
      </c>
      <c r="U73" s="162"/>
      <c r="V73" s="162">
        <f t="shared" si="27"/>
        <v>1.5889109406110626</v>
      </c>
    </row>
    <row r="74" spans="1:22">
      <c r="A74" s="48">
        <f t="shared" si="17"/>
        <v>2035</v>
      </c>
      <c r="B74" s="158">
        <f t="shared" si="28"/>
        <v>1.2</v>
      </c>
      <c r="C74" s="158">
        <v>2.5</v>
      </c>
      <c r="D74" s="158">
        <f t="shared" si="16"/>
        <v>1.2845849802371356</v>
      </c>
      <c r="E74" s="158">
        <f t="shared" si="19"/>
        <v>1.2845849802371356</v>
      </c>
      <c r="F74" s="158">
        <v>0</v>
      </c>
      <c r="G74" s="158">
        <f t="shared" si="22"/>
        <v>2.4999999999999911</v>
      </c>
      <c r="H74" s="158">
        <f t="shared" si="20"/>
        <v>1.2</v>
      </c>
      <c r="I74" s="194">
        <f t="shared" si="21"/>
        <v>1.0249999999999999</v>
      </c>
      <c r="J74" s="158">
        <f t="shared" si="23"/>
        <v>1.4863610274832817</v>
      </c>
      <c r="K74" s="158">
        <f t="shared" si="25"/>
        <v>1.5381944342889213</v>
      </c>
      <c r="L74" s="158">
        <f t="shared" si="26"/>
        <v>1.5194359655780809</v>
      </c>
      <c r="M74" s="62"/>
      <c r="N74" s="62"/>
      <c r="P74" s="59"/>
      <c r="Q74" s="59"/>
      <c r="R74" s="59"/>
      <c r="S74" s="59"/>
      <c r="T74" s="162">
        <f t="shared" si="24"/>
        <v>1.0249999999999999</v>
      </c>
      <c r="U74" s="162"/>
      <c r="V74" s="162">
        <f t="shared" si="27"/>
        <v>1.6286337141263392</v>
      </c>
    </row>
    <row r="75" spans="1:22">
      <c r="A75" s="48">
        <f t="shared" si="17"/>
        <v>2036</v>
      </c>
      <c r="B75" s="158">
        <f t="shared" si="28"/>
        <v>1.2</v>
      </c>
      <c r="C75" s="158">
        <v>2.5</v>
      </c>
      <c r="D75" s="158">
        <f t="shared" si="16"/>
        <v>1.2845849802371356</v>
      </c>
      <c r="E75" s="158">
        <f t="shared" si="19"/>
        <v>1.2845849802371356</v>
      </c>
      <c r="F75" s="158">
        <v>0</v>
      </c>
      <c r="G75" s="158">
        <f t="shared" si="22"/>
        <v>2.4999999999999911</v>
      </c>
      <c r="H75" s="158">
        <f t="shared" si="20"/>
        <v>1.2</v>
      </c>
      <c r="I75" s="194">
        <f t="shared" si="21"/>
        <v>1.0249999999999999</v>
      </c>
      <c r="J75" s="158">
        <f t="shared" si="23"/>
        <v>1.5235200531703637</v>
      </c>
      <c r="K75" s="158">
        <f t="shared" si="25"/>
        <v>1.5766492951461442</v>
      </c>
      <c r="L75" s="158">
        <f t="shared" si="26"/>
        <v>1.5574218647175329</v>
      </c>
      <c r="M75" s="62"/>
      <c r="N75" s="62"/>
      <c r="P75" s="59"/>
      <c r="Q75" s="59"/>
      <c r="R75" s="59"/>
      <c r="S75" s="59"/>
      <c r="T75" s="162">
        <f t="shared" si="24"/>
        <v>1.0249999999999999</v>
      </c>
      <c r="U75" s="162"/>
      <c r="V75" s="162">
        <f t="shared" si="27"/>
        <v>1.6693495569794976</v>
      </c>
    </row>
    <row r="76" spans="1:22">
      <c r="A76" s="48">
        <f t="shared" si="17"/>
        <v>2037</v>
      </c>
      <c r="B76" s="158">
        <f t="shared" si="28"/>
        <v>1.2</v>
      </c>
      <c r="C76" s="158">
        <v>2.5</v>
      </c>
      <c r="D76" s="158">
        <f t="shared" si="16"/>
        <v>1.2845849802371356</v>
      </c>
      <c r="E76" s="158">
        <f t="shared" si="19"/>
        <v>1.2845849802371356</v>
      </c>
      <c r="F76" s="158">
        <v>0</v>
      </c>
      <c r="G76" s="158">
        <f t="shared" si="22"/>
        <v>2.4999999999999911</v>
      </c>
      <c r="H76" s="158">
        <f t="shared" si="20"/>
        <v>1.2</v>
      </c>
      <c r="I76" s="194">
        <f t="shared" si="21"/>
        <v>1.0249999999999999</v>
      </c>
      <c r="J76" s="158">
        <f t="shared" si="23"/>
        <v>1.5616080544996227</v>
      </c>
      <c r="K76" s="158">
        <f t="shared" si="25"/>
        <v>1.6160655275247977</v>
      </c>
      <c r="L76" s="158">
        <f t="shared" si="26"/>
        <v>1.5963574113354708</v>
      </c>
      <c r="M76" s="62"/>
      <c r="N76" s="62"/>
      <c r="P76" s="59"/>
      <c r="Q76" s="59"/>
      <c r="R76" s="59"/>
      <c r="S76" s="59"/>
      <c r="T76" s="162">
        <f t="shared" si="24"/>
        <v>1.0249999999999999</v>
      </c>
      <c r="U76" s="162"/>
      <c r="V76" s="162">
        <f t="shared" si="27"/>
        <v>1.711083295903985</v>
      </c>
    </row>
    <row r="77" spans="1:22">
      <c r="A77" s="48">
        <f t="shared" si="17"/>
        <v>2038</v>
      </c>
      <c r="B77" s="158">
        <f t="shared" si="28"/>
        <v>1.2</v>
      </c>
      <c r="C77" s="158">
        <v>2.5</v>
      </c>
      <c r="D77" s="158">
        <f t="shared" si="16"/>
        <v>1.2845849802371356</v>
      </c>
      <c r="E77" s="158">
        <f t="shared" si="19"/>
        <v>1.2845849802371356</v>
      </c>
      <c r="F77" s="158">
        <v>0</v>
      </c>
      <c r="G77" s="158">
        <f t="shared" si="22"/>
        <v>2.4999999999999911</v>
      </c>
      <c r="H77" s="158">
        <f t="shared" si="20"/>
        <v>1.2</v>
      </c>
      <c r="I77" s="194">
        <f t="shared" si="21"/>
        <v>1.0249999999999999</v>
      </c>
      <c r="J77" s="158">
        <f t="shared" si="23"/>
        <v>1.6006482558621131</v>
      </c>
      <c r="K77" s="158">
        <f t="shared" si="25"/>
        <v>1.6564671657129175</v>
      </c>
      <c r="L77" s="158">
        <f t="shared" si="26"/>
        <v>1.6362663466188576</v>
      </c>
      <c r="M77" s="62"/>
      <c r="N77" s="62"/>
      <c r="P77" s="59"/>
      <c r="Q77" s="59"/>
      <c r="R77" s="59"/>
      <c r="S77" s="59"/>
      <c r="T77" s="162">
        <f t="shared" si="24"/>
        <v>1.0249999999999999</v>
      </c>
      <c r="U77" s="162"/>
      <c r="V77" s="162">
        <f t="shared" si="27"/>
        <v>1.7538603783015845</v>
      </c>
    </row>
    <row r="78" spans="1:22">
      <c r="A78" s="48">
        <f t="shared" si="17"/>
        <v>2039</v>
      </c>
      <c r="B78" s="158">
        <f t="shared" si="28"/>
        <v>1.2</v>
      </c>
      <c r="C78" s="158">
        <v>2.5</v>
      </c>
      <c r="D78" s="158">
        <f t="shared" si="16"/>
        <v>1.2845849802371356</v>
      </c>
      <c r="E78" s="158">
        <f t="shared" si="19"/>
        <v>1.2845849802371356</v>
      </c>
      <c r="F78" s="158">
        <v>0</v>
      </c>
      <c r="G78" s="158">
        <f t="shared" si="22"/>
        <v>2.4999999999999911</v>
      </c>
      <c r="H78" s="158">
        <f t="shared" si="20"/>
        <v>1.2</v>
      </c>
      <c r="I78" s="194">
        <f t="shared" si="21"/>
        <v>1.0249999999999999</v>
      </c>
      <c r="J78" s="158">
        <f t="shared" si="23"/>
        <v>1.6406644622586659</v>
      </c>
      <c r="K78" s="158">
        <f t="shared" si="25"/>
        <v>1.6978788448557403</v>
      </c>
      <c r="L78" s="158">
        <f t="shared" si="26"/>
        <v>1.6771730052843288</v>
      </c>
      <c r="M78" s="62"/>
      <c r="N78" s="62"/>
      <c r="P78" s="59"/>
      <c r="Q78" s="59"/>
      <c r="R78" s="59"/>
      <c r="S78" s="59"/>
      <c r="T78" s="162">
        <f t="shared" si="24"/>
        <v>1.0249999999999999</v>
      </c>
      <c r="U78" s="162"/>
      <c r="V78" s="162">
        <f t="shared" si="27"/>
        <v>1.797706887759124</v>
      </c>
    </row>
    <row r="79" spans="1:22">
      <c r="A79" s="48">
        <f t="shared" si="17"/>
        <v>2040</v>
      </c>
      <c r="B79" s="158">
        <f t="shared" si="28"/>
        <v>1.2</v>
      </c>
      <c r="C79" s="158">
        <v>2.5</v>
      </c>
      <c r="D79" s="158">
        <f t="shared" si="16"/>
        <v>1.2845849802371356</v>
      </c>
      <c r="E79" s="158">
        <f t="shared" si="19"/>
        <v>0.85456686752016786</v>
      </c>
      <c r="F79" s="158">
        <v>0</v>
      </c>
      <c r="G79" s="158">
        <f t="shared" si="22"/>
        <v>2.4999999999999911</v>
      </c>
      <c r="H79" s="158">
        <f t="shared" si="20"/>
        <v>1.2</v>
      </c>
      <c r="I79" s="194">
        <f t="shared" si="21"/>
        <v>1.0249999999999999</v>
      </c>
      <c r="J79" s="158">
        <f t="shared" si="23"/>
        <v>1.6816810738151324</v>
      </c>
      <c r="K79" s="158">
        <f t="shared" si="25"/>
        <v>1.7403258159771335</v>
      </c>
      <c r="L79" s="158">
        <f t="shared" si="26"/>
        <v>1.7191023304164368</v>
      </c>
      <c r="M79" s="62"/>
      <c r="N79" s="62"/>
      <c r="P79" s="59"/>
      <c r="Q79" s="59"/>
      <c r="R79" s="59"/>
      <c r="S79" s="59"/>
      <c r="T79" s="162">
        <f t="shared" si="24"/>
        <v>1.0249999999999999</v>
      </c>
      <c r="U79" s="162"/>
      <c r="V79" s="162">
        <f t="shared" si="27"/>
        <v>1.8426495599531019</v>
      </c>
    </row>
  </sheetData>
  <mergeCells count="6">
    <mergeCell ref="P2:Q2"/>
    <mergeCell ref="P3:P4"/>
    <mergeCell ref="Q3:Q4"/>
    <mergeCell ref="R2:S2"/>
    <mergeCell ref="R3:R4"/>
    <mergeCell ref="S3:S4"/>
  </mergeCells>
  <phoneticPr fontId="1"/>
  <pageMargins left="0.11811023622047245" right="0.11811023622047245" top="0.55118110236220474" bottom="0.55118110236220474" header="0.31496062992125984" footer="0.31496062992125984"/>
  <pageSetup paperSize="9" scale="83" orientation="landscape" horizontalDpi="300" verticalDpi="300" r:id="rId1"/>
  <rowBreaks count="1" manualBreakCount="1">
    <brk id="39" max="21" man="1"/>
  </rowBreaks>
  <ignoredErrors>
    <ignoredError sqref="G5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Normal="100" workbookViewId="0"/>
  </sheetViews>
  <sheetFormatPr defaultRowHeight="13.5"/>
  <cols>
    <col min="1" max="1" width="9" style="48" customWidth="1"/>
    <col min="2" max="2" width="14.375" style="48" customWidth="1"/>
    <col min="3" max="3" width="13.875" style="48" customWidth="1"/>
    <col min="4" max="4" width="12" style="48" customWidth="1"/>
    <col min="5" max="5" width="2.625" style="48" customWidth="1"/>
    <col min="6" max="10" width="9" style="48"/>
    <col min="11" max="11" width="8.375" style="48" customWidth="1"/>
    <col min="12" max="16384" width="9" style="48"/>
  </cols>
  <sheetData>
    <row r="1" spans="1:14">
      <c r="B1" s="48" t="s">
        <v>108</v>
      </c>
      <c r="C1" s="48" t="s">
        <v>107</v>
      </c>
      <c r="D1" s="48" t="s">
        <v>106</v>
      </c>
      <c r="F1" s="48" t="s">
        <v>105</v>
      </c>
    </row>
    <row r="2" spans="1:14">
      <c r="B2" s="49" t="s">
        <v>198</v>
      </c>
      <c r="C2" s="49" t="s">
        <v>199</v>
      </c>
      <c r="D2" s="48" t="s">
        <v>104</v>
      </c>
      <c r="F2" s="48" t="s">
        <v>89</v>
      </c>
      <c r="G2" s="48" t="s">
        <v>103</v>
      </c>
      <c r="H2" s="48" t="s">
        <v>102</v>
      </c>
      <c r="I2" s="48" t="s">
        <v>102</v>
      </c>
      <c r="J2" s="48" t="s">
        <v>101</v>
      </c>
      <c r="K2" s="50" t="s">
        <v>100</v>
      </c>
    </row>
    <row r="3" spans="1:14">
      <c r="B3" s="49" t="s">
        <v>99</v>
      </c>
      <c r="C3" s="49" t="s">
        <v>99</v>
      </c>
      <c r="D3" s="49" t="s">
        <v>98</v>
      </c>
      <c r="F3" s="49" t="s">
        <v>97</v>
      </c>
      <c r="H3" s="49" t="s">
        <v>92</v>
      </c>
      <c r="I3" s="48" t="s">
        <v>92</v>
      </c>
      <c r="J3" s="49" t="s">
        <v>96</v>
      </c>
      <c r="K3" s="48" t="s">
        <v>95</v>
      </c>
    </row>
    <row r="4" spans="1:14">
      <c r="A4" s="48">
        <v>2012</v>
      </c>
      <c r="B4" s="49">
        <v>74125322</v>
      </c>
      <c r="C4" s="49">
        <v>74125322</v>
      </c>
      <c r="F4" s="48" t="s">
        <v>94</v>
      </c>
      <c r="I4" s="48" t="s">
        <v>93</v>
      </c>
      <c r="M4" s="49"/>
    </row>
    <row r="5" spans="1:14">
      <c r="A5" s="48">
        <v>2013</v>
      </c>
      <c r="B5" s="49">
        <v>72962347</v>
      </c>
      <c r="C5" s="49">
        <v>72971794</v>
      </c>
      <c r="D5" s="51">
        <f t="shared" ref="D5:D32" si="0">B5/C5</f>
        <v>0.99987053901950118</v>
      </c>
      <c r="G5" s="48" t="s">
        <v>91</v>
      </c>
      <c r="H5" s="57"/>
      <c r="I5" s="163">
        <v>-4.4686596627372399E-3</v>
      </c>
      <c r="J5" s="57"/>
      <c r="K5" s="57"/>
      <c r="M5" s="49"/>
      <c r="N5" s="57"/>
    </row>
    <row r="6" spans="1:14">
      <c r="A6" s="48">
        <v>2014</v>
      </c>
      <c r="B6" s="49">
        <v>71844389</v>
      </c>
      <c r="C6" s="49">
        <v>71825165</v>
      </c>
      <c r="D6" s="51">
        <f t="shared" si="0"/>
        <v>1.0002676499246468</v>
      </c>
      <c r="F6" s="53">
        <v>66.354147999999995</v>
      </c>
      <c r="G6" s="53">
        <f t="shared" ref="G6:G32" si="1">D6*F6</f>
        <v>66.371907682712191</v>
      </c>
      <c r="H6" s="57"/>
      <c r="I6" s="163">
        <v>-1.954550177758918E-3</v>
      </c>
      <c r="J6" s="57"/>
      <c r="K6" s="57"/>
      <c r="M6" s="49"/>
      <c r="N6" s="57"/>
    </row>
    <row r="7" spans="1:14">
      <c r="A7" s="48">
        <v>2015</v>
      </c>
      <c r="B7" s="49">
        <v>71227144</v>
      </c>
      <c r="C7" s="49">
        <v>70885270</v>
      </c>
      <c r="D7" s="51">
        <f t="shared" si="0"/>
        <v>1.0048229201920229</v>
      </c>
      <c r="F7" s="53">
        <v>65.931816999999995</v>
      </c>
      <c r="G7" s="53">
        <f t="shared" si="1"/>
        <v>66.249800891506055</v>
      </c>
      <c r="H7" s="57">
        <f t="shared" ref="H7:H32" si="2">G7/G6-1</f>
        <v>-1.8397360490203241E-3</v>
      </c>
      <c r="I7" s="163">
        <v>-5.5504178569232288E-4</v>
      </c>
      <c r="J7" s="57"/>
      <c r="K7" s="57"/>
      <c r="M7" s="49"/>
      <c r="N7" s="57"/>
    </row>
    <row r="8" spans="1:14" ht="14.25" customHeight="1">
      <c r="A8" s="48">
        <v>2016</v>
      </c>
      <c r="B8" s="49">
        <v>70522039</v>
      </c>
      <c r="C8" s="49">
        <v>70068882</v>
      </c>
      <c r="D8" s="51">
        <f t="shared" si="0"/>
        <v>1.0064673074132966</v>
      </c>
      <c r="F8" s="53">
        <v>65.561588</v>
      </c>
      <c r="G8" s="53">
        <f t="shared" si="1"/>
        <v>65.985594944099901</v>
      </c>
      <c r="H8" s="57">
        <f t="shared" si="2"/>
        <v>-3.9880262861292648E-3</v>
      </c>
      <c r="I8" s="163">
        <v>1.8490866445883825E-3</v>
      </c>
      <c r="J8" s="57"/>
      <c r="K8" s="57"/>
      <c r="M8" s="49"/>
      <c r="N8" s="57"/>
    </row>
    <row r="9" spans="1:14">
      <c r="A9" s="48">
        <v>2017</v>
      </c>
      <c r="B9" s="49">
        <v>69812873</v>
      </c>
      <c r="C9" s="49">
        <v>69380762</v>
      </c>
      <c r="D9" s="51">
        <f t="shared" si="0"/>
        <v>1.0062281097460417</v>
      </c>
      <c r="F9" s="53">
        <v>65.209658000000005</v>
      </c>
      <c r="G9" s="53">
        <f t="shared" si="1"/>
        <v>65.615790906525845</v>
      </c>
      <c r="H9" s="57">
        <f t="shared" si="2"/>
        <v>-5.6043146672745126E-3</v>
      </c>
      <c r="I9" s="57">
        <f t="shared" ref="I9:I32" si="3">H9</f>
        <v>-5.6043146672745126E-3</v>
      </c>
      <c r="J9" s="57">
        <f t="shared" ref="J9:J32" si="4">((1+I5)*(1+I6)*(1+I7))^(1/3)-1</f>
        <v>-2.327398281975035E-3</v>
      </c>
      <c r="K9" s="57">
        <f t="shared" ref="K9:K32" si="5">J9-0.3/100</f>
        <v>-5.327398281975035E-3</v>
      </c>
    </row>
    <row r="10" spans="1:14">
      <c r="A10" s="48">
        <v>2018</v>
      </c>
      <c r="B10" s="49">
        <v>69281976</v>
      </c>
      <c r="C10" s="49">
        <v>68802013</v>
      </c>
      <c r="D10" s="51">
        <f t="shared" si="0"/>
        <v>1.0069760022864447</v>
      </c>
      <c r="F10" s="53">
        <v>64.820700000000002</v>
      </c>
      <c r="G10" s="53">
        <f t="shared" si="1"/>
        <v>65.272889351408949</v>
      </c>
      <c r="H10" s="57">
        <f t="shared" si="2"/>
        <v>-5.2258998996961292E-3</v>
      </c>
      <c r="I10" s="57">
        <f t="shared" si="3"/>
        <v>-5.2258998996961292E-3</v>
      </c>
      <c r="J10" s="57">
        <f t="shared" si="4"/>
        <v>-2.2140198483133755E-4</v>
      </c>
      <c r="K10" s="57">
        <f t="shared" si="5"/>
        <v>-3.2214019848313376E-3</v>
      </c>
    </row>
    <row r="11" spans="1:14">
      <c r="A11" s="48">
        <v>2019</v>
      </c>
      <c r="B11" s="49">
        <v>68843376</v>
      </c>
      <c r="C11" s="49">
        <v>68311767</v>
      </c>
      <c r="D11" s="51">
        <f t="shared" si="0"/>
        <v>1.0077820999711513</v>
      </c>
      <c r="F11" s="53">
        <v>64.435546000000002</v>
      </c>
      <c r="G11" s="53">
        <f t="shared" si="1"/>
        <v>64.936989860667722</v>
      </c>
      <c r="H11" s="57">
        <f t="shared" si="2"/>
        <v>-5.1460796983086032E-3</v>
      </c>
      <c r="I11" s="57">
        <f t="shared" si="3"/>
        <v>-5.1460796983086032E-3</v>
      </c>
      <c r="J11" s="57">
        <f t="shared" si="4"/>
        <v>-1.4415913909375799E-3</v>
      </c>
      <c r="K11" s="57">
        <f t="shared" si="5"/>
        <v>-4.44159139093758E-3</v>
      </c>
    </row>
    <row r="12" spans="1:14">
      <c r="A12" s="48">
        <v>2020</v>
      </c>
      <c r="B12" s="49">
        <v>68412444</v>
      </c>
      <c r="C12" s="49">
        <v>67830463</v>
      </c>
      <c r="D12" s="51">
        <f t="shared" si="0"/>
        <v>1.0085799355372231</v>
      </c>
      <c r="F12" s="53">
        <v>64.071385000000006</v>
      </c>
      <c r="G12" s="53">
        <f t="shared" si="1"/>
        <v>64.621113353080617</v>
      </c>
      <c r="H12" s="57">
        <f t="shared" si="2"/>
        <v>-4.8643540186397161E-3</v>
      </c>
      <c r="I12" s="57">
        <f t="shared" si="3"/>
        <v>-4.8643540186397161E-3</v>
      </c>
      <c r="J12" s="57">
        <f t="shared" si="4"/>
        <v>-2.9995926211425772E-3</v>
      </c>
      <c r="K12" s="57">
        <f t="shared" si="5"/>
        <v>-5.9995926211425772E-3</v>
      </c>
    </row>
    <row r="13" spans="1:14">
      <c r="A13" s="48">
        <v>2021</v>
      </c>
      <c r="B13" s="49">
        <v>68012383</v>
      </c>
      <c r="C13" s="49">
        <v>67395371</v>
      </c>
      <c r="D13" s="51">
        <f t="shared" si="0"/>
        <v>1.0091551094807387</v>
      </c>
      <c r="F13" s="53">
        <v>63.713855999999993</v>
      </c>
      <c r="G13" s="53">
        <f t="shared" si="1"/>
        <v>64.297163327120018</v>
      </c>
      <c r="H13" s="57">
        <f t="shared" si="2"/>
        <v>-5.0130678527710026E-3</v>
      </c>
      <c r="I13" s="57">
        <f t="shared" si="3"/>
        <v>-5.0130678527710026E-3</v>
      </c>
      <c r="J13" s="57">
        <f t="shared" si="4"/>
        <v>-5.325451505286849E-3</v>
      </c>
      <c r="K13" s="57">
        <f t="shared" si="5"/>
        <v>-8.3254515052868482E-3</v>
      </c>
    </row>
    <row r="14" spans="1:14">
      <c r="A14" s="48">
        <v>2022</v>
      </c>
      <c r="B14" s="49">
        <v>67675416</v>
      </c>
      <c r="C14" s="49">
        <v>67021815</v>
      </c>
      <c r="D14" s="51">
        <f t="shared" si="0"/>
        <v>1.0097520635631847</v>
      </c>
      <c r="F14" s="53">
        <v>63.340461999999995</v>
      </c>
      <c r="G14" s="53">
        <f t="shared" si="1"/>
        <v>63.958162211545478</v>
      </c>
      <c r="H14" s="57">
        <f t="shared" si="2"/>
        <v>-5.2724116902300722E-3</v>
      </c>
      <c r="I14" s="57">
        <f t="shared" si="3"/>
        <v>-5.2724116902300722E-3</v>
      </c>
      <c r="J14" s="57">
        <f t="shared" si="4"/>
        <v>-5.0787899582217522E-3</v>
      </c>
      <c r="K14" s="57">
        <f t="shared" si="5"/>
        <v>-8.0787899582217514E-3</v>
      </c>
    </row>
    <row r="15" spans="1:14">
      <c r="A15" s="48">
        <v>2023</v>
      </c>
      <c r="B15" s="49">
        <v>67270362</v>
      </c>
      <c r="C15" s="49">
        <v>66583631</v>
      </c>
      <c r="D15" s="51">
        <f t="shared" si="0"/>
        <v>1.0103138112128489</v>
      </c>
      <c r="F15" s="53">
        <v>62.944411999999993</v>
      </c>
      <c r="G15" s="53">
        <f t="shared" si="1"/>
        <v>63.593608782271772</v>
      </c>
      <c r="H15" s="57">
        <f t="shared" si="2"/>
        <v>-5.6998734276936247E-3</v>
      </c>
      <c r="I15" s="57">
        <f t="shared" si="3"/>
        <v>-5.6998734276936247E-3</v>
      </c>
      <c r="J15" s="57">
        <f t="shared" si="4"/>
        <v>-5.0078405108235913E-3</v>
      </c>
      <c r="K15" s="57">
        <f t="shared" si="5"/>
        <v>-8.0078405108235905E-3</v>
      </c>
    </row>
    <row r="16" spans="1:14">
      <c r="A16" s="48">
        <v>2024</v>
      </c>
      <c r="B16" s="49">
        <v>66811326</v>
      </c>
      <c r="C16" s="49">
        <v>66093725</v>
      </c>
      <c r="D16" s="51">
        <f t="shared" si="0"/>
        <v>1.0108573242013519</v>
      </c>
      <c r="F16" s="53">
        <v>62.501272</v>
      </c>
      <c r="G16" s="53">
        <f t="shared" si="1"/>
        <v>63.179868573100876</v>
      </c>
      <c r="H16" s="57">
        <f t="shared" si="2"/>
        <v>-6.5060029945372966E-3</v>
      </c>
      <c r="I16" s="57">
        <f t="shared" si="3"/>
        <v>-6.5060029945372966E-3</v>
      </c>
      <c r="J16" s="57">
        <f t="shared" si="4"/>
        <v>-5.0499588091077463E-3</v>
      </c>
      <c r="K16" s="57">
        <f t="shared" si="5"/>
        <v>-8.0499588091077455E-3</v>
      </c>
    </row>
    <row r="17" spans="1:11">
      <c r="A17" s="48">
        <v>2025</v>
      </c>
      <c r="B17" s="49">
        <v>66347435</v>
      </c>
      <c r="C17" s="49">
        <v>65593420</v>
      </c>
      <c r="D17" s="51">
        <f t="shared" si="0"/>
        <v>1.0114952841306339</v>
      </c>
      <c r="F17" s="53">
        <v>62.021431</v>
      </c>
      <c r="G17" s="53">
        <f t="shared" si="1"/>
        <v>62.734384971533508</v>
      </c>
      <c r="H17" s="57">
        <f t="shared" si="2"/>
        <v>-7.0510371678271788E-3</v>
      </c>
      <c r="I17" s="57">
        <f t="shared" si="3"/>
        <v>-7.0510371678271788E-3</v>
      </c>
      <c r="J17" s="57">
        <f t="shared" si="4"/>
        <v>-5.328491300818361E-3</v>
      </c>
      <c r="K17" s="57">
        <f t="shared" si="5"/>
        <v>-8.3284913008183602E-3</v>
      </c>
    </row>
    <row r="18" spans="1:11">
      <c r="A18" s="48">
        <v>2026</v>
      </c>
      <c r="B18" s="49">
        <v>65896485</v>
      </c>
      <c r="C18" s="49">
        <v>65111665</v>
      </c>
      <c r="D18" s="51">
        <f t="shared" si="0"/>
        <v>1.0120534469514795</v>
      </c>
      <c r="F18" s="53">
        <v>61.586846999999999</v>
      </c>
      <c r="G18" s="53">
        <f t="shared" si="1"/>
        <v>62.329180793223379</v>
      </c>
      <c r="H18" s="57">
        <f t="shared" si="2"/>
        <v>-6.4590444059345886E-3</v>
      </c>
      <c r="I18" s="57">
        <f t="shared" si="3"/>
        <v>-6.4590444059345886E-3</v>
      </c>
      <c r="J18" s="57">
        <f t="shared" si="4"/>
        <v>-5.8262276153503434E-3</v>
      </c>
      <c r="K18" s="57">
        <f t="shared" si="5"/>
        <v>-8.8262276153503426E-3</v>
      </c>
    </row>
    <row r="19" spans="1:11">
      <c r="A19" s="48">
        <v>2027</v>
      </c>
      <c r="B19" s="49">
        <v>65435116</v>
      </c>
      <c r="C19" s="49">
        <v>64618092</v>
      </c>
      <c r="D19" s="51">
        <f t="shared" si="0"/>
        <v>1.0126438892686587</v>
      </c>
      <c r="F19" s="53">
        <v>61.125872999999999</v>
      </c>
      <c r="G19" s="53">
        <f t="shared" si="1"/>
        <v>61.898741769662088</v>
      </c>
      <c r="H19" s="57">
        <f t="shared" si="2"/>
        <v>-6.9058989398443904E-3</v>
      </c>
      <c r="I19" s="57">
        <f t="shared" si="3"/>
        <v>-6.9058989398443904E-3</v>
      </c>
      <c r="J19" s="57">
        <f t="shared" si="4"/>
        <v>-6.4191262090467216E-3</v>
      </c>
      <c r="K19" s="57">
        <f t="shared" si="5"/>
        <v>-9.4191262090467208E-3</v>
      </c>
    </row>
    <row r="20" spans="1:11">
      <c r="A20" s="48">
        <v>2028</v>
      </c>
      <c r="B20" s="49">
        <v>64935949</v>
      </c>
      <c r="C20" s="49">
        <v>64083071</v>
      </c>
      <c r="D20" s="51">
        <f t="shared" si="0"/>
        <v>1.0133089439487069</v>
      </c>
      <c r="F20" s="53">
        <v>60.569124999999993</v>
      </c>
      <c r="G20" s="53">
        <f t="shared" si="1"/>
        <v>61.37523608964721</v>
      </c>
      <c r="H20" s="57">
        <f t="shared" si="2"/>
        <v>-8.4574526888276935E-3</v>
      </c>
      <c r="I20" s="57">
        <f t="shared" si="3"/>
        <v>-8.4574526888276935E-3</v>
      </c>
      <c r="J20" s="57">
        <f t="shared" si="4"/>
        <v>-6.6720645321216576E-3</v>
      </c>
      <c r="K20" s="57">
        <f t="shared" si="5"/>
        <v>-9.6720645321216568E-3</v>
      </c>
    </row>
    <row r="21" spans="1:11">
      <c r="A21" s="48">
        <v>2029</v>
      </c>
      <c r="B21" s="49">
        <v>64381372</v>
      </c>
      <c r="C21" s="49">
        <v>63485544</v>
      </c>
      <c r="D21" s="51">
        <f t="shared" si="0"/>
        <v>1.0141107399189964</v>
      </c>
      <c r="F21" s="53">
        <v>59.979301999999997</v>
      </c>
      <c r="G21" s="53">
        <f t="shared" si="1"/>
        <v>60.825654331044937</v>
      </c>
      <c r="H21" s="57">
        <f t="shared" si="2"/>
        <v>-8.9544544936581705E-3</v>
      </c>
      <c r="I21" s="57">
        <f t="shared" si="3"/>
        <v>-8.9544544936581705E-3</v>
      </c>
      <c r="J21" s="57">
        <f t="shared" si="4"/>
        <v>-6.8053587857194175E-3</v>
      </c>
      <c r="K21" s="57">
        <f t="shared" si="5"/>
        <v>-9.8053587857194167E-3</v>
      </c>
    </row>
    <row r="22" spans="1:11">
      <c r="A22" s="48">
        <v>2030</v>
      </c>
      <c r="B22" s="49">
        <v>63716049</v>
      </c>
      <c r="C22" s="49">
        <v>62784396</v>
      </c>
      <c r="D22" s="51">
        <f t="shared" si="0"/>
        <v>1.0148389259012702</v>
      </c>
      <c r="F22" s="53">
        <v>59.353775999999996</v>
      </c>
      <c r="G22" s="53">
        <f t="shared" si="1"/>
        <v>60.234522284024585</v>
      </c>
      <c r="H22" s="57">
        <f t="shared" si="2"/>
        <v>-9.7184658927481626E-3</v>
      </c>
      <c r="I22" s="57">
        <f t="shared" si="3"/>
        <v>-9.7184658927481626E-3</v>
      </c>
      <c r="J22" s="57">
        <f t="shared" si="4"/>
        <v>-7.2745015206567842E-3</v>
      </c>
      <c r="K22" s="57">
        <f t="shared" si="5"/>
        <v>-1.0274501520656783E-2</v>
      </c>
    </row>
    <row r="23" spans="1:11">
      <c r="A23" s="48">
        <v>2031</v>
      </c>
      <c r="B23" s="49">
        <v>63363234</v>
      </c>
      <c r="C23" s="49">
        <v>62407317</v>
      </c>
      <c r="D23" s="51">
        <f t="shared" si="0"/>
        <v>1.0153173865814484</v>
      </c>
      <c r="F23" s="53">
        <v>58.659074999999994</v>
      </c>
      <c r="G23" s="53">
        <f t="shared" si="1"/>
        <v>59.557578728285172</v>
      </c>
      <c r="H23" s="57">
        <f t="shared" si="2"/>
        <v>-1.1238464755268018E-2</v>
      </c>
      <c r="I23" s="57">
        <f t="shared" si="3"/>
        <v>-1.1238464755268018E-2</v>
      </c>
      <c r="J23" s="57">
        <f t="shared" si="4"/>
        <v>-8.1063189694637883E-3</v>
      </c>
      <c r="K23" s="57">
        <f t="shared" si="5"/>
        <v>-1.1106318969463787E-2</v>
      </c>
    </row>
    <row r="24" spans="1:11">
      <c r="A24" s="48">
        <v>2032</v>
      </c>
      <c r="B24" s="49">
        <v>62612572</v>
      </c>
      <c r="C24" s="49">
        <v>61632540</v>
      </c>
      <c r="D24" s="51">
        <f t="shared" si="0"/>
        <v>1.0159012106267242</v>
      </c>
      <c r="F24" s="53">
        <v>57.885660999999999</v>
      </c>
      <c r="G24" s="53">
        <f t="shared" si="1"/>
        <v>58.806113087828152</v>
      </c>
      <c r="H24" s="57">
        <f t="shared" si="2"/>
        <v>-1.2617464586419325E-2</v>
      </c>
      <c r="I24" s="57">
        <f t="shared" si="3"/>
        <v>-1.2617464586419325E-2</v>
      </c>
      <c r="J24" s="57">
        <f t="shared" si="4"/>
        <v>-9.0435934243482397E-3</v>
      </c>
      <c r="K24" s="57">
        <f t="shared" si="5"/>
        <v>-1.2043593424348239E-2</v>
      </c>
    </row>
    <row r="25" spans="1:11">
      <c r="A25" s="48">
        <v>2033</v>
      </c>
      <c r="B25" s="49">
        <v>61856301</v>
      </c>
      <c r="C25" s="49">
        <v>60839679</v>
      </c>
      <c r="D25" s="51">
        <f t="shared" si="0"/>
        <v>1.016709851477027</v>
      </c>
      <c r="F25" s="53">
        <v>57.055066000000004</v>
      </c>
      <c r="G25" s="53">
        <f t="shared" si="1"/>
        <v>58.008447678871974</v>
      </c>
      <c r="H25" s="57">
        <f t="shared" si="2"/>
        <v>-1.3564328044685547E-2</v>
      </c>
      <c r="I25" s="57">
        <f t="shared" si="3"/>
        <v>-1.3564328044685547E-2</v>
      </c>
      <c r="J25" s="57">
        <f t="shared" si="4"/>
        <v>-9.970916963162435E-3</v>
      </c>
      <c r="K25" s="57">
        <f t="shared" si="5"/>
        <v>-1.2970916963162434E-2</v>
      </c>
    </row>
    <row r="26" spans="1:11">
      <c r="A26" s="48">
        <v>2034</v>
      </c>
      <c r="B26" s="49">
        <v>61028622</v>
      </c>
      <c r="C26" s="49">
        <v>59992160</v>
      </c>
      <c r="D26" s="51">
        <f t="shared" si="0"/>
        <v>1.0172766241455551</v>
      </c>
      <c r="F26" s="53">
        <v>56.196796999999997</v>
      </c>
      <c r="G26" s="53">
        <f t="shared" si="1"/>
        <v>57.167687939953055</v>
      </c>
      <c r="H26" s="57">
        <f t="shared" si="2"/>
        <v>-1.449374655866098E-2</v>
      </c>
      <c r="I26" s="57">
        <f t="shared" si="3"/>
        <v>-1.449374655866098E-2</v>
      </c>
      <c r="J26" s="57">
        <f t="shared" si="4"/>
        <v>-1.1192173879588707E-2</v>
      </c>
      <c r="K26" s="57">
        <f t="shared" si="5"/>
        <v>-1.4192173879588706E-2</v>
      </c>
    </row>
    <row r="27" spans="1:11">
      <c r="A27" s="48">
        <v>2035</v>
      </c>
      <c r="B27" s="49">
        <v>60163858</v>
      </c>
      <c r="C27" s="49">
        <v>59096270</v>
      </c>
      <c r="D27" s="51">
        <f t="shared" si="0"/>
        <v>1.0180652349124573</v>
      </c>
      <c r="F27" s="53">
        <v>55.343184000000001</v>
      </c>
      <c r="G27" s="53">
        <f t="shared" si="1"/>
        <v>56.342971619763347</v>
      </c>
      <c r="H27" s="57">
        <f t="shared" si="2"/>
        <v>-1.4426266828491685E-2</v>
      </c>
      <c r="I27" s="57">
        <f t="shared" si="3"/>
        <v>-1.4426266828491685E-2</v>
      </c>
      <c r="J27" s="57">
        <f t="shared" si="4"/>
        <v>-1.2473880812889471E-2</v>
      </c>
      <c r="K27" s="57">
        <f t="shared" si="5"/>
        <v>-1.547388081288947E-2</v>
      </c>
    </row>
    <row r="28" spans="1:11">
      <c r="A28" s="48">
        <v>2036</v>
      </c>
      <c r="B28" s="49">
        <v>59284494</v>
      </c>
      <c r="C28" s="49">
        <v>58127723</v>
      </c>
      <c r="D28" s="51">
        <f t="shared" si="0"/>
        <v>1.0199005042740106</v>
      </c>
      <c r="F28" s="53">
        <v>54.504434000000003</v>
      </c>
      <c r="G28" s="53">
        <f t="shared" si="1"/>
        <v>55.589099721769529</v>
      </c>
      <c r="H28" s="57">
        <f t="shared" si="2"/>
        <v>-1.3380052139979504E-2</v>
      </c>
      <c r="I28" s="57">
        <f t="shared" si="3"/>
        <v>-1.3380052139979504E-2</v>
      </c>
      <c r="J28" s="57">
        <f t="shared" si="4"/>
        <v>-1.3558810471991367E-2</v>
      </c>
      <c r="K28" s="57">
        <f t="shared" si="5"/>
        <v>-1.6558810471991366E-2</v>
      </c>
    </row>
    <row r="29" spans="1:11">
      <c r="A29" s="48">
        <v>2037</v>
      </c>
      <c r="B29" s="49">
        <v>58334098</v>
      </c>
      <c r="C29" s="49">
        <v>57091751</v>
      </c>
      <c r="D29" s="51">
        <f t="shared" si="0"/>
        <v>1.0217605341969631</v>
      </c>
      <c r="F29" s="53">
        <v>53.651550999999998</v>
      </c>
      <c r="G29" s="53">
        <f t="shared" si="1"/>
        <v>54.819037410255611</v>
      </c>
      <c r="H29" s="57">
        <f t="shared" si="2"/>
        <v>-1.3852757381720093E-2</v>
      </c>
      <c r="I29" s="57">
        <f t="shared" si="3"/>
        <v>-1.3852757381720093E-2</v>
      </c>
      <c r="J29" s="57">
        <f t="shared" si="4"/>
        <v>-1.4161537929100687E-2</v>
      </c>
      <c r="K29" s="57">
        <f t="shared" si="5"/>
        <v>-1.7161537929100686E-2</v>
      </c>
    </row>
    <row r="30" spans="1:11">
      <c r="A30" s="48">
        <v>2038</v>
      </c>
      <c r="B30" s="49">
        <v>57328769</v>
      </c>
      <c r="C30" s="49">
        <v>56001378</v>
      </c>
      <c r="D30" s="51">
        <f t="shared" si="0"/>
        <v>1.0237028274554243</v>
      </c>
      <c r="F30" s="53">
        <v>52.786217999999998</v>
      </c>
      <c r="G30" s="53">
        <f t="shared" si="1"/>
        <v>54.037400617278408</v>
      </c>
      <c r="H30" s="57">
        <f t="shared" si="2"/>
        <v>-1.4258491755839819E-2</v>
      </c>
      <c r="I30" s="57">
        <f t="shared" si="3"/>
        <v>-1.4258491755839819E-2</v>
      </c>
      <c r="J30" s="57">
        <f t="shared" si="4"/>
        <v>-1.4100153638000767E-2</v>
      </c>
      <c r="K30" s="57">
        <f t="shared" si="5"/>
        <v>-1.7100153638000767E-2</v>
      </c>
    </row>
    <row r="31" spans="1:11">
      <c r="A31" s="48">
        <v>2039</v>
      </c>
      <c r="B31" s="49">
        <v>56336451</v>
      </c>
      <c r="C31" s="49">
        <v>54927191</v>
      </c>
      <c r="D31" s="51">
        <f t="shared" si="0"/>
        <v>1.0256568736602605</v>
      </c>
      <c r="F31" s="53">
        <v>51.938772999999998</v>
      </c>
      <c r="G31" s="53">
        <f t="shared" si="1"/>
        <v>53.271359536929943</v>
      </c>
      <c r="H31" s="57">
        <f t="shared" si="2"/>
        <v>-1.4176127489439638E-2</v>
      </c>
      <c r="I31" s="57">
        <f t="shared" si="3"/>
        <v>-1.4176127489439638E-2</v>
      </c>
      <c r="J31" s="57">
        <f t="shared" si="4"/>
        <v>-1.3886451571020864E-2</v>
      </c>
      <c r="K31" s="57">
        <f t="shared" si="5"/>
        <v>-1.6886451571020863E-2</v>
      </c>
    </row>
    <row r="32" spans="1:11">
      <c r="A32" s="48">
        <v>2040</v>
      </c>
      <c r="B32" s="49">
        <v>55426050</v>
      </c>
      <c r="C32" s="49">
        <v>53932633</v>
      </c>
      <c r="D32" s="51">
        <f t="shared" si="0"/>
        <v>1.0276904151888895</v>
      </c>
      <c r="F32" s="53">
        <v>51.121571000000003</v>
      </c>
      <c r="G32" s="53">
        <f t="shared" si="1"/>
        <v>52.537148526098292</v>
      </c>
      <c r="H32" s="57">
        <f t="shared" si="2"/>
        <v>-1.3782471804998031E-2</v>
      </c>
      <c r="I32" s="57">
        <f t="shared" si="3"/>
        <v>-1.3782471804998031E-2</v>
      </c>
      <c r="J32" s="57">
        <f t="shared" si="4"/>
        <v>-1.3830499090556558E-2</v>
      </c>
      <c r="K32" s="57">
        <f t="shared" si="5"/>
        <v>-1.6830499090556558E-2</v>
      </c>
    </row>
    <row r="34" spans="1:1">
      <c r="A34" s="48" t="s">
        <v>197</v>
      </c>
    </row>
  </sheetData>
  <phoneticPr fontId="1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zoomScaleNormal="100" workbookViewId="0"/>
  </sheetViews>
  <sheetFormatPr defaultRowHeight="13.5"/>
  <cols>
    <col min="1" max="16384" width="9" style="1"/>
  </cols>
  <sheetData/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Normal="100" workbookViewId="0"/>
  </sheetViews>
  <sheetFormatPr defaultRowHeight="13.5"/>
  <cols>
    <col min="1" max="1" width="7.625" style="1" customWidth="1"/>
    <col min="2" max="2" width="5.5" style="1" bestFit="1" customWidth="1"/>
    <col min="3" max="8" width="10.125" style="1" customWidth="1"/>
    <col min="9" max="9" width="10.125" style="2" customWidth="1"/>
    <col min="10" max="10" width="5.5" style="1" customWidth="1"/>
    <col min="11" max="11" width="6.125" style="24" customWidth="1"/>
    <col min="12" max="17" width="4.375" style="24" customWidth="1"/>
    <col min="18" max="18" width="5" style="24" customWidth="1"/>
    <col min="19" max="25" width="5.5" style="24" customWidth="1"/>
    <col min="26" max="16384" width="9" style="1"/>
  </cols>
  <sheetData>
    <row r="1" spans="1:25">
      <c r="A1" s="1" t="s">
        <v>196</v>
      </c>
    </row>
    <row r="2" spans="1:25">
      <c r="I2" s="28" t="s">
        <v>112</v>
      </c>
    </row>
    <row r="3" spans="1:25">
      <c r="A3" s="3" t="s">
        <v>55</v>
      </c>
      <c r="B3" s="29" t="s">
        <v>113</v>
      </c>
      <c r="C3" s="3" t="s">
        <v>56</v>
      </c>
      <c r="D3" s="4" t="s">
        <v>57</v>
      </c>
      <c r="E3" s="38"/>
      <c r="F3" s="5"/>
      <c r="G3" s="5"/>
      <c r="H3" s="6" t="s">
        <v>13</v>
      </c>
      <c r="I3" s="7" t="s">
        <v>58</v>
      </c>
    </row>
    <row r="4" spans="1:25">
      <c r="A4" s="82"/>
      <c r="B4" s="122"/>
      <c r="C4" s="82" t="s">
        <v>59</v>
      </c>
      <c r="D4" s="125"/>
      <c r="E4" s="123" t="s">
        <v>143</v>
      </c>
      <c r="F4" s="123" t="s">
        <v>60</v>
      </c>
      <c r="G4" s="72" t="s">
        <v>61</v>
      </c>
      <c r="H4" s="83"/>
      <c r="I4" s="95"/>
    </row>
    <row r="5" spans="1:25">
      <c r="A5" s="87">
        <v>30</v>
      </c>
      <c r="B5" s="88">
        <v>2018</v>
      </c>
      <c r="C5" s="124">
        <f>共済!P33+共済!R33-共済!Q33+1064.30225922194</f>
        <v>14535.526905396076</v>
      </c>
      <c r="D5" s="124">
        <f>SUM(E5:G5)</f>
        <v>7755.8800880902982</v>
      </c>
      <c r="E5" s="124">
        <v>1081.8483912594245</v>
      </c>
      <c r="F5" s="124">
        <v>0</v>
      </c>
      <c r="G5" s="124">
        <f>共済!P33</f>
        <v>6674.0316968308734</v>
      </c>
      <c r="H5" s="124">
        <v>0.57615840328557355</v>
      </c>
      <c r="I5" s="99">
        <v>0</v>
      </c>
      <c r="K5" s="150"/>
      <c r="Q5" s="150"/>
      <c r="R5" s="150"/>
      <c r="S5" s="150"/>
      <c r="T5" s="150"/>
      <c r="U5" s="150"/>
      <c r="V5" s="150"/>
      <c r="W5" s="150"/>
      <c r="X5" s="150"/>
      <c r="Y5" s="150"/>
    </row>
    <row r="6" spans="1:25">
      <c r="A6" s="8">
        <f t="shared" ref="A6:B20" si="0">A5+1</f>
        <v>31</v>
      </c>
      <c r="B6" s="81">
        <f t="shared" si="0"/>
        <v>2019</v>
      </c>
      <c r="C6" s="97">
        <f>共済!P34+共済!R34-共済!Q34+(1064.30225922194)/共済!$R$33*共済!R34</f>
        <v>14124.104452052698</v>
      </c>
      <c r="D6" s="97">
        <f>SUM(E6:G6)</f>
        <v>7208.7944775404285</v>
      </c>
      <c r="E6" s="97">
        <f>E$5/共済!$O$33*共済!O34</f>
        <v>1038.3579441980223</v>
      </c>
      <c r="F6" s="97">
        <v>0</v>
      </c>
      <c r="G6" s="97">
        <f>共済!P34</f>
        <v>6170.4365333424066</v>
      </c>
      <c r="H6" s="97">
        <f>H$5/【三共済旧３公社等】!G$5*【三共済旧３公社等】!G6</f>
        <v>0.53268384420674442</v>
      </c>
      <c r="I6" s="9">
        <v>0</v>
      </c>
      <c r="K6" s="150"/>
      <c r="Q6" s="150"/>
      <c r="R6" s="150"/>
      <c r="S6" s="150"/>
      <c r="T6" s="150"/>
      <c r="U6" s="150"/>
      <c r="V6" s="150"/>
      <c r="W6" s="150"/>
      <c r="X6" s="150"/>
      <c r="Y6" s="150"/>
    </row>
    <row r="7" spans="1:25">
      <c r="A7" s="8">
        <f t="shared" si="0"/>
        <v>32</v>
      </c>
      <c r="B7" s="81">
        <f t="shared" si="0"/>
        <v>2020</v>
      </c>
      <c r="C7" s="97">
        <f>共済!P35+共済!R35-共済!Q35+(1064.30225922194)/共済!$R$33*共済!R35</f>
        <v>13845.893916553092</v>
      </c>
      <c r="D7" s="97">
        <f t="shared" ref="D7:D27" si="1">SUM(E7:G7)</f>
        <v>6713.7712939053799</v>
      </c>
      <c r="E7" s="97">
        <f>E$5/共済!$O$33*共済!O35</f>
        <v>1003.8759499119138</v>
      </c>
      <c r="F7" s="97">
        <v>0</v>
      </c>
      <c r="G7" s="97">
        <f>共済!P35</f>
        <v>5709.8953439934658</v>
      </c>
      <c r="H7" s="97">
        <f>H$5/【三共済旧３公社等】!G$5*【三共済旧３公社等】!G7</f>
        <v>0.49292606534744976</v>
      </c>
      <c r="I7" s="9">
        <v>0</v>
      </c>
      <c r="K7" s="150"/>
      <c r="Q7" s="150"/>
      <c r="R7" s="150"/>
      <c r="S7" s="150"/>
      <c r="T7" s="150"/>
      <c r="U7" s="150"/>
      <c r="V7" s="150"/>
      <c r="W7" s="150"/>
      <c r="X7" s="150"/>
      <c r="Y7" s="150"/>
    </row>
    <row r="8" spans="1:25">
      <c r="A8" s="8">
        <f t="shared" si="0"/>
        <v>33</v>
      </c>
      <c r="B8" s="81">
        <f t="shared" si="0"/>
        <v>2021</v>
      </c>
      <c r="C8" s="97">
        <f>共済!P36+共済!R36-共済!Q36+(1064.30225922194)/共済!$R$33*共済!R36</f>
        <v>13827.29580972809</v>
      </c>
      <c r="D8" s="97">
        <f t="shared" si="1"/>
        <v>6274.3780036368616</v>
      </c>
      <c r="E8" s="97">
        <f>E$5/共済!$O$33*共済!O36</f>
        <v>976.17165488645139</v>
      </c>
      <c r="F8" s="97">
        <v>0</v>
      </c>
      <c r="G8" s="97">
        <f>共済!P36</f>
        <v>5298.2063487504101</v>
      </c>
      <c r="H8" s="97">
        <f>H$5/【三共済旧３公社等】!G$5*【三共済旧３公社等】!G8</f>
        <v>0.45738561769537867</v>
      </c>
      <c r="I8" s="9">
        <v>0</v>
      </c>
      <c r="K8" s="150"/>
      <c r="Q8" s="150"/>
      <c r="R8" s="150"/>
      <c r="S8" s="150"/>
      <c r="T8" s="150"/>
      <c r="U8" s="150"/>
      <c r="V8" s="150"/>
      <c r="W8" s="150"/>
      <c r="X8" s="150"/>
      <c r="Y8" s="150"/>
    </row>
    <row r="9" spans="1:25">
      <c r="A9" s="8">
        <f t="shared" si="0"/>
        <v>34</v>
      </c>
      <c r="B9" s="81">
        <f t="shared" si="0"/>
        <v>2022</v>
      </c>
      <c r="C9" s="97">
        <f>共済!P37+共済!R37-共済!Q37+(1064.30225922194)/共済!$R$33*共済!R37</f>
        <v>13676.265755070432</v>
      </c>
      <c r="D9" s="97">
        <f t="shared" si="1"/>
        <v>5853.1661608234836</v>
      </c>
      <c r="E9" s="97">
        <f>E$5/共済!$O$33*共済!O37</f>
        <v>951.3576361334641</v>
      </c>
      <c r="F9" s="97">
        <v>0</v>
      </c>
      <c r="G9" s="97">
        <f>共済!P37</f>
        <v>4901.8085246900191</v>
      </c>
      <c r="H9" s="97">
        <f>H$5/【三共済旧３公社等】!G$5*【三共済旧３公社等】!G9</f>
        <v>0.42316523221459657</v>
      </c>
      <c r="I9" s="9">
        <v>0</v>
      </c>
      <c r="K9" s="150"/>
      <c r="Q9" s="150"/>
      <c r="R9" s="150"/>
      <c r="S9" s="150"/>
      <c r="T9" s="150"/>
      <c r="U9" s="150"/>
      <c r="V9" s="150"/>
      <c r="W9" s="150"/>
      <c r="X9" s="150"/>
      <c r="Y9" s="150"/>
    </row>
    <row r="10" spans="1:25">
      <c r="A10" s="8">
        <f t="shared" si="0"/>
        <v>35</v>
      </c>
      <c r="B10" s="81">
        <f t="shared" si="0"/>
        <v>2023</v>
      </c>
      <c r="C10" s="97">
        <f>共済!P38+共済!R38-共済!Q38+(1064.30225922194)/共済!$R$33*共済!R38</f>
        <v>13461.099751881113</v>
      </c>
      <c r="D10" s="97">
        <f t="shared" si="1"/>
        <v>5384.4092039886018</v>
      </c>
      <c r="E10" s="97">
        <f>E$5/共済!$O$33*共済!O38</f>
        <v>919.84762232685068</v>
      </c>
      <c r="F10" s="97">
        <v>0</v>
      </c>
      <c r="G10" s="97">
        <f>共済!P38</f>
        <v>4464.561581661751</v>
      </c>
      <c r="H10" s="97">
        <f>H$5/【三共済旧３公社等】!G$5*【三共済旧３公社等】!G10</f>
        <v>0.38541840810881811</v>
      </c>
      <c r="I10" s="9">
        <v>0</v>
      </c>
      <c r="K10" s="150"/>
      <c r="Q10" s="150"/>
      <c r="R10" s="150"/>
      <c r="S10" s="150"/>
      <c r="T10" s="150"/>
      <c r="U10" s="150"/>
      <c r="V10" s="150"/>
      <c r="W10" s="150"/>
      <c r="X10" s="150"/>
      <c r="Y10" s="150"/>
    </row>
    <row r="11" spans="1:25">
      <c r="A11" s="8">
        <f t="shared" si="0"/>
        <v>36</v>
      </c>
      <c r="B11" s="81">
        <f t="shared" si="0"/>
        <v>2024</v>
      </c>
      <c r="C11" s="97">
        <f>共済!P39+共済!R39-共済!Q39+(1064.30225922194)/共済!$R$33*共済!R39</f>
        <v>13399.660129239155</v>
      </c>
      <c r="D11" s="97">
        <f t="shared" si="1"/>
        <v>4939.8640122541565</v>
      </c>
      <c r="E11" s="97">
        <f>E$5/共済!$O$33*共済!O39</f>
        <v>895.28914511297126</v>
      </c>
      <c r="F11" s="97">
        <v>0</v>
      </c>
      <c r="G11" s="97">
        <f>共済!P39</f>
        <v>4044.5748671411848</v>
      </c>
      <c r="H11" s="97">
        <f>H$5/【三共済旧３公社等】!G$5*【三共済旧３公社等】!G11</f>
        <v>0.34916163172068293</v>
      </c>
      <c r="I11" s="9">
        <v>0</v>
      </c>
      <c r="K11" s="150"/>
      <c r="Q11" s="150"/>
      <c r="R11" s="150"/>
      <c r="S11" s="150"/>
      <c r="T11" s="150"/>
      <c r="U11" s="150"/>
      <c r="V11" s="150"/>
      <c r="W11" s="150"/>
      <c r="X11" s="150"/>
      <c r="Y11" s="150"/>
    </row>
    <row r="12" spans="1:25">
      <c r="A12" s="8">
        <f t="shared" si="0"/>
        <v>37</v>
      </c>
      <c r="B12" s="81">
        <f t="shared" si="0"/>
        <v>2025</v>
      </c>
      <c r="C12" s="97">
        <f>共済!P40+共済!R40-共済!Q40+(1064.30225922194)/共済!$R$33*共済!R40</f>
        <v>13210.256792736051</v>
      </c>
      <c r="D12" s="97">
        <f t="shared" si="1"/>
        <v>4526.7757536127501</v>
      </c>
      <c r="E12" s="97">
        <f>E$5/共済!$O$33*共済!O40</f>
        <v>875.73258600108636</v>
      </c>
      <c r="F12" s="97">
        <v>0</v>
      </c>
      <c r="G12" s="97">
        <f>共済!P40</f>
        <v>3651.0431676116636</v>
      </c>
      <c r="H12" s="97">
        <f>H$5/【三共済旧３公社等】!G$5*【三共済旧３公社等】!G12</f>
        <v>0.31518867415279311</v>
      </c>
      <c r="I12" s="9">
        <v>0</v>
      </c>
      <c r="K12" s="150"/>
      <c r="Q12" s="150"/>
      <c r="R12" s="150"/>
      <c r="S12" s="150"/>
      <c r="T12" s="150"/>
      <c r="U12" s="150"/>
      <c r="V12" s="150"/>
      <c r="W12" s="150"/>
      <c r="X12" s="150"/>
      <c r="Y12" s="150"/>
    </row>
    <row r="13" spans="1:25">
      <c r="A13" s="8">
        <f t="shared" si="0"/>
        <v>38</v>
      </c>
      <c r="B13" s="81">
        <f t="shared" si="0"/>
        <v>2026</v>
      </c>
      <c r="C13" s="97">
        <f>共済!P41+共済!R41-共済!Q41+(1064.30225922194)/共済!$R$33*共済!R41</f>
        <v>12993.160307045637</v>
      </c>
      <c r="D13" s="97">
        <f t="shared" si="1"/>
        <v>4100.4591967747483</v>
      </c>
      <c r="E13" s="97">
        <f>E$5/共済!$O$33*共済!O41</f>
        <v>852.05714144967158</v>
      </c>
      <c r="F13" s="97">
        <v>0</v>
      </c>
      <c r="G13" s="97">
        <f>共済!P41</f>
        <v>3248.4020553250766</v>
      </c>
      <c r="H13" s="97">
        <f>H$5/【三共済旧３公社等】!G$5*【三共済旧３公社等】!G13</f>
        <v>0.28042931565853779</v>
      </c>
      <c r="I13" s="9">
        <v>0</v>
      </c>
      <c r="K13" s="150"/>
      <c r="Q13" s="150"/>
      <c r="R13" s="150"/>
      <c r="S13" s="150"/>
      <c r="T13" s="150"/>
      <c r="U13" s="150"/>
      <c r="V13" s="150"/>
      <c r="W13" s="150"/>
      <c r="X13" s="150"/>
      <c r="Y13" s="150"/>
    </row>
    <row r="14" spans="1:25">
      <c r="A14" s="8">
        <f t="shared" si="0"/>
        <v>39</v>
      </c>
      <c r="B14" s="81">
        <f t="shared" si="0"/>
        <v>2027</v>
      </c>
      <c r="C14" s="97">
        <f>共済!P42+共済!R42-共済!Q42+(1064.30225922194)/共済!$R$33*共済!R42</f>
        <v>12930.049340710568</v>
      </c>
      <c r="D14" s="97">
        <f t="shared" si="1"/>
        <v>3701.4922614801008</v>
      </c>
      <c r="E14" s="97">
        <f>E$5/共済!$O$33*共済!O42</f>
        <v>828.20377392194723</v>
      </c>
      <c r="F14" s="97">
        <v>0</v>
      </c>
      <c r="G14" s="97">
        <f>共済!P42</f>
        <v>2873.2884875581535</v>
      </c>
      <c r="H14" s="97">
        <f>H$5/【三共済旧３公社等】!G$5*【三共済旧３公社等】!G14</f>
        <v>0.24804636573068969</v>
      </c>
      <c r="I14" s="9">
        <v>0</v>
      </c>
      <c r="K14" s="150"/>
      <c r="Q14" s="150"/>
      <c r="R14" s="150"/>
      <c r="S14" s="150"/>
      <c r="T14" s="150"/>
      <c r="U14" s="150"/>
      <c r="V14" s="150"/>
      <c r="W14" s="150"/>
      <c r="X14" s="150"/>
      <c r="Y14" s="150"/>
    </row>
    <row r="15" spans="1:25">
      <c r="A15" s="8">
        <f t="shared" si="0"/>
        <v>40</v>
      </c>
      <c r="B15" s="81">
        <f t="shared" si="0"/>
        <v>2028</v>
      </c>
      <c r="C15" s="97">
        <f>共済!P43+共済!R43-共済!Q43+(1064.30225922194)/共済!$R$33*共済!R43</f>
        <v>12872.2502763268</v>
      </c>
      <c r="D15" s="97">
        <f t="shared" si="1"/>
        <v>3322.4988484982364</v>
      </c>
      <c r="E15" s="97">
        <f>E$5/共済!$O$33*共済!O43</f>
        <v>798.90272069668583</v>
      </c>
      <c r="F15" s="97">
        <v>0</v>
      </c>
      <c r="G15" s="97">
        <f>共済!P43</f>
        <v>2523.5961278015507</v>
      </c>
      <c r="H15" s="97">
        <f>H$5/【三共済旧３公社等】!G$5*【三共済旧３公社等】!G15</f>
        <v>0.21785798773209561</v>
      </c>
      <c r="I15" s="9">
        <v>0</v>
      </c>
      <c r="K15" s="150"/>
      <c r="Q15" s="150"/>
      <c r="R15" s="150"/>
      <c r="S15" s="150"/>
      <c r="T15" s="150"/>
      <c r="U15" s="150"/>
      <c r="V15" s="150"/>
      <c r="W15" s="150"/>
      <c r="X15" s="150"/>
      <c r="Y15" s="150"/>
    </row>
    <row r="16" spans="1:25">
      <c r="A16" s="8">
        <f t="shared" si="0"/>
        <v>41</v>
      </c>
      <c r="B16" s="81">
        <f t="shared" si="0"/>
        <v>2029</v>
      </c>
      <c r="C16" s="97">
        <f>共済!P44+共済!R44-共済!Q44+(1064.30225922194)/共済!$R$33*共済!R44</f>
        <v>12727.382608942884</v>
      </c>
      <c r="D16" s="97">
        <f t="shared" si="1"/>
        <v>2946.4891323804372</v>
      </c>
      <c r="E16" s="97">
        <f>E$5/共済!$O$33*共済!O44</f>
        <v>765.08720287201879</v>
      </c>
      <c r="F16" s="97">
        <v>0</v>
      </c>
      <c r="G16" s="97">
        <f>共済!P44</f>
        <v>2181.4019295084186</v>
      </c>
      <c r="H16" s="97">
        <f>H$5/【三共済旧３公社等】!G$5*【三共済旧３公社等】!G16</f>
        <v>0.18831691393171535</v>
      </c>
      <c r="I16" s="9">
        <v>0</v>
      </c>
      <c r="K16" s="150"/>
      <c r="Q16" s="150"/>
      <c r="R16" s="150"/>
      <c r="S16" s="150"/>
      <c r="T16" s="150"/>
      <c r="U16" s="150"/>
      <c r="V16" s="150"/>
      <c r="W16" s="150"/>
      <c r="X16" s="150"/>
      <c r="Y16" s="150"/>
    </row>
    <row r="17" spans="1:25">
      <c r="A17" s="8">
        <f t="shared" si="0"/>
        <v>42</v>
      </c>
      <c r="B17" s="81">
        <f t="shared" si="0"/>
        <v>2030</v>
      </c>
      <c r="C17" s="97">
        <f>共済!P45+共済!R45-共済!Q45+(1064.30225922194)/共済!$R$33*共済!R45</f>
        <v>12571.828263083178</v>
      </c>
      <c r="D17" s="97">
        <f t="shared" si="1"/>
        <v>2600.3788726883049</v>
      </c>
      <c r="E17" s="97">
        <f>E$5/共済!$O$33*共済!O45</f>
        <v>732.44931186543636</v>
      </c>
      <c r="F17" s="97">
        <v>0</v>
      </c>
      <c r="G17" s="97">
        <f>共済!P45</f>
        <v>1867.9295608228686</v>
      </c>
      <c r="H17" s="97">
        <f>H$5/【三共済旧３公社等】!G$5*【三共済旧３公社等】!G17</f>
        <v>0.1612553494051677</v>
      </c>
      <c r="I17" s="9">
        <v>0</v>
      </c>
      <c r="K17" s="150"/>
      <c r="Q17" s="150"/>
      <c r="R17" s="150"/>
      <c r="S17" s="150"/>
      <c r="T17" s="150"/>
      <c r="U17" s="150"/>
      <c r="V17" s="150"/>
      <c r="W17" s="150"/>
      <c r="X17" s="150"/>
      <c r="Y17" s="150"/>
    </row>
    <row r="18" spans="1:25">
      <c r="A18" s="8">
        <f t="shared" si="0"/>
        <v>43</v>
      </c>
      <c r="B18" s="81">
        <f t="shared" si="0"/>
        <v>2031</v>
      </c>
      <c r="C18" s="97">
        <f>共済!P46+共済!R46-共済!Q46+(1064.30225922194)/共済!$R$33*共済!R46</f>
        <v>12406.894539835814</v>
      </c>
      <c r="D18" s="97">
        <f t="shared" si="1"/>
        <v>2287.7630149463535</v>
      </c>
      <c r="E18" s="97">
        <f>E$5/共済!$O$33*共済!O46</f>
        <v>701.63611572127456</v>
      </c>
      <c r="F18" s="97">
        <v>0</v>
      </c>
      <c r="G18" s="97">
        <f>共済!P46</f>
        <v>1586.1268992250789</v>
      </c>
      <c r="H18" s="97">
        <f>H$5/【三共済旧３公社等】!G$5*【三共済旧３公社等】!G18</f>
        <v>0.13692777966573949</v>
      </c>
      <c r="I18" s="9">
        <v>0</v>
      </c>
      <c r="Q18" s="150"/>
      <c r="R18" s="150"/>
      <c r="S18" s="150"/>
      <c r="T18" s="150"/>
      <c r="U18" s="150"/>
      <c r="V18" s="150"/>
      <c r="W18" s="150"/>
      <c r="X18" s="150"/>
      <c r="Y18" s="150"/>
    </row>
    <row r="19" spans="1:25">
      <c r="A19" s="8">
        <f t="shared" si="0"/>
        <v>44</v>
      </c>
      <c r="B19" s="81">
        <f t="shared" si="0"/>
        <v>2032</v>
      </c>
      <c r="C19" s="97">
        <f>共済!P47+共済!R47-共済!Q47+(1064.30225922194)/共済!$R$33*共済!R47</f>
        <v>12245.209350044173</v>
      </c>
      <c r="D19" s="97">
        <f t="shared" si="1"/>
        <v>2003.3929589628096</v>
      </c>
      <c r="E19" s="97">
        <f>E$5/共済!$O$33*共済!O47</f>
        <v>669.96647118687963</v>
      </c>
      <c r="F19" s="97">
        <v>0</v>
      </c>
      <c r="G19" s="97">
        <f>共済!P47</f>
        <v>1333.4264877759301</v>
      </c>
      <c r="H19" s="97">
        <f>H$5/【三共済旧３公社等】!G$5*【三共済旧３公社等】!G19</f>
        <v>0.11511256029252552</v>
      </c>
      <c r="I19" s="9">
        <v>0</v>
      </c>
      <c r="Q19" s="150"/>
      <c r="R19" s="150"/>
      <c r="S19" s="150"/>
      <c r="T19" s="150"/>
      <c r="U19" s="150"/>
      <c r="V19" s="150"/>
      <c r="W19" s="150"/>
      <c r="X19" s="150"/>
      <c r="Y19" s="150"/>
    </row>
    <row r="20" spans="1:25">
      <c r="A20" s="8">
        <f t="shared" si="0"/>
        <v>45</v>
      </c>
      <c r="B20" s="81">
        <f t="shared" si="0"/>
        <v>2033</v>
      </c>
      <c r="C20" s="97">
        <f>共済!P48+共済!R48-共済!Q48+(1064.30225922194)/共済!$R$33*共済!R48</f>
        <v>12110.840171638336</v>
      </c>
      <c r="D20" s="97">
        <f t="shared" si="1"/>
        <v>1749.4380911486892</v>
      </c>
      <c r="E20" s="97">
        <f>E$5/共済!$O$33*共済!O48</f>
        <v>638.18581234622673</v>
      </c>
      <c r="F20" s="97">
        <v>0</v>
      </c>
      <c r="G20" s="97">
        <f>共済!P48</f>
        <v>1111.2522788024623</v>
      </c>
      <c r="H20" s="97">
        <f>H$5/【三共済旧３公社等】!G$5*【三共済旧３公社等】!G20</f>
        <v>9.5932618795668043E-2</v>
      </c>
      <c r="I20" s="9">
        <v>0</v>
      </c>
      <c r="Q20" s="150"/>
      <c r="R20" s="150"/>
      <c r="S20" s="150"/>
      <c r="T20" s="150"/>
      <c r="U20" s="150"/>
      <c r="V20" s="150"/>
      <c r="W20" s="150"/>
      <c r="X20" s="150"/>
      <c r="Y20" s="150"/>
    </row>
    <row r="21" spans="1:25">
      <c r="A21" s="8">
        <f t="shared" ref="A21:B27" si="2">A20+1</f>
        <v>46</v>
      </c>
      <c r="B21" s="81">
        <f t="shared" si="2"/>
        <v>2034</v>
      </c>
      <c r="C21" s="97">
        <f>共済!P49+共済!R49-共済!Q49+(1064.30225922194)/共済!$R$33*共済!R49</f>
        <v>12009.40807480293</v>
      </c>
      <c r="D21" s="97">
        <f t="shared" si="1"/>
        <v>1526.3588946693669</v>
      </c>
      <c r="E21" s="97">
        <f>E$5/共済!$O$33*共済!O49</f>
        <v>608.41171763328543</v>
      </c>
      <c r="F21" s="97">
        <v>0</v>
      </c>
      <c r="G21" s="97">
        <f>共済!P49</f>
        <v>917.94717703608148</v>
      </c>
      <c r="H21" s="97">
        <f>H$5/【三共済旧３公社等】!G$5*【三共済旧３公社等】!G21</f>
        <v>7.9244900810516911E-2</v>
      </c>
      <c r="I21" s="9">
        <v>0</v>
      </c>
      <c r="Q21" s="150"/>
      <c r="R21" s="150"/>
      <c r="S21" s="150"/>
      <c r="T21" s="150"/>
      <c r="U21" s="150"/>
      <c r="V21" s="150"/>
      <c r="W21" s="150"/>
      <c r="X21" s="150"/>
      <c r="Y21" s="150"/>
    </row>
    <row r="22" spans="1:25">
      <c r="A22" s="8">
        <f t="shared" si="2"/>
        <v>47</v>
      </c>
      <c r="B22" s="81">
        <f t="shared" si="2"/>
        <v>2035</v>
      </c>
      <c r="C22" s="97">
        <f>共済!P50+共済!R50-共済!Q50+(1064.30225922194)/共済!$R$33*共済!R50</f>
        <v>11919.207393886383</v>
      </c>
      <c r="D22" s="97">
        <f t="shared" si="1"/>
        <v>1332.0648708103677</v>
      </c>
      <c r="E22" s="97">
        <f>E$5/共済!$O$33*共済!O50</f>
        <v>579.23541503867284</v>
      </c>
      <c r="F22" s="97">
        <v>0</v>
      </c>
      <c r="G22" s="97">
        <f>共済!P50</f>
        <v>752.82945577169471</v>
      </c>
      <c r="H22" s="97">
        <f>H$5/【三共済旧３公社等】!G$5*【三共済旧３公社等】!G22</f>
        <v>6.4990553969009504E-2</v>
      </c>
      <c r="I22" s="9">
        <v>0</v>
      </c>
      <c r="Q22" s="150"/>
      <c r="R22" s="150"/>
      <c r="S22" s="150"/>
      <c r="T22" s="150"/>
      <c r="U22" s="150"/>
      <c r="V22" s="150"/>
      <c r="W22" s="150"/>
      <c r="X22" s="150"/>
      <c r="Y22" s="150"/>
    </row>
    <row r="23" spans="1:25">
      <c r="A23" s="8">
        <f t="shared" si="2"/>
        <v>48</v>
      </c>
      <c r="B23" s="81">
        <f t="shared" si="2"/>
        <v>2036</v>
      </c>
      <c r="C23" s="97">
        <f>共済!P51+共済!R51-共済!Q51+(1064.30225922194)/共済!$R$33*共済!R51</f>
        <v>11830.142093676945</v>
      </c>
      <c r="D23" s="97">
        <f t="shared" si="1"/>
        <v>1162.2861613205441</v>
      </c>
      <c r="E23" s="97">
        <f>E$5/共済!$O$33*共済!O51</f>
        <v>550.20532586810441</v>
      </c>
      <c r="F23" s="97">
        <v>0</v>
      </c>
      <c r="G23" s="97">
        <f>共済!P51</f>
        <v>612.0808354524396</v>
      </c>
      <c r="H23" s="97">
        <f>H$5/【三共済旧３公社等】!G$5*【三共済旧３公社等】!G23</f>
        <v>5.283995234895783E-2</v>
      </c>
      <c r="I23" s="9">
        <v>0</v>
      </c>
      <c r="Q23" s="150"/>
      <c r="R23" s="150"/>
      <c r="S23" s="150"/>
      <c r="T23" s="150"/>
      <c r="U23" s="150"/>
      <c r="V23" s="150"/>
      <c r="W23" s="150"/>
      <c r="X23" s="150"/>
      <c r="Y23" s="150"/>
    </row>
    <row r="24" spans="1:25">
      <c r="A24" s="8">
        <f t="shared" si="2"/>
        <v>49</v>
      </c>
      <c r="B24" s="81">
        <f t="shared" si="2"/>
        <v>2037</v>
      </c>
      <c r="C24" s="97">
        <f>共済!P52+共済!R52-共済!Q52+(1064.30225922194)/共済!$R$33*共済!R52</f>
        <v>11737.196523179489</v>
      </c>
      <c r="D24" s="97">
        <f t="shared" si="1"/>
        <v>1014.1081957975705</v>
      </c>
      <c r="E24" s="97">
        <f>E$5/共済!$O$33*共済!O52</f>
        <v>520.97470769014478</v>
      </c>
      <c r="F24" s="97">
        <v>0</v>
      </c>
      <c r="G24" s="97">
        <f>共済!P52</f>
        <v>493.13348810742571</v>
      </c>
      <c r="H24" s="97">
        <f>H$5/【三共済旧３公社等】!G$5*【三共済旧３公社等】!G24</f>
        <v>4.2571419498881616E-2</v>
      </c>
      <c r="I24" s="9">
        <v>0</v>
      </c>
      <c r="Q24" s="150"/>
      <c r="R24" s="150"/>
      <c r="S24" s="150"/>
      <c r="T24" s="150"/>
      <c r="U24" s="150"/>
      <c r="V24" s="150"/>
      <c r="W24" s="150"/>
      <c r="X24" s="150"/>
      <c r="Y24" s="150"/>
    </row>
    <row r="25" spans="1:25">
      <c r="A25" s="8">
        <f t="shared" si="2"/>
        <v>50</v>
      </c>
      <c r="B25" s="81">
        <f t="shared" si="2"/>
        <v>2038</v>
      </c>
      <c r="C25" s="97">
        <f>共済!P53+共済!R53-共済!Q53+(1064.30225922194)/共済!$R$33*共済!R53</f>
        <v>11642.665713033713</v>
      </c>
      <c r="D25" s="97">
        <f t="shared" si="1"/>
        <v>885.44165840266044</v>
      </c>
      <c r="E25" s="97">
        <f>E$5/共済!$O$33*共済!O53</f>
        <v>492.3407002359271</v>
      </c>
      <c r="F25" s="97">
        <v>0</v>
      </c>
      <c r="G25" s="97">
        <f>共済!P53</f>
        <v>393.10095816673334</v>
      </c>
      <c r="H25" s="97">
        <f>H$5/【三共済旧３公社等】!G$5*【三共済旧３公社等】!G25</f>
        <v>3.3935772360044511E-2</v>
      </c>
      <c r="I25" s="9">
        <v>0</v>
      </c>
      <c r="Q25" s="150"/>
      <c r="R25" s="150"/>
      <c r="S25" s="150"/>
      <c r="T25" s="150"/>
      <c r="U25" s="150"/>
      <c r="V25" s="150"/>
      <c r="W25" s="150"/>
      <c r="X25" s="150"/>
      <c r="Y25" s="150"/>
    </row>
    <row r="26" spans="1:25">
      <c r="A26" s="8">
        <f t="shared" si="2"/>
        <v>51</v>
      </c>
      <c r="B26" s="81">
        <f t="shared" si="2"/>
        <v>2039</v>
      </c>
      <c r="C26" s="97">
        <f>共済!P54+共済!R54-共済!Q54+(1064.30225922194)/共済!$R$33*共済!R54</f>
        <v>11527.693803584896</v>
      </c>
      <c r="D26" s="97">
        <f t="shared" si="1"/>
        <v>774.76678974789911</v>
      </c>
      <c r="E26" s="97">
        <f>E$5/共済!$O$33*共済!O54</f>
        <v>464.12387246913198</v>
      </c>
      <c r="F26" s="97">
        <v>0</v>
      </c>
      <c r="G26" s="97">
        <f>共済!P54</f>
        <v>310.64291727876719</v>
      </c>
      <c r="H26" s="97">
        <f>H$5/【三共済旧３公社等】!G$5*【三共済旧３公社等】!G26</f>
        <v>2.6817302545370656E-2</v>
      </c>
      <c r="I26" s="9">
        <v>0</v>
      </c>
      <c r="Q26" s="150"/>
      <c r="R26" s="150"/>
      <c r="S26" s="150"/>
      <c r="T26" s="150"/>
      <c r="U26" s="150"/>
      <c r="V26" s="150"/>
      <c r="W26" s="150"/>
      <c r="X26" s="150"/>
      <c r="Y26" s="150"/>
    </row>
    <row r="27" spans="1:25">
      <c r="A27" s="45">
        <f t="shared" si="2"/>
        <v>52</v>
      </c>
      <c r="B27" s="91">
        <f t="shared" si="2"/>
        <v>2040</v>
      </c>
      <c r="C27" s="100">
        <f>共済!P55+共済!R55-共済!Q55+(1064.30225922194)/共済!$R$33*共済!R55</f>
        <v>11382.482669957473</v>
      </c>
      <c r="D27" s="100">
        <f t="shared" si="1"/>
        <v>681.07198784612751</v>
      </c>
      <c r="E27" s="100">
        <f>E$5/共済!$O$33*共済!O55</f>
        <v>437.22837295151118</v>
      </c>
      <c r="F27" s="100">
        <v>0</v>
      </c>
      <c r="G27" s="100">
        <f>共済!P55</f>
        <v>243.84361489461628</v>
      </c>
      <c r="H27" s="100">
        <f>H$5/【三共済旧３公社等】!G$5*【三共済旧３公社等】!G27</f>
        <v>2.1050626396601702E-2</v>
      </c>
      <c r="I27" s="94">
        <v>0</v>
      </c>
      <c r="Q27" s="150"/>
      <c r="R27" s="150"/>
      <c r="S27" s="150"/>
      <c r="T27" s="150"/>
      <c r="U27" s="150"/>
      <c r="V27" s="150"/>
      <c r="W27" s="150"/>
      <c r="X27" s="150"/>
      <c r="Y27" s="150"/>
    </row>
    <row r="29" spans="1:25">
      <c r="K29" s="150"/>
      <c r="L29" s="150"/>
      <c r="M29" s="150"/>
      <c r="N29" s="150"/>
      <c r="O29" s="150"/>
      <c r="P29" s="150"/>
      <c r="Q29" s="150"/>
      <c r="R29" s="150"/>
    </row>
    <row r="30" spans="1:25">
      <c r="K30" s="150"/>
      <c r="L30" s="150"/>
      <c r="M30" s="150"/>
      <c r="N30" s="150"/>
      <c r="O30" s="150"/>
      <c r="P30" s="150"/>
      <c r="Q30" s="150"/>
      <c r="R30" s="150"/>
    </row>
    <row r="31" spans="1:25">
      <c r="K31" s="150"/>
      <c r="L31" s="150"/>
      <c r="M31" s="150"/>
      <c r="N31" s="150"/>
      <c r="O31" s="150"/>
      <c r="P31" s="150"/>
      <c r="Q31" s="150"/>
      <c r="R31" s="150"/>
    </row>
    <row r="32" spans="1:25">
      <c r="K32" s="150"/>
      <c r="L32" s="150"/>
      <c r="M32" s="150"/>
      <c r="N32" s="150"/>
      <c r="O32" s="150"/>
      <c r="P32" s="150"/>
      <c r="Q32" s="150"/>
      <c r="R32" s="150"/>
    </row>
    <row r="33" spans="11:18">
      <c r="K33" s="150"/>
      <c r="L33" s="150"/>
      <c r="M33" s="150"/>
      <c r="N33" s="150"/>
      <c r="O33" s="150"/>
      <c r="P33" s="150"/>
      <c r="Q33" s="150"/>
      <c r="R33" s="150"/>
    </row>
    <row r="34" spans="11:18">
      <c r="K34" s="150"/>
      <c r="L34" s="150"/>
      <c r="M34" s="150"/>
      <c r="N34" s="150"/>
      <c r="O34" s="150"/>
      <c r="P34" s="150"/>
      <c r="Q34" s="150"/>
      <c r="R34" s="150"/>
    </row>
    <row r="35" spans="11:18">
      <c r="K35" s="150"/>
      <c r="L35" s="150"/>
      <c r="M35" s="150"/>
      <c r="N35" s="150"/>
      <c r="O35" s="150"/>
      <c r="P35" s="150"/>
      <c r="Q35" s="150"/>
      <c r="R35" s="150"/>
    </row>
    <row r="36" spans="11:18">
      <c r="K36" s="150"/>
      <c r="L36" s="150"/>
      <c r="M36" s="150"/>
      <c r="N36" s="150"/>
      <c r="O36" s="150"/>
      <c r="P36" s="150"/>
      <c r="Q36" s="150"/>
      <c r="R36" s="150"/>
    </row>
    <row r="37" spans="11:18">
      <c r="K37" s="150"/>
      <c r="L37" s="150"/>
      <c r="M37" s="150"/>
      <c r="N37" s="150"/>
      <c r="O37" s="150"/>
      <c r="P37" s="150"/>
      <c r="Q37" s="150"/>
      <c r="R37" s="150"/>
    </row>
    <row r="38" spans="11:18">
      <c r="K38" s="150"/>
      <c r="L38" s="150"/>
      <c r="M38" s="150"/>
      <c r="N38" s="150"/>
      <c r="O38" s="150"/>
      <c r="P38" s="150"/>
      <c r="Q38" s="150"/>
      <c r="R38" s="150"/>
    </row>
    <row r="39" spans="11:18">
      <c r="K39" s="150"/>
      <c r="L39" s="150"/>
      <c r="M39" s="150"/>
      <c r="N39" s="150"/>
      <c r="O39" s="150"/>
      <c r="P39" s="150"/>
      <c r="Q39" s="150"/>
      <c r="R39" s="150"/>
    </row>
    <row r="40" spans="11:18">
      <c r="K40" s="150"/>
      <c r="L40" s="150"/>
      <c r="M40" s="150"/>
      <c r="N40" s="150"/>
      <c r="O40" s="150"/>
      <c r="P40" s="150"/>
      <c r="Q40" s="150"/>
      <c r="R40" s="150"/>
    </row>
    <row r="41" spans="11:18">
      <c r="K41" s="150"/>
      <c r="L41" s="150"/>
      <c r="M41" s="150"/>
      <c r="N41" s="150"/>
      <c r="O41" s="150"/>
      <c r="P41" s="150"/>
      <c r="Q41" s="150"/>
      <c r="R41" s="150"/>
    </row>
    <row r="42" spans="11:18">
      <c r="K42" s="150"/>
      <c r="L42" s="150"/>
      <c r="M42" s="150"/>
      <c r="N42" s="150"/>
      <c r="O42" s="150"/>
      <c r="P42" s="150"/>
      <c r="Q42" s="150"/>
      <c r="R42" s="150"/>
    </row>
    <row r="43" spans="11:18">
      <c r="K43" s="150"/>
      <c r="L43" s="150"/>
      <c r="M43" s="150"/>
      <c r="N43" s="150"/>
      <c r="O43" s="150"/>
      <c r="P43" s="150"/>
      <c r="Q43" s="150"/>
      <c r="R43" s="150"/>
    </row>
    <row r="44" spans="11:18">
      <c r="K44" s="150"/>
      <c r="L44" s="150"/>
      <c r="M44" s="150"/>
      <c r="N44" s="150"/>
      <c r="O44" s="150"/>
      <c r="P44" s="150"/>
      <c r="Q44" s="150"/>
      <c r="R44" s="150"/>
    </row>
    <row r="45" spans="11:18">
      <c r="K45" s="150"/>
      <c r="L45" s="150"/>
      <c r="M45" s="150"/>
      <c r="N45" s="150"/>
      <c r="O45" s="150"/>
      <c r="P45" s="150"/>
      <c r="Q45" s="150"/>
      <c r="R45" s="150"/>
    </row>
    <row r="46" spans="11:18">
      <c r="K46" s="150"/>
      <c r="L46" s="150"/>
      <c r="M46" s="150"/>
      <c r="N46" s="150"/>
      <c r="O46" s="150"/>
      <c r="P46" s="150"/>
      <c r="Q46" s="150"/>
      <c r="R46" s="150"/>
    </row>
    <row r="47" spans="11:18">
      <c r="K47" s="150"/>
      <c r="L47" s="150"/>
      <c r="M47" s="150"/>
      <c r="N47" s="150"/>
      <c r="O47" s="150"/>
      <c r="P47" s="150"/>
      <c r="Q47" s="150"/>
      <c r="R47" s="150"/>
    </row>
    <row r="48" spans="11:18">
      <c r="K48" s="150"/>
      <c r="L48" s="150"/>
      <c r="M48" s="150"/>
      <c r="N48" s="150"/>
      <c r="O48" s="150"/>
      <c r="P48" s="150"/>
      <c r="Q48" s="150"/>
      <c r="R48" s="150"/>
    </row>
    <row r="49" spans="11:18">
      <c r="K49" s="150"/>
      <c r="L49" s="150"/>
      <c r="M49" s="150"/>
      <c r="N49" s="150"/>
      <c r="O49" s="150"/>
      <c r="P49" s="150"/>
      <c r="Q49" s="150"/>
      <c r="R49" s="150"/>
    </row>
    <row r="50" spans="11:18">
      <c r="K50" s="150"/>
      <c r="L50" s="150"/>
      <c r="M50" s="150"/>
      <c r="N50" s="150"/>
      <c r="O50" s="150"/>
      <c r="P50" s="150"/>
      <c r="Q50" s="150"/>
      <c r="R50" s="150"/>
    </row>
    <row r="51" spans="11:18">
      <c r="K51" s="150"/>
      <c r="L51" s="150"/>
      <c r="M51" s="150"/>
      <c r="N51" s="150"/>
      <c r="O51" s="150"/>
      <c r="P51" s="150"/>
      <c r="Q51" s="150"/>
      <c r="R51" s="150"/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7"/>
  <sheetViews>
    <sheetView zoomScaleNormal="100" zoomScaleSheetLayoutView="85" workbookViewId="0"/>
  </sheetViews>
  <sheetFormatPr defaultRowHeight="13.5"/>
  <cols>
    <col min="1" max="1" width="11.375" style="142" bestFit="1" customWidth="1"/>
    <col min="2" max="5" width="9" style="142"/>
    <col min="6" max="6" width="2.625" style="142" customWidth="1"/>
    <col min="7" max="10" width="9" style="142"/>
    <col min="11" max="11" width="3" style="142" customWidth="1"/>
    <col min="12" max="12" width="2" style="142" customWidth="1"/>
    <col min="13" max="13" width="9" style="142"/>
    <col min="14" max="14" width="2.875" style="142" customWidth="1"/>
    <col min="15" max="18" width="9" style="142"/>
    <col min="19" max="20" width="3.5" style="142" customWidth="1"/>
    <col min="21" max="24" width="7.875" style="142" customWidth="1"/>
    <col min="25" max="25" width="4.25" style="142" customWidth="1"/>
    <col min="26" max="30" width="6.75" style="142" customWidth="1"/>
    <col min="31" max="16384" width="9" style="142"/>
  </cols>
  <sheetData>
    <row r="1" spans="1:30">
      <c r="A1" s="142" t="s">
        <v>115</v>
      </c>
      <c r="Z1" s="142" t="s">
        <v>29</v>
      </c>
    </row>
    <row r="2" spans="1:30">
      <c r="B2" s="147" t="s">
        <v>181</v>
      </c>
      <c r="C2" s="31"/>
      <c r="D2" s="31"/>
      <c r="E2" s="31"/>
      <c r="F2" s="31"/>
      <c r="G2" s="147" t="s">
        <v>182</v>
      </c>
      <c r="H2" s="31"/>
      <c r="I2" s="31"/>
      <c r="J2" s="31"/>
      <c r="K2" s="31"/>
      <c r="L2" s="147" t="s">
        <v>174</v>
      </c>
      <c r="M2" s="31"/>
      <c r="O2" s="142" t="s">
        <v>175</v>
      </c>
      <c r="U2" s="142" t="s">
        <v>25</v>
      </c>
      <c r="V2" s="142" t="s">
        <v>26</v>
      </c>
      <c r="AA2" s="142" t="s">
        <v>30</v>
      </c>
      <c r="AD2" s="142" t="s">
        <v>32</v>
      </c>
    </row>
    <row r="3" spans="1:30">
      <c r="B3" s="147" t="s">
        <v>177</v>
      </c>
      <c r="C3" s="147" t="s">
        <v>178</v>
      </c>
      <c r="D3" s="147"/>
      <c r="E3" s="147" t="s">
        <v>179</v>
      </c>
      <c r="F3" s="31"/>
      <c r="G3" s="147" t="s">
        <v>177</v>
      </c>
      <c r="H3" s="147" t="s">
        <v>178</v>
      </c>
      <c r="I3" s="147"/>
      <c r="J3" s="147" t="s">
        <v>179</v>
      </c>
      <c r="K3" s="31"/>
      <c r="L3" s="147"/>
      <c r="M3" s="147" t="s">
        <v>179</v>
      </c>
      <c r="O3" s="147" t="s">
        <v>177</v>
      </c>
      <c r="P3" s="147" t="s">
        <v>178</v>
      </c>
      <c r="Q3" s="147"/>
      <c r="R3" s="147" t="s">
        <v>179</v>
      </c>
      <c r="W3" s="142" t="s">
        <v>27</v>
      </c>
      <c r="X3" s="142" t="s">
        <v>28</v>
      </c>
      <c r="AA3" s="142" t="s">
        <v>114</v>
      </c>
      <c r="AB3" s="142" t="s">
        <v>0</v>
      </c>
      <c r="AC3" s="142" t="s">
        <v>28</v>
      </c>
      <c r="AD3" s="142" t="s">
        <v>31</v>
      </c>
    </row>
    <row r="4" spans="1:30" s="127" customFormat="1" ht="16.5" customHeight="1">
      <c r="A4" s="127" t="s">
        <v>113</v>
      </c>
      <c r="B4" s="148" t="s">
        <v>180</v>
      </c>
      <c r="C4" s="148"/>
      <c r="D4" s="148" t="s">
        <v>176</v>
      </c>
      <c r="E4" s="148" t="s">
        <v>180</v>
      </c>
      <c r="G4" s="148" t="s">
        <v>180</v>
      </c>
      <c r="H4" s="148"/>
      <c r="I4" s="148" t="s">
        <v>176</v>
      </c>
      <c r="J4" s="148" t="s">
        <v>180</v>
      </c>
      <c r="L4" s="148"/>
      <c r="M4" s="148" t="s">
        <v>180</v>
      </c>
      <c r="O4" s="148" t="s">
        <v>180</v>
      </c>
      <c r="P4" s="148"/>
      <c r="Q4" s="148" t="s">
        <v>176</v>
      </c>
      <c r="R4" s="148" t="s">
        <v>180</v>
      </c>
    </row>
    <row r="5" spans="1:30">
      <c r="A5" s="143">
        <v>2018</v>
      </c>
      <c r="B5" s="32">
        <v>25.868934268785829</v>
      </c>
      <c r="C5" s="32">
        <v>2189.817253248973</v>
      </c>
      <c r="D5" s="32">
        <v>139.37263551851825</v>
      </c>
      <c r="E5" s="32">
        <v>1776.2795597873039</v>
      </c>
      <c r="F5" s="32"/>
      <c r="G5" s="32">
        <v>36.745614874362765</v>
      </c>
      <c r="H5" s="32">
        <v>4960.9808185951606</v>
      </c>
      <c r="I5" s="32">
        <v>361.67629570982064</v>
      </c>
      <c r="J5" s="32">
        <v>5518.7166392773061</v>
      </c>
      <c r="K5" s="32"/>
      <c r="L5" s="32"/>
      <c r="M5" s="32">
        <v>381</v>
      </c>
      <c r="O5" s="149">
        <f t="shared" ref="O5:O27" si="0">B5+G5</f>
        <v>62.614549143148594</v>
      </c>
      <c r="P5" s="149">
        <f t="shared" ref="P5:P27" si="1">C5+H5</f>
        <v>7150.798071844134</v>
      </c>
      <c r="Q5" s="149">
        <f t="shared" ref="Q5:Q27" si="2">D5+I5</f>
        <v>501.04893122833892</v>
      </c>
      <c r="R5" s="149">
        <f t="shared" ref="R5:R27" si="3">E5+J5+M5</f>
        <v>7675.9961990646098</v>
      </c>
      <c r="U5" s="196">
        <f>厚生年金!C5/厚生年金!C33</f>
        <v>1.0029439367159292</v>
      </c>
      <c r="V5" s="196">
        <f>厚生年金!D5/厚生年金!D33</f>
        <v>1.0343751808396087</v>
      </c>
      <c r="W5" s="196">
        <f>厚生年金!E5/厚生年金!E33</f>
        <v>1.0370919141248709</v>
      </c>
      <c r="X5" s="196">
        <f>厚生年金!F5/厚生年金!F33</f>
        <v>0.96683261298115186</v>
      </c>
      <c r="Z5" s="196">
        <f>厚生年金!G5/厚生年金!G33</f>
        <v>0.99217355688195741</v>
      </c>
      <c r="AA5" s="196">
        <f>SUM(厚生年金!I5,厚生年金!J5)/SUM(厚生年金!I33,厚生年金!J33)</f>
        <v>0.96213933732257684</v>
      </c>
      <c r="AB5" s="196">
        <f>厚生年金!I5/厚生年金!I33</f>
        <v>0.96213933732257684</v>
      </c>
      <c r="AC5" s="196">
        <f>厚生年金!J5/厚生年金!J33</f>
        <v>0.96213933732257684</v>
      </c>
      <c r="AD5" s="196">
        <f>厚生年金!K5/厚生年金!K33</f>
        <v>1.0370919141248709</v>
      </c>
    </row>
    <row r="6" spans="1:30">
      <c r="A6" s="143">
        <v>2019</v>
      </c>
      <c r="B6" s="32">
        <v>25.261615906194812</v>
      </c>
      <c r="C6" s="32">
        <v>2059.0590017329769</v>
      </c>
      <c r="D6" s="32">
        <v>130.00174179125511</v>
      </c>
      <c r="E6" s="32">
        <v>1764.7630976974501</v>
      </c>
      <c r="F6" s="32"/>
      <c r="G6" s="32">
        <v>35.790310147583902</v>
      </c>
      <c r="H6" s="32">
        <v>4616.9246285757581</v>
      </c>
      <c r="I6" s="32">
        <v>335.19480922408826</v>
      </c>
      <c r="J6" s="32">
        <v>5642.4539302871863</v>
      </c>
      <c r="K6" s="32"/>
      <c r="L6" s="32"/>
      <c r="M6" s="32">
        <v>392</v>
      </c>
      <c r="O6" s="149">
        <f t="shared" si="0"/>
        <v>61.051926053778715</v>
      </c>
      <c r="P6" s="149">
        <f t="shared" si="1"/>
        <v>6675.983630308735</v>
      </c>
      <c r="Q6" s="149">
        <f t="shared" si="2"/>
        <v>465.1965510153434</v>
      </c>
      <c r="R6" s="149">
        <f t="shared" si="3"/>
        <v>7799.2170279846359</v>
      </c>
      <c r="U6" s="196">
        <f>厚生年金!C6/厚生年金!C34</f>
        <v>0.98725164061716353</v>
      </c>
      <c r="V6" s="196">
        <f>厚生年金!D6/厚生年金!D34</f>
        <v>1.0237588193141556</v>
      </c>
      <c r="W6" s="196">
        <f>厚生年金!E6/厚生年金!E34</f>
        <v>1.0261949817888147</v>
      </c>
      <c r="X6" s="196">
        <f>厚生年金!F6/厚生年金!F34</f>
        <v>0.95774113655616844</v>
      </c>
      <c r="Z6" s="196">
        <f>厚生年金!G6/厚生年金!G34</f>
        <v>0.98268915880150776</v>
      </c>
      <c r="AA6" s="196">
        <f>SUM(厚生年金!I6,厚生年金!J6)/SUM(厚生年金!I34,厚生年金!J34)</f>
        <v>0.953096992162209</v>
      </c>
      <c r="AB6" s="196">
        <f>厚生年金!I6/厚生年金!I34</f>
        <v>0.95331520550665394</v>
      </c>
      <c r="AC6" s="196">
        <f>厚生年金!J6/厚生年金!J34</f>
        <v>0.95204826805815523</v>
      </c>
      <c r="AD6" s="196">
        <f>厚生年金!K6/厚生年金!K34</f>
        <v>1.0261949817888147</v>
      </c>
    </row>
    <row r="7" spans="1:30">
      <c r="A7" s="143">
        <v>2020</v>
      </c>
      <c r="B7" s="32">
        <v>24.796319244239747</v>
      </c>
      <c r="C7" s="32">
        <v>1935.1747847481126</v>
      </c>
      <c r="D7" s="32">
        <v>121.51662624970088</v>
      </c>
      <c r="E7" s="32">
        <v>1807.6994554939406</v>
      </c>
      <c r="F7" s="32"/>
      <c r="G7" s="32">
        <v>34.651734876387287</v>
      </c>
      <c r="H7" s="32">
        <v>4249.8625441776021</v>
      </c>
      <c r="I7" s="32">
        <v>308.05164791511146</v>
      </c>
      <c r="J7" s="32">
        <v>5731.1763849882855</v>
      </c>
      <c r="K7" s="32"/>
      <c r="L7" s="32"/>
      <c r="M7" s="32">
        <v>413</v>
      </c>
      <c r="O7" s="149">
        <f t="shared" si="0"/>
        <v>59.448054120627035</v>
      </c>
      <c r="P7" s="149">
        <f t="shared" si="1"/>
        <v>6185.037328925715</v>
      </c>
      <c r="Q7" s="149">
        <f t="shared" si="2"/>
        <v>429.56827416481235</v>
      </c>
      <c r="R7" s="149">
        <f t="shared" si="3"/>
        <v>7951.8758404822256</v>
      </c>
      <c r="U7" s="196">
        <f>厚生年金!C7/厚生年金!C35</f>
        <v>0.98015324862686115</v>
      </c>
      <c r="V7" s="196">
        <f>厚生年金!D7/厚生年金!D35</f>
        <v>1.0236664790002195</v>
      </c>
      <c r="W7" s="196">
        <f>厚生年金!E7/厚生年金!E35</f>
        <v>1.0259531268242439</v>
      </c>
      <c r="X7" s="196">
        <f>厚生年金!F7/厚生年金!F35</f>
        <v>0.95612854181384788</v>
      </c>
      <c r="Z7" s="196">
        <f>厚生年金!G7/厚生年金!G35</f>
        <v>0.98180781210804235</v>
      </c>
      <c r="AA7" s="196">
        <f>SUM(厚生年金!I7,厚生年金!J7)/SUM(厚生年金!I35,厚生年金!J35)</f>
        <v>0.9514962102227783</v>
      </c>
      <c r="AB7" s="196">
        <f>厚生年金!I7/厚生年金!I35</f>
        <v>0.95140552482047769</v>
      </c>
      <c r="AC7" s="196">
        <f>厚生年金!J7/厚生年金!J35</f>
        <v>0.95194517234151954</v>
      </c>
      <c r="AD7" s="196">
        <f>厚生年金!K7/厚生年金!K35</f>
        <v>1.0259531268242439</v>
      </c>
    </row>
    <row r="8" spans="1:30">
      <c r="A8" s="143">
        <v>2021</v>
      </c>
      <c r="B8" s="32">
        <v>24.369088665304357</v>
      </c>
      <c r="C8" s="32">
        <v>1812.8107585832006</v>
      </c>
      <c r="D8" s="32">
        <v>113.48002234753442</v>
      </c>
      <c r="E8" s="32">
        <v>1862.1437210128386</v>
      </c>
      <c r="F8" s="32"/>
      <c r="G8" s="32">
        <v>33.752651297414694</v>
      </c>
      <c r="H8" s="32">
        <v>3919.7084081171961</v>
      </c>
      <c r="I8" s="32">
        <v>284.62072551072583</v>
      </c>
      <c r="J8" s="32">
        <v>5983.6536537700067</v>
      </c>
      <c r="K8" s="32"/>
      <c r="L8" s="32"/>
      <c r="M8" s="32">
        <v>436</v>
      </c>
      <c r="O8" s="149">
        <f t="shared" si="0"/>
        <v>58.121739962719047</v>
      </c>
      <c r="P8" s="149">
        <f t="shared" si="1"/>
        <v>5732.5191667003965</v>
      </c>
      <c r="Q8" s="149">
        <f t="shared" si="2"/>
        <v>398.10074785826026</v>
      </c>
      <c r="R8" s="149">
        <f t="shared" si="3"/>
        <v>8281.7973747828455</v>
      </c>
      <c r="U8" s="196">
        <f>厚生年金!C8/厚生年金!C36</f>
        <v>0.97481141227237722</v>
      </c>
      <c r="V8" s="196">
        <f>厚生年金!D8/厚生年金!D36</f>
        <v>1.0256463506233269</v>
      </c>
      <c r="W8" s="196">
        <f>厚生年金!E8/厚生年金!E36</f>
        <v>1.0277685565150929</v>
      </c>
      <c r="X8" s="196">
        <f>厚生年金!F8/厚生年金!F36</f>
        <v>0.95724757887412604</v>
      </c>
      <c r="Z8" s="196">
        <f>厚生年金!G8/厚生年金!G36</f>
        <v>0.98314655345919211</v>
      </c>
      <c r="AA8" s="196">
        <f>SUM(厚生年金!I8,厚生年金!J8)/SUM(厚生年金!I36,厚生年金!J36)</f>
        <v>0.95261316206399138</v>
      </c>
      <c r="AB8" s="196">
        <f>厚生年金!I8/厚生年金!I36</f>
        <v>0.95238055247197473</v>
      </c>
      <c r="AC8" s="196">
        <f>厚生年金!J8/厚生年金!J36</f>
        <v>0.95381504161646979</v>
      </c>
      <c r="AD8" s="196">
        <f>厚生年金!K8/厚生年金!K36</f>
        <v>1.0277685565150929</v>
      </c>
    </row>
    <row r="9" spans="1:30">
      <c r="A9" s="143">
        <v>2022</v>
      </c>
      <c r="B9" s="32">
        <v>23.886852503907384</v>
      </c>
      <c r="C9" s="32">
        <v>1688.5549675237728</v>
      </c>
      <c r="D9" s="32">
        <v>105.59585341665402</v>
      </c>
      <c r="E9" s="32">
        <v>1865.4020159205618</v>
      </c>
      <c r="F9" s="32"/>
      <c r="G9" s="32">
        <v>33.011396738515337</v>
      </c>
      <c r="H9" s="32">
        <v>3617.0198631895832</v>
      </c>
      <c r="I9" s="32">
        <v>263.67591295591365</v>
      </c>
      <c r="J9" s="32">
        <v>6171.3339708267258</v>
      </c>
      <c r="K9" s="32"/>
      <c r="L9" s="32"/>
      <c r="M9" s="32">
        <v>451</v>
      </c>
      <c r="O9" s="149">
        <f t="shared" si="0"/>
        <v>56.898249242422722</v>
      </c>
      <c r="P9" s="149">
        <f t="shared" si="1"/>
        <v>5305.5748307133563</v>
      </c>
      <c r="Q9" s="149">
        <f t="shared" si="2"/>
        <v>369.27176637256764</v>
      </c>
      <c r="R9" s="149">
        <f t="shared" si="3"/>
        <v>8487.7359867472878</v>
      </c>
      <c r="U9" s="196">
        <f>厚生年金!C9/厚生年金!C37</f>
        <v>0.97045029868159249</v>
      </c>
      <c r="V9" s="196">
        <f>厚生年金!D9/厚生年金!D37</f>
        <v>1.0256355578602907</v>
      </c>
      <c r="W9" s="196">
        <f>厚生年金!E9/厚生年金!E37</f>
        <v>1.027583280987465</v>
      </c>
      <c r="X9" s="196">
        <f>厚生年金!F9/厚生年金!F37</f>
        <v>0.95692458522468848</v>
      </c>
      <c r="Z9" s="196">
        <f>厚生年金!G9/厚生年金!G37</f>
        <v>0.98291466542690331</v>
      </c>
      <c r="AA9" s="196">
        <f>SUM(厚生年金!I9,厚生年金!J9)/SUM(厚生年金!I37,厚生年金!J37)</f>
        <v>0.95229461035342533</v>
      </c>
      <c r="AB9" s="196">
        <f>厚生年金!I9/厚生年金!I37</f>
        <v>0.95200251783091006</v>
      </c>
      <c r="AC9" s="196">
        <f>厚生年金!J9/厚生年金!J37</f>
        <v>0.95385948220837502</v>
      </c>
      <c r="AD9" s="196">
        <f>厚生年金!K9/厚生年金!K37</f>
        <v>1.027583280987465</v>
      </c>
    </row>
    <row r="10" spans="1:30">
      <c r="A10" s="143">
        <v>2023</v>
      </c>
      <c r="B10" s="32">
        <v>23.385308889742781</v>
      </c>
      <c r="C10" s="32">
        <v>1562.6677436998791</v>
      </c>
      <c r="D10" s="32">
        <v>97.867888542280284</v>
      </c>
      <c r="E10" s="32">
        <v>1925.1309874320227</v>
      </c>
      <c r="F10" s="32"/>
      <c r="G10" s="32">
        <v>31.870848693628567</v>
      </c>
      <c r="H10" s="32">
        <v>3277.7338095866062</v>
      </c>
      <c r="I10" s="32">
        <v>240.08877121810602</v>
      </c>
      <c r="J10" s="32">
        <v>6282.5046105010679</v>
      </c>
      <c r="K10" s="32"/>
      <c r="L10" s="32"/>
      <c r="M10" s="32">
        <v>473</v>
      </c>
      <c r="O10" s="149">
        <f t="shared" si="0"/>
        <v>55.256157583371348</v>
      </c>
      <c r="P10" s="149">
        <f t="shared" si="1"/>
        <v>4840.4015532864851</v>
      </c>
      <c r="Q10" s="149">
        <f t="shared" si="2"/>
        <v>337.95665976038629</v>
      </c>
      <c r="R10" s="149">
        <f t="shared" si="3"/>
        <v>8680.635597933091</v>
      </c>
      <c r="U10" s="196">
        <f>厚生年金!C10/厚生年金!C38</f>
        <v>0.96612762383945483</v>
      </c>
      <c r="V10" s="196">
        <f>厚生年金!D10/厚生年金!D38</f>
        <v>1.0243139183646328</v>
      </c>
      <c r="W10" s="196">
        <f>厚生年金!E10/厚生年金!E38</f>
        <v>1.0260867270602123</v>
      </c>
      <c r="X10" s="196">
        <f>厚生年金!F10/厚生年金!F38</f>
        <v>0.95551660313137021</v>
      </c>
      <c r="Z10" s="196">
        <f>厚生年金!G10/厚生年金!G38</f>
        <v>0.98156277455957386</v>
      </c>
      <c r="AA10" s="196">
        <f>SUM(厚生年金!I10,厚生年金!J10)/SUM(厚生年金!I38,厚生年金!J38)</f>
        <v>0.95089487271215933</v>
      </c>
      <c r="AB10" s="196">
        <f>厚生年金!I10/厚生年金!I38</f>
        <v>0.95056439053711816</v>
      </c>
      <c r="AC10" s="196">
        <f>厚生年金!J10/厚生年金!J38</f>
        <v>0.95272397635277928</v>
      </c>
      <c r="AD10" s="196">
        <f>厚生年金!K10/厚生年金!K38</f>
        <v>1.0260867270602123</v>
      </c>
    </row>
    <row r="11" spans="1:30">
      <c r="A11" s="143">
        <v>2024</v>
      </c>
      <c r="B11" s="32">
        <v>22.925722448567932</v>
      </c>
      <c r="C11" s="32">
        <v>1437.2101318715286</v>
      </c>
      <c r="D11" s="32">
        <v>90.350924436751697</v>
      </c>
      <c r="E11" s="32">
        <v>1984.5856068853195</v>
      </c>
      <c r="F11" s="32"/>
      <c r="G11" s="32">
        <v>30.859272708588293</v>
      </c>
      <c r="H11" s="32">
        <v>2957.7969431351162</v>
      </c>
      <c r="I11" s="32">
        <v>218.14692281367627</v>
      </c>
      <c r="J11" s="32">
        <v>6525.7448667818599</v>
      </c>
      <c r="K11" s="32"/>
      <c r="L11" s="32"/>
      <c r="M11" s="32">
        <v>497</v>
      </c>
      <c r="O11" s="149">
        <f t="shared" si="0"/>
        <v>53.784995157156224</v>
      </c>
      <c r="P11" s="149">
        <f t="shared" si="1"/>
        <v>4395.0070750066443</v>
      </c>
      <c r="Q11" s="149">
        <f t="shared" si="2"/>
        <v>308.49784725042798</v>
      </c>
      <c r="R11" s="149">
        <f t="shared" si="3"/>
        <v>9007.3304736671798</v>
      </c>
      <c r="U11" s="196">
        <f>厚生年金!C11/厚生年金!C39</f>
        <v>0.96599644413152874</v>
      </c>
      <c r="V11" s="196">
        <f>厚生年金!D11/厚生年金!D39</f>
        <v>1.0226190564235487</v>
      </c>
      <c r="W11" s="196">
        <f>厚生年金!E11/厚生年金!E39</f>
        <v>1.0242263407056778</v>
      </c>
      <c r="X11" s="196">
        <f>厚生年金!F11/厚生年金!F39</f>
        <v>0.95358805606375252</v>
      </c>
      <c r="Z11" s="196">
        <f>厚生年金!G11/厚生年金!G39</f>
        <v>0.97960566630467716</v>
      </c>
      <c r="AA11" s="196">
        <f>SUM(厚生年金!I11,厚生年金!J11)/SUM(厚生年金!I39,厚生年金!J39)</f>
        <v>0.94897665891938954</v>
      </c>
      <c r="AB11" s="196">
        <f>厚生年金!I11/厚生年金!I39</f>
        <v>0.9485826073521858</v>
      </c>
      <c r="AC11" s="196">
        <f>厚生年金!J11/厚生年金!J39</f>
        <v>0.95124796365544873</v>
      </c>
      <c r="AD11" s="196">
        <f>厚生年金!K11/厚生年金!K39</f>
        <v>1.0242263407056778</v>
      </c>
    </row>
    <row r="12" spans="1:30">
      <c r="A12" s="143">
        <v>2025</v>
      </c>
      <c r="B12" s="32">
        <v>22.3397773313594</v>
      </c>
      <c r="C12" s="32">
        <v>1301.9854046325677</v>
      </c>
      <c r="D12" s="32">
        <v>82.378678340320263</v>
      </c>
      <c r="E12" s="32">
        <v>1968.6707356716797</v>
      </c>
      <c r="F12" s="32"/>
      <c r="G12" s="32">
        <v>29.817429825278474</v>
      </c>
      <c r="H12" s="32">
        <v>2644.908650863561</v>
      </c>
      <c r="I12" s="32">
        <v>196.83915406304104</v>
      </c>
      <c r="J12" s="32">
        <v>6653.5181202023105</v>
      </c>
      <c r="K12" s="32"/>
      <c r="L12" s="32"/>
      <c r="M12" s="32">
        <v>507</v>
      </c>
      <c r="O12" s="149">
        <f t="shared" si="0"/>
        <v>52.157207156637874</v>
      </c>
      <c r="P12" s="149">
        <f t="shared" si="1"/>
        <v>3946.8940554961287</v>
      </c>
      <c r="Q12" s="149">
        <f t="shared" si="2"/>
        <v>279.21783240336129</v>
      </c>
      <c r="R12" s="149">
        <f t="shared" si="3"/>
        <v>9129.1888558739902</v>
      </c>
      <c r="U12" s="196">
        <f>厚生年金!C12/厚生年金!C40</f>
        <v>0.97434512518414262</v>
      </c>
      <c r="V12" s="196">
        <f>厚生年金!D12/厚生年金!D40</f>
        <v>1.0288044563364838</v>
      </c>
      <c r="W12" s="196">
        <f>厚生年金!E12/厚生年金!E40</f>
        <v>1.0302817998941742</v>
      </c>
      <c r="X12" s="196">
        <f>厚生年金!F12/厚生年金!F40</f>
        <v>0.95823874653985153</v>
      </c>
      <c r="Z12" s="196">
        <f>厚生年金!G12/厚生年金!G40</f>
        <v>0.984872767850548</v>
      </c>
      <c r="AA12" s="196">
        <f>SUM(厚生年金!I12,厚生年金!J12)/SUM(厚生年金!I40,厚生年金!J40)</f>
        <v>0.95360508184292447</v>
      </c>
      <c r="AB12" s="196">
        <f>厚生年金!I12/厚生年金!I40</f>
        <v>0.95300728753315056</v>
      </c>
      <c r="AC12" s="196">
        <f>厚生年金!J12/厚生年金!J40</f>
        <v>0.95716428638826945</v>
      </c>
      <c r="AD12" s="196">
        <f>厚生年金!K12/厚生年金!K40</f>
        <v>1.0302817998941742</v>
      </c>
    </row>
    <row r="13" spans="1:30">
      <c r="A13" s="143">
        <v>2026</v>
      </c>
      <c r="B13" s="32">
        <v>21.697278828864427</v>
      </c>
      <c r="C13" s="32">
        <v>1170.5253347994901</v>
      </c>
      <c r="D13" s="32">
        <v>74.709016769692013</v>
      </c>
      <c r="E13" s="32">
        <v>2008.2405055985564</v>
      </c>
      <c r="F13" s="32"/>
      <c r="G13" s="32">
        <v>28.421794029859793</v>
      </c>
      <c r="H13" s="32">
        <v>2319.8932525977762</v>
      </c>
      <c r="I13" s="32">
        <v>174.43251631134584</v>
      </c>
      <c r="J13" s="32">
        <v>6686.769563689355</v>
      </c>
      <c r="K13" s="32"/>
      <c r="L13" s="32"/>
      <c r="M13" s="32">
        <v>524</v>
      </c>
      <c r="O13" s="149">
        <f t="shared" si="0"/>
        <v>50.119072858724223</v>
      </c>
      <c r="P13" s="149">
        <f t="shared" si="1"/>
        <v>3490.4185873972665</v>
      </c>
      <c r="Q13" s="149">
        <f t="shared" si="2"/>
        <v>249.14153308103784</v>
      </c>
      <c r="R13" s="149">
        <f t="shared" si="3"/>
        <v>9219.0100692879114</v>
      </c>
      <c r="U13" s="196">
        <f>厚生年金!C13/厚生年金!C41</f>
        <v>0.98646565042737999</v>
      </c>
      <c r="V13" s="196">
        <f>厚生年金!D13/厚生年金!D41</f>
        <v>1.0353887680911842</v>
      </c>
      <c r="W13" s="196">
        <f>厚生年金!E13/厚生年金!E41</f>
        <v>1.0367190883837663</v>
      </c>
      <c r="X13" s="196">
        <f>厚生年金!F13/厚生年金!F41</f>
        <v>0.96437021289088898</v>
      </c>
      <c r="Z13" s="196">
        <f>厚生年金!G13/厚生年金!G41</f>
        <v>0.99120859669870542</v>
      </c>
      <c r="AA13" s="196">
        <f>SUM(厚生年金!I13,厚生年金!J13)/SUM(厚生年金!I41,厚生年金!J41)</f>
        <v>0.95970621855567428</v>
      </c>
      <c r="AB13" s="196">
        <f>厚生年金!I13/厚生年金!I41</f>
        <v>0.95908567869664829</v>
      </c>
      <c r="AC13" s="196">
        <f>厚生年金!J13/厚生年金!J41</f>
        <v>0.96351555001539146</v>
      </c>
      <c r="AD13" s="196">
        <f>厚生年金!K13/厚生年金!K41</f>
        <v>1.0367190883837663</v>
      </c>
    </row>
    <row r="14" spans="1:30">
      <c r="A14" s="143">
        <v>2027</v>
      </c>
      <c r="B14" s="32">
        <v>21.000453063870946</v>
      </c>
      <c r="C14" s="32">
        <v>1043.9659505669192</v>
      </c>
      <c r="D14" s="32">
        <v>67.302927694549496</v>
      </c>
      <c r="E14" s="32">
        <v>2045.0089107584206</v>
      </c>
      <c r="F14" s="32"/>
      <c r="G14" s="32">
        <v>27.102131485035365</v>
      </c>
      <c r="H14" s="32">
        <v>2024.796265408296</v>
      </c>
      <c r="I14" s="32">
        <v>154.1279803486961</v>
      </c>
      <c r="J14" s="32">
        <v>6838.1914278035565</v>
      </c>
      <c r="K14" s="32"/>
      <c r="L14" s="32"/>
      <c r="M14" s="32">
        <v>542</v>
      </c>
      <c r="O14" s="149">
        <f t="shared" si="0"/>
        <v>48.102584548906307</v>
      </c>
      <c r="P14" s="149">
        <f t="shared" si="1"/>
        <v>3068.7622159752154</v>
      </c>
      <c r="Q14" s="149">
        <f t="shared" si="2"/>
        <v>221.43090804324561</v>
      </c>
      <c r="R14" s="149">
        <f t="shared" si="3"/>
        <v>9425.2003385619773</v>
      </c>
      <c r="U14" s="196">
        <f>厚生年金!C14/厚生年金!C42</f>
        <v>0.99897294883767684</v>
      </c>
      <c r="V14" s="196">
        <f>厚生年金!D14/厚生年金!D42</f>
        <v>1.0424562290618617</v>
      </c>
      <c r="W14" s="196">
        <f>厚生年金!E14/厚生年金!E42</f>
        <v>1.0436567591573713</v>
      </c>
      <c r="X14" s="196">
        <f>厚生年金!F14/厚生年金!F42</f>
        <v>0.9704710643036758</v>
      </c>
      <c r="Z14" s="196">
        <f>厚生年金!G14/厚生年金!G42</f>
        <v>0.99752772378574095</v>
      </c>
      <c r="AA14" s="196">
        <f>SUM(厚生年金!I14,厚生年金!J14)/SUM(厚生年金!I42,厚生年金!J42)</f>
        <v>0.96577587398024534</v>
      </c>
      <c r="AB14" s="196">
        <f>厚生年金!I14/厚生年金!I42</f>
        <v>0.96506855380640255</v>
      </c>
      <c r="AC14" s="196">
        <f>厚生年金!J14/厚生年金!J42</f>
        <v>0.97029436697992522</v>
      </c>
      <c r="AD14" s="196">
        <f>厚生年金!K14/厚生年金!K42</f>
        <v>1.0436567591573713</v>
      </c>
    </row>
    <row r="15" spans="1:30">
      <c r="A15" s="143">
        <v>2028</v>
      </c>
      <c r="B15" s="32">
        <v>20.306075417289719</v>
      </c>
      <c r="C15" s="32">
        <v>924.47097958835798</v>
      </c>
      <c r="D15" s="32">
        <v>60.362887184194896</v>
      </c>
      <c r="E15" s="32">
        <v>2078.0348226014848</v>
      </c>
      <c r="F15" s="32"/>
      <c r="G15" s="32">
        <v>25.754942305184649</v>
      </c>
      <c r="H15" s="32">
        <v>1753.1430617397762</v>
      </c>
      <c r="I15" s="32">
        <v>135.34309526815636</v>
      </c>
      <c r="J15" s="32">
        <v>6969.9374815955616</v>
      </c>
      <c r="K15" s="32"/>
      <c r="L15" s="32"/>
      <c r="M15" s="32">
        <v>559</v>
      </c>
      <c r="O15" s="149">
        <f t="shared" si="0"/>
        <v>46.061017722474368</v>
      </c>
      <c r="P15" s="149">
        <f t="shared" si="1"/>
        <v>2677.6140413281341</v>
      </c>
      <c r="Q15" s="149">
        <f t="shared" si="2"/>
        <v>195.70598245235126</v>
      </c>
      <c r="R15" s="149">
        <f t="shared" si="3"/>
        <v>9606.9723041970465</v>
      </c>
      <c r="U15" s="196">
        <f>厚生年金!C15/厚生年金!C43</f>
        <v>1.0062565428778147</v>
      </c>
      <c r="V15" s="196">
        <f>厚生年金!D15/厚生年金!D43</f>
        <v>1.0501324939632961</v>
      </c>
      <c r="W15" s="196">
        <f>厚生年金!E15/厚生年金!E43</f>
        <v>1.0512099208295718</v>
      </c>
      <c r="X15" s="196">
        <f>厚生年金!F15/厚生年金!F43</f>
        <v>0.9770868734280358</v>
      </c>
      <c r="Z15" s="196">
        <f>厚生年金!G15/厚生年金!G43</f>
        <v>1.0044390285082059</v>
      </c>
      <c r="AA15" s="196">
        <f>SUM(厚生年金!I15,厚生年金!J15)/SUM(厚生年金!I43,厚生年金!J43)</f>
        <v>0.97235681718817168</v>
      </c>
      <c r="AB15" s="196">
        <f>厚生年金!I15/厚生年金!I43</f>
        <v>0.97155033962768389</v>
      </c>
      <c r="AC15" s="196">
        <f>厚生年金!J15/厚生年金!J43</f>
        <v>0.97770377453237922</v>
      </c>
      <c r="AD15" s="196">
        <f>厚生年金!K15/厚生年金!K43</f>
        <v>1.0512099208295718</v>
      </c>
    </row>
    <row r="16" spans="1:30">
      <c r="A16" s="143">
        <v>2029</v>
      </c>
      <c r="B16" s="32">
        <v>19.618924961587972</v>
      </c>
      <c r="C16" s="32">
        <v>811.96815869905947</v>
      </c>
      <c r="D16" s="32">
        <v>53.764501117629436</v>
      </c>
      <c r="E16" s="32">
        <v>2107.4817960792175</v>
      </c>
      <c r="F16" s="32"/>
      <c r="G16" s="32">
        <v>24.361598874907596</v>
      </c>
      <c r="H16" s="32">
        <v>1504.2072692037211</v>
      </c>
      <c r="I16" s="32">
        <v>117.96687358988123</v>
      </c>
      <c r="J16" s="32">
        <v>7082.8477064434874</v>
      </c>
      <c r="K16" s="32"/>
      <c r="L16" s="32"/>
      <c r="M16" s="32">
        <v>576</v>
      </c>
      <c r="O16" s="149">
        <f t="shared" si="0"/>
        <v>43.980523836495564</v>
      </c>
      <c r="P16" s="149">
        <f t="shared" si="1"/>
        <v>2316.1754279027805</v>
      </c>
      <c r="Q16" s="149">
        <f t="shared" si="2"/>
        <v>171.73137470751067</v>
      </c>
      <c r="R16" s="149">
        <f t="shared" si="3"/>
        <v>9766.3295025227053</v>
      </c>
      <c r="U16" s="196">
        <f>厚生年金!C16/厚生年金!C44</f>
        <v>1.0091462901341641</v>
      </c>
      <c r="V16" s="196">
        <f>厚生年金!D16/厚生年金!D44</f>
        <v>1.0496341880100111</v>
      </c>
      <c r="W16" s="196">
        <f>厚生年金!E16/厚生年金!E44</f>
        <v>1.0505726158114417</v>
      </c>
      <c r="X16" s="196">
        <f>厚生年金!F16/厚生年金!F44</f>
        <v>0.97711050693842927</v>
      </c>
      <c r="Z16" s="196">
        <f>厚生年金!G16/厚生年金!G44</f>
        <v>1.0040732407885633</v>
      </c>
      <c r="AA16" s="196">
        <f>SUM(厚生年金!I16,厚生年金!J16)/SUM(厚生年金!I44,厚生年金!J44)</f>
        <v>0.97237621055988954</v>
      </c>
      <c r="AB16" s="196">
        <f>厚生年金!I16/厚生年金!I44</f>
        <v>0.97163758966106084</v>
      </c>
      <c r="AC16" s="196">
        <f>厚生年金!J16/厚生年金!J44</f>
        <v>0.97747454001100742</v>
      </c>
      <c r="AD16" s="196">
        <f>厚生年金!K16/厚生年金!K44</f>
        <v>1.0505726158114417</v>
      </c>
    </row>
    <row r="17" spans="1:30">
      <c r="A17" s="143">
        <v>2030</v>
      </c>
      <c r="B17" s="32">
        <v>18.920779555939021</v>
      </c>
      <c r="C17" s="32">
        <v>706.46738966556779</v>
      </c>
      <c r="D17" s="32">
        <v>47.555789233909898</v>
      </c>
      <c r="E17" s="32">
        <v>2128.2994387898489</v>
      </c>
      <c r="F17" s="32"/>
      <c r="G17" s="32">
        <v>23.060372388611651</v>
      </c>
      <c r="H17" s="32">
        <v>1279.5721181242429</v>
      </c>
      <c r="I17" s="32">
        <v>102.10052372490296</v>
      </c>
      <c r="J17" s="32">
        <v>7183.3020842150909</v>
      </c>
      <c r="K17" s="32"/>
      <c r="L17" s="32"/>
      <c r="M17" s="32">
        <v>591</v>
      </c>
      <c r="O17" s="149">
        <f t="shared" si="0"/>
        <v>41.981151944550675</v>
      </c>
      <c r="P17" s="149">
        <f t="shared" si="1"/>
        <v>1986.0395077898106</v>
      </c>
      <c r="Q17" s="149">
        <f t="shared" si="2"/>
        <v>149.65631295881286</v>
      </c>
      <c r="R17" s="149">
        <f t="shared" si="3"/>
        <v>9902.6015230049397</v>
      </c>
      <c r="U17" s="196">
        <f>厚生年金!C17/厚生年金!C45</f>
        <v>1.0120158740885792</v>
      </c>
      <c r="V17" s="196">
        <f>厚生年金!D17/厚生年金!D45</f>
        <v>1.0490035690717661</v>
      </c>
      <c r="W17" s="196">
        <f>厚生年金!E17/厚生年金!E45</f>
        <v>1.0498260720469605</v>
      </c>
      <c r="X17" s="196">
        <f>厚生年金!F17/厚生年金!F45</f>
        <v>0.9760138103705801</v>
      </c>
      <c r="Z17" s="196">
        <f>厚生年金!G17/厚生年金!G45</f>
        <v>1.0030416388955532</v>
      </c>
      <c r="AA17" s="196">
        <f>SUM(厚生年金!I17,厚生年金!J17)/SUM(厚生年金!I45,厚生年金!J45)</f>
        <v>0.97127936576900897</v>
      </c>
      <c r="AB17" s="196">
        <f>厚生年金!I17/厚生年金!I45</f>
        <v>0.9704656322398274</v>
      </c>
      <c r="AC17" s="196">
        <f>厚生年金!J17/厚生年金!J45</f>
        <v>0.9771069243092585</v>
      </c>
      <c r="AD17" s="196">
        <f>厚生年金!K17/厚生年金!K45</f>
        <v>1.0498260720469605</v>
      </c>
    </row>
    <row r="18" spans="1:30">
      <c r="A18" s="143">
        <v>2031</v>
      </c>
      <c r="B18" s="32">
        <v>18.221635169980793</v>
      </c>
      <c r="C18" s="32">
        <v>608.59843547506273</v>
      </c>
      <c r="D18" s="32">
        <v>41.716004429432168</v>
      </c>
      <c r="E18" s="32">
        <v>2141.5778495994132</v>
      </c>
      <c r="F18" s="32"/>
      <c r="G18" s="32">
        <v>21.895864846155401</v>
      </c>
      <c r="H18" s="32">
        <v>1079.9935886085402</v>
      </c>
      <c r="I18" s="32">
        <v>87.799876262390342</v>
      </c>
      <c r="J18" s="32">
        <v>7259.2548203285296</v>
      </c>
      <c r="K18" s="32"/>
      <c r="L18" s="32"/>
      <c r="M18" s="32">
        <v>602.20000000000005</v>
      </c>
      <c r="O18" s="149">
        <f t="shared" si="0"/>
        <v>40.117500016136191</v>
      </c>
      <c r="P18" s="149">
        <f t="shared" si="1"/>
        <v>1688.5920240836031</v>
      </c>
      <c r="Q18" s="149">
        <f t="shared" si="2"/>
        <v>129.5158806918225</v>
      </c>
      <c r="R18" s="149">
        <f t="shared" si="3"/>
        <v>10003.032669927943</v>
      </c>
      <c r="U18" s="196">
        <f>厚生年金!C18/厚生年金!C46</f>
        <v>1.0144067890107675</v>
      </c>
      <c r="V18" s="196">
        <f>厚生年金!D18/厚生年金!D46</f>
        <v>1.0484205967936504</v>
      </c>
      <c r="W18" s="196">
        <f>厚生年金!E18/厚生年金!E46</f>
        <v>1.0491388009873177</v>
      </c>
      <c r="X18" s="196">
        <f>厚生年金!F18/厚生年金!F46</f>
        <v>0.97494488902129184</v>
      </c>
      <c r="Z18" s="196">
        <f>厚生年金!G18/厚生年金!G46</f>
        <v>1.0020561713896421</v>
      </c>
      <c r="AA18" s="196">
        <f>SUM(厚生年金!I18,厚生年金!J18)/SUM(厚生年金!I46,厚生年金!J46)</f>
        <v>0.97020805407442179</v>
      </c>
      <c r="AB18" s="196">
        <f>厚生年金!I18/厚生年金!I46</f>
        <v>0.96932531717696091</v>
      </c>
      <c r="AC18" s="196">
        <f>厚生年金!J18/厚生年金!J46</f>
        <v>0.97676044872186496</v>
      </c>
      <c r="AD18" s="196">
        <f>厚生年金!K18/厚生年金!K46</f>
        <v>1.0491388009873177</v>
      </c>
    </row>
    <row r="19" spans="1:30">
      <c r="A19" s="143">
        <v>2032</v>
      </c>
      <c r="B19" s="32">
        <v>17.502942835995299</v>
      </c>
      <c r="C19" s="32">
        <v>519.63828543786201</v>
      </c>
      <c r="D19" s="32">
        <v>36.352990653715771</v>
      </c>
      <c r="E19" s="32">
        <v>2157.1380534897112</v>
      </c>
      <c r="F19" s="32"/>
      <c r="G19" s="32">
        <v>20.717471408917095</v>
      </c>
      <c r="H19" s="32">
        <v>902.39053903108902</v>
      </c>
      <c r="I19" s="32">
        <v>74.811902729568928</v>
      </c>
      <c r="J19" s="32">
        <v>7313.131951082356</v>
      </c>
      <c r="K19" s="32"/>
      <c r="L19" s="32"/>
      <c r="M19" s="32">
        <v>613.40000000000009</v>
      </c>
      <c r="O19" s="149">
        <f t="shared" si="0"/>
        <v>38.220414244912391</v>
      </c>
      <c r="P19" s="149">
        <f t="shared" si="1"/>
        <v>1422.0288244689509</v>
      </c>
      <c r="Q19" s="149">
        <f t="shared" si="2"/>
        <v>111.16489338328469</v>
      </c>
      <c r="R19" s="149">
        <f t="shared" si="3"/>
        <v>10083.670004572066</v>
      </c>
      <c r="U19" s="196">
        <f>厚生年金!C19/厚生年金!C47</f>
        <v>1.0166225726049554</v>
      </c>
      <c r="V19" s="196">
        <f>厚生年金!D19/厚生年金!D47</f>
        <v>1.0472891914094804</v>
      </c>
      <c r="W19" s="196">
        <f>厚生年金!E19/厚生年金!E47</f>
        <v>1.0479087962777902</v>
      </c>
      <c r="X19" s="196">
        <f>厚生年金!F19/厚生年金!F47</f>
        <v>0.97368892902385995</v>
      </c>
      <c r="Z19" s="196">
        <f>厚生年金!G19/厚生年金!G47</f>
        <v>1.0006463521584139</v>
      </c>
      <c r="AA19" s="196">
        <f>SUM(厚生年金!I19,厚生年金!J19)/SUM(厚生年金!I47,厚生年金!J47)</f>
        <v>0.96894852319982083</v>
      </c>
      <c r="AB19" s="196">
        <f>厚生年金!I19/厚生年金!I47</f>
        <v>0.96805614339486912</v>
      </c>
      <c r="AC19" s="196">
        <f>厚生年金!J19/厚生年金!J47</f>
        <v>0.97584378962668983</v>
      </c>
      <c r="AD19" s="196">
        <f>厚生年金!K19/厚生年金!K47</f>
        <v>1.0479087962777902</v>
      </c>
    </row>
    <row r="20" spans="1:30">
      <c r="A20" s="143">
        <v>2033</v>
      </c>
      <c r="B20" s="32">
        <v>16.763031420255285</v>
      </c>
      <c r="C20" s="32">
        <v>439.89127585583248</v>
      </c>
      <c r="D20" s="32">
        <v>31.46857714081807</v>
      </c>
      <c r="E20" s="32">
        <v>2170.6373285610734</v>
      </c>
      <c r="F20" s="32"/>
      <c r="G20" s="32">
        <v>19.558018900428785</v>
      </c>
      <c r="H20" s="32">
        <v>747.41692660123579</v>
      </c>
      <c r="I20" s="32">
        <v>63.268112521275732</v>
      </c>
      <c r="J20" s="32">
        <v>7369.7228834556508</v>
      </c>
      <c r="K20" s="32"/>
      <c r="L20" s="32"/>
      <c r="M20" s="32">
        <v>624.60000000000014</v>
      </c>
      <c r="O20" s="149">
        <f t="shared" si="0"/>
        <v>36.321050320684066</v>
      </c>
      <c r="P20" s="149">
        <f t="shared" si="1"/>
        <v>1187.3082024570683</v>
      </c>
      <c r="Q20" s="149">
        <f t="shared" si="2"/>
        <v>94.736689662093795</v>
      </c>
      <c r="R20" s="149">
        <f t="shared" si="3"/>
        <v>10164.960212016724</v>
      </c>
      <c r="U20" s="196">
        <f>厚生年金!C20/厚生年金!C48</f>
        <v>1.0189672393919977</v>
      </c>
      <c r="V20" s="196">
        <f>厚生年金!D20/厚生年金!D48</f>
        <v>1.0460312765637683</v>
      </c>
      <c r="W20" s="196">
        <f>厚生年金!E20/厚生年金!E48</f>
        <v>1.046559162321959</v>
      </c>
      <c r="X20" s="196">
        <f>厚生年金!F20/厚生年金!F48</f>
        <v>0.97227015547305096</v>
      </c>
      <c r="Z20" s="196">
        <f>厚生年金!G20/厚生年金!G48</f>
        <v>0.99910761145990545</v>
      </c>
      <c r="AA20" s="196">
        <f>SUM(厚生年金!I20,厚生年金!J20)/SUM(厚生年金!I48,厚生年金!J48)</f>
        <v>0.96752528164404872</v>
      </c>
      <c r="AB20" s="196">
        <f>厚生年金!I20/厚生年金!I48</f>
        <v>0.9666326827692735</v>
      </c>
      <c r="AC20" s="196">
        <f>厚生年金!J20/厚生年金!J48</f>
        <v>0.97467693998837246</v>
      </c>
      <c r="AD20" s="196">
        <f>厚生年金!K20/厚生年金!K48</f>
        <v>1.046559162321959</v>
      </c>
    </row>
    <row r="21" spans="1:30">
      <c r="A21" s="143">
        <v>2034</v>
      </c>
      <c r="B21" s="32">
        <v>16.04699686721608</v>
      </c>
      <c r="C21" s="32">
        <v>368.58181671440565</v>
      </c>
      <c r="D21" s="32">
        <v>27.040543097743146</v>
      </c>
      <c r="E21" s="32">
        <v>2178.1520099649592</v>
      </c>
      <c r="F21" s="32"/>
      <c r="G21" s="32">
        <v>18.509646671610266</v>
      </c>
      <c r="H21" s="32">
        <v>613.93366145711161</v>
      </c>
      <c r="I21" s="32">
        <v>53.288190539321633</v>
      </c>
      <c r="J21" s="32">
        <v>7437.4184939666766</v>
      </c>
      <c r="K21" s="32"/>
      <c r="L21" s="32"/>
      <c r="M21" s="32">
        <v>635.80000000000018</v>
      </c>
      <c r="O21" s="149">
        <f t="shared" si="0"/>
        <v>34.55664353882635</v>
      </c>
      <c r="P21" s="149">
        <f t="shared" si="1"/>
        <v>982.51547817151732</v>
      </c>
      <c r="Q21" s="149">
        <f t="shared" si="2"/>
        <v>80.328733637064772</v>
      </c>
      <c r="R21" s="149">
        <f t="shared" si="3"/>
        <v>10251.370503931637</v>
      </c>
      <c r="U21" s="196">
        <f>厚生年金!C21/厚生年金!C49</f>
        <v>1.0209704288172599</v>
      </c>
      <c r="V21" s="196">
        <f>厚生年金!D21/厚生年金!D49</f>
        <v>1.0448605872813255</v>
      </c>
      <c r="W21" s="196">
        <f>厚生年金!E21/厚生年金!E49</f>
        <v>1.0453074478983677</v>
      </c>
      <c r="X21" s="196">
        <f>厚生年金!F21/厚生年金!F49</f>
        <v>0.97090466254481489</v>
      </c>
      <c r="Z21" s="196">
        <f>厚生年金!G21/厚生年金!G49</f>
        <v>0.99763681268337634</v>
      </c>
      <c r="AA21" s="196">
        <f>SUM(厚生年金!I21,厚生年金!J21)/SUM(厚生年金!I49,厚生年金!J49)</f>
        <v>0.96615327180845811</v>
      </c>
      <c r="AB21" s="196">
        <f>厚生年金!I21/厚生年金!I49</f>
        <v>0.96526420762639764</v>
      </c>
      <c r="AC21" s="196">
        <f>厚生年金!J21/厚生年金!J49</f>
        <v>0.97353518759233471</v>
      </c>
      <c r="AD21" s="196">
        <f>厚生年金!K21/厚生年金!K49</f>
        <v>1.0453074478983677</v>
      </c>
    </row>
    <row r="22" spans="1:30">
      <c r="A22" s="143">
        <v>2035</v>
      </c>
      <c r="B22" s="32">
        <v>15.349727110974033</v>
      </c>
      <c r="C22" s="32">
        <v>305.93899486075156</v>
      </c>
      <c r="D22" s="32">
        <v>23.041768110866009</v>
      </c>
      <c r="E22" s="32">
        <v>2182.0931252218402</v>
      </c>
      <c r="F22" s="32"/>
      <c r="G22" s="32">
        <v>17.485429194812504</v>
      </c>
      <c r="H22" s="32">
        <v>501.12442147596443</v>
      </c>
      <c r="I22" s="32">
        <v>44.549713419894424</v>
      </c>
      <c r="J22" s="32">
        <v>7493.2040654523171</v>
      </c>
      <c r="K22" s="32"/>
      <c r="L22" s="32"/>
      <c r="M22" s="32">
        <v>647</v>
      </c>
      <c r="O22" s="149">
        <f t="shared" si="0"/>
        <v>32.835156305786541</v>
      </c>
      <c r="P22" s="149">
        <f t="shared" si="1"/>
        <v>807.06341633671605</v>
      </c>
      <c r="Q22" s="149">
        <f t="shared" si="2"/>
        <v>67.591481530760433</v>
      </c>
      <c r="R22" s="149">
        <f t="shared" si="3"/>
        <v>10322.297190674157</v>
      </c>
      <c r="U22" s="196">
        <f>厚生年金!C22/厚生年金!C50</f>
        <v>1.0229079651949278</v>
      </c>
      <c r="V22" s="196">
        <f>厚生年金!D22/厚生年金!D50</f>
        <v>1.0438718783448766</v>
      </c>
      <c r="W22" s="196">
        <f>厚生年金!E22/厚生年金!E50</f>
        <v>1.0442493862354501</v>
      </c>
      <c r="X22" s="196">
        <f>厚生年金!F22/厚生年金!F50</f>
        <v>0.96969810746611318</v>
      </c>
      <c r="Z22" s="196">
        <f>厚生年金!G22/厚生年金!G50</f>
        <v>0.99630934578083719</v>
      </c>
      <c r="AA22" s="196">
        <f>SUM(厚生年金!I22,厚生年金!J22)/SUM(厚生年金!I50,厚生年金!J50)</f>
        <v>0.96493791674928275</v>
      </c>
      <c r="AB22" s="196">
        <f>厚生年金!I22/厚生年金!I50</f>
        <v>0.96405465761224984</v>
      </c>
      <c r="AC22" s="196">
        <f>厚生年金!J22/厚生年金!J50</f>
        <v>0.97254168820439413</v>
      </c>
      <c r="AD22" s="196">
        <f>厚生年金!K22/厚生年金!K50</f>
        <v>1.0442493862354501</v>
      </c>
    </row>
    <row r="23" spans="1:30">
      <c r="A23" s="143">
        <v>2036</v>
      </c>
      <c r="B23" s="32">
        <v>14.644120185731081</v>
      </c>
      <c r="C23" s="32">
        <v>251.69158922734471</v>
      </c>
      <c r="D23" s="32">
        <v>19.494456421756237</v>
      </c>
      <c r="E23" s="32">
        <v>2184.3749866074872</v>
      </c>
      <c r="F23" s="32"/>
      <c r="G23" s="32">
        <v>16.464794498356877</v>
      </c>
      <c r="H23" s="32">
        <v>405.435809817012</v>
      </c>
      <c r="I23" s="32">
        <v>36.927812175522007</v>
      </c>
      <c r="J23" s="32">
        <v>7535.9959308414964</v>
      </c>
      <c r="K23" s="32"/>
      <c r="L23" s="32"/>
      <c r="M23" s="32">
        <v>651.4</v>
      </c>
      <c r="O23" s="149">
        <f t="shared" si="0"/>
        <v>31.108914684087956</v>
      </c>
      <c r="P23" s="149">
        <f t="shared" si="1"/>
        <v>657.12739904435671</v>
      </c>
      <c r="Q23" s="149">
        <f t="shared" si="2"/>
        <v>56.422268597278247</v>
      </c>
      <c r="R23" s="149">
        <f t="shared" si="3"/>
        <v>10371.770917448983</v>
      </c>
      <c r="U23" s="196">
        <f>厚生年金!C23/厚生年金!C51</f>
        <v>1.0254927631021267</v>
      </c>
      <c r="V23" s="196">
        <f>厚生年金!D23/厚生年金!D51</f>
        <v>1.0430545897102033</v>
      </c>
      <c r="W23" s="196">
        <f>厚生年金!E23/厚生年金!E51</f>
        <v>1.0433710972374781</v>
      </c>
      <c r="X23" s="196">
        <f>厚生年金!F23/厚生年金!F51</f>
        <v>0.96862620209833317</v>
      </c>
      <c r="Z23" s="196">
        <f>厚生年金!G23/厚生年金!G51</f>
        <v>0.99512064187668192</v>
      </c>
      <c r="AA23" s="196">
        <f>SUM(厚生年金!I23,厚生年金!J23)/SUM(厚生年金!I51,厚生年金!J51)</f>
        <v>0.96385158346204181</v>
      </c>
      <c r="AB23" s="196">
        <f>厚生年金!I23/厚生年金!I51</f>
        <v>0.96297409253654342</v>
      </c>
      <c r="AC23" s="196">
        <f>厚生年金!J23/厚生年金!J51</f>
        <v>0.97168663118168497</v>
      </c>
      <c r="AD23" s="196">
        <f>厚生年金!K23/厚生年金!K51</f>
        <v>1.0433710972374781</v>
      </c>
    </row>
    <row r="24" spans="1:30">
      <c r="A24" s="143">
        <v>2037</v>
      </c>
      <c r="B24" s="32">
        <v>13.95042085911294</v>
      </c>
      <c r="C24" s="32">
        <v>204.6927277674387</v>
      </c>
      <c r="D24" s="32">
        <v>16.350201866204436</v>
      </c>
      <c r="E24" s="32">
        <v>2188.0960327253174</v>
      </c>
      <c r="F24" s="32"/>
      <c r="G24" s="32">
        <v>15.441552315991116</v>
      </c>
      <c r="H24" s="32">
        <v>325.41393581478695</v>
      </c>
      <c r="I24" s="32">
        <v>30.311365709986934</v>
      </c>
      <c r="J24" s="32">
        <v>7554.2692772121145</v>
      </c>
      <c r="K24" s="32"/>
      <c r="L24" s="32"/>
      <c r="M24" s="32">
        <v>655.8</v>
      </c>
      <c r="O24" s="149">
        <f t="shared" si="0"/>
        <v>29.391973175104056</v>
      </c>
      <c r="P24" s="149">
        <f t="shared" si="1"/>
        <v>530.10666358222568</v>
      </c>
      <c r="Q24" s="149">
        <f t="shared" si="2"/>
        <v>46.661567576191374</v>
      </c>
      <c r="R24" s="149">
        <f t="shared" si="3"/>
        <v>10398.165309937431</v>
      </c>
      <c r="U24" s="196">
        <f>厚生年金!C24/厚生年金!C52</f>
        <v>1.0276547682822457</v>
      </c>
      <c r="V24" s="196">
        <f>厚生年金!D24/厚生年金!D52</f>
        <v>1.0423864291902836</v>
      </c>
      <c r="W24" s="196">
        <f>厚生年金!E24/厚生年金!E52</f>
        <v>1.0426493873178224</v>
      </c>
      <c r="X24" s="196">
        <f>厚生年金!F24/厚生年金!F52</f>
        <v>0.96764577394135309</v>
      </c>
      <c r="Z24" s="196">
        <f>厚生年金!G24/厚生年金!G52</f>
        <v>0.9940443948447788</v>
      </c>
      <c r="AA24" s="196">
        <f>SUM(厚生年金!I24,厚生年金!J24)/SUM(厚生年金!I52,厚生年金!J52)</f>
        <v>0.96285139690347055</v>
      </c>
      <c r="AB24" s="196">
        <f>厚生年金!I24/厚生年金!I52</f>
        <v>0.96197760890299899</v>
      </c>
      <c r="AC24" s="196">
        <f>厚生年金!J24/厚生年金!J52</f>
        <v>0.97093909215033491</v>
      </c>
      <c r="AD24" s="196">
        <f>厚生年金!K24/厚生年金!K52</f>
        <v>1.0426493873178224</v>
      </c>
    </row>
    <row r="25" spans="1:30">
      <c r="A25" s="143">
        <v>2038</v>
      </c>
      <c r="B25" s="32">
        <v>13.289169892911048</v>
      </c>
      <c r="C25" s="32">
        <v>164.20112479025727</v>
      </c>
      <c r="D25" s="32">
        <v>13.539752253055147</v>
      </c>
      <c r="E25" s="32">
        <v>2189.1376121459662</v>
      </c>
      <c r="F25" s="32"/>
      <c r="G25" s="32">
        <v>14.436177834967284</v>
      </c>
      <c r="H25" s="32">
        <v>258.86567033330488</v>
      </c>
      <c r="I25" s="32">
        <v>24.671849933884886</v>
      </c>
      <c r="J25" s="32">
        <v>7557.5908978740808</v>
      </c>
      <c r="K25" s="32"/>
      <c r="L25" s="32"/>
      <c r="M25" s="32">
        <v>660.19999999999993</v>
      </c>
      <c r="O25" s="149">
        <f t="shared" si="0"/>
        <v>27.725347727878329</v>
      </c>
      <c r="P25" s="149">
        <f t="shared" si="1"/>
        <v>423.06679512356214</v>
      </c>
      <c r="Q25" s="149">
        <f t="shared" si="2"/>
        <v>38.211602186940034</v>
      </c>
      <c r="R25" s="149">
        <f t="shared" si="3"/>
        <v>10406.928510020047</v>
      </c>
      <c r="U25" s="196">
        <f>厚生年金!C25/厚生年金!C53</f>
        <v>1.0294566196901671</v>
      </c>
      <c r="V25" s="196">
        <f>厚生年金!D25/厚生年金!D53</f>
        <v>1.0418385178849308</v>
      </c>
      <c r="W25" s="196">
        <f>厚生年金!E25/厚生年金!E53</f>
        <v>1.0420552868913715</v>
      </c>
      <c r="X25" s="196">
        <f>厚生年金!F25/厚生年金!F53</f>
        <v>0.9666673019610289</v>
      </c>
      <c r="Z25" s="196">
        <f>厚生年金!G25/厚生年金!G53</f>
        <v>0.99301498486768081</v>
      </c>
      <c r="AA25" s="196">
        <f>SUM(厚生年金!I25,厚生年金!J25)/SUM(厚生年金!I53,厚生年金!J53)</f>
        <v>0.96185169996362219</v>
      </c>
      <c r="AB25" s="196">
        <f>厚生年金!I25/厚生年金!I53</f>
        <v>0.96096981263794523</v>
      </c>
      <c r="AC25" s="196">
        <f>厚生年金!J25/厚生年金!J53</f>
        <v>0.9703071703222218</v>
      </c>
      <c r="AD25" s="196">
        <f>厚生年金!K25/厚生年金!K53</f>
        <v>1.0420552868913715</v>
      </c>
    </row>
    <row r="26" spans="1:30">
      <c r="A26" s="143">
        <v>2039</v>
      </c>
      <c r="B26" s="32">
        <v>12.64411844073679</v>
      </c>
      <c r="C26" s="32">
        <v>130.49765591040307</v>
      </c>
      <c r="D26" s="32">
        <v>11.172147470920008</v>
      </c>
      <c r="E26" s="32">
        <v>2185.0845559116569</v>
      </c>
      <c r="F26" s="32"/>
      <c r="G26" s="32">
        <v>13.452111336369489</v>
      </c>
      <c r="H26" s="32">
        <v>204.16920288981495</v>
      </c>
      <c r="I26" s="32">
        <v>19.897703362004926</v>
      </c>
      <c r="J26" s="32">
        <v>7531.4698072857518</v>
      </c>
      <c r="K26" s="32"/>
      <c r="L26" s="32"/>
      <c r="M26" s="32">
        <v>664.59999999999991</v>
      </c>
      <c r="O26" s="149">
        <f t="shared" si="0"/>
        <v>26.096229777106281</v>
      </c>
      <c r="P26" s="149">
        <f t="shared" si="1"/>
        <v>334.66685880021805</v>
      </c>
      <c r="Q26" s="149">
        <f t="shared" si="2"/>
        <v>31.069850832924935</v>
      </c>
      <c r="R26" s="149">
        <f t="shared" si="3"/>
        <v>10381.154363197409</v>
      </c>
      <c r="U26" s="196">
        <f>厚生年金!C26/厚生年金!C54</f>
        <v>1.0309342140222064</v>
      </c>
      <c r="V26" s="196">
        <f>厚生年金!D26/厚生年金!D54</f>
        <v>1.0415131246035654</v>
      </c>
      <c r="W26" s="196">
        <f>厚生年金!E26/厚生年金!E54</f>
        <v>1.0416906631994811</v>
      </c>
      <c r="X26" s="196">
        <f>厚生年金!F26/厚生年金!F54</f>
        <v>0.96575951282086858</v>
      </c>
      <c r="Z26" s="196">
        <f>厚生年金!G26/厚生年金!G54</f>
        <v>0.99211169847883429</v>
      </c>
      <c r="AA26" s="196">
        <f>SUM(厚生年金!I26,厚生年金!J26)/SUM(厚生年金!I54,厚生年金!J54)</f>
        <v>0.96092113355364728</v>
      </c>
      <c r="AB26" s="196">
        <f>厚生年金!I26/厚生年金!I54</f>
        <v>0.96001498709273436</v>
      </c>
      <c r="AC26" s="196">
        <f>厚生年金!J26/厚生年金!J54</f>
        <v>0.96992616380049357</v>
      </c>
      <c r="AD26" s="196">
        <f>厚生年金!K26/厚生年金!K54</f>
        <v>1.0416906631994811</v>
      </c>
    </row>
    <row r="27" spans="1:30">
      <c r="A27" s="143">
        <v>2040</v>
      </c>
      <c r="B27" s="32">
        <v>12.016629309061484</v>
      </c>
      <c r="C27" s="32">
        <v>103.06942421190747</v>
      </c>
      <c r="D27" s="32">
        <v>9.1494071718587708</v>
      </c>
      <c r="E27" s="32">
        <v>2170.2805364809205</v>
      </c>
      <c r="F27" s="32"/>
      <c r="G27" s="32">
        <v>12.534103758229294</v>
      </c>
      <c r="H27" s="32">
        <v>159.8929487729132</v>
      </c>
      <c r="I27" s="32">
        <v>15.926850357443213</v>
      </c>
      <c r="J27" s="32">
        <v>7474.7239426085944</v>
      </c>
      <c r="K27" s="32"/>
      <c r="L27" s="32"/>
      <c r="M27" s="32">
        <v>669</v>
      </c>
      <c r="O27" s="149">
        <f t="shared" si="0"/>
        <v>24.550733067290778</v>
      </c>
      <c r="P27" s="149">
        <f t="shared" si="1"/>
        <v>262.96237298482066</v>
      </c>
      <c r="Q27" s="149">
        <f t="shared" si="2"/>
        <v>25.076257529301984</v>
      </c>
      <c r="R27" s="149">
        <f t="shared" si="3"/>
        <v>10314.004479089515</v>
      </c>
      <c r="U27" s="196">
        <f>厚生年金!C27/厚生年金!C55</f>
        <v>1.0322298899255533</v>
      </c>
      <c r="V27" s="196">
        <f>厚生年金!D27/厚生年金!D55</f>
        <v>1.0413290658849805</v>
      </c>
      <c r="W27" s="196">
        <f>厚生年金!E27/厚生年金!E55</f>
        <v>1.0414736536727986</v>
      </c>
      <c r="X27" s="196">
        <f>厚生年金!F27/厚生年金!F55</f>
        <v>0.96486956034800653</v>
      </c>
      <c r="Z27" s="196">
        <f>厚生年金!G27/厚生年金!G55</f>
        <v>0.99125803718504679</v>
      </c>
      <c r="AA27" s="196">
        <f>SUM(厚生年金!I27,厚生年金!J27)/SUM(厚生年金!I55,厚生年金!J55)</f>
        <v>0.95999329849414483</v>
      </c>
      <c r="AB27" s="196">
        <f>厚生年金!I27/厚生年金!I55</f>
        <v>0.95904896801136885</v>
      </c>
      <c r="AC27" s="196">
        <f>厚生年金!J27/厚生年金!J55</f>
        <v>0.9697396027109928</v>
      </c>
      <c r="AD27" s="196">
        <f>厚生年金!K27/厚生年金!K55</f>
        <v>1.0414736536727986</v>
      </c>
    </row>
    <row r="29" spans="1:30">
      <c r="A29" s="142" t="s">
        <v>146</v>
      </c>
    </row>
    <row r="30" spans="1:30">
      <c r="B30" s="147" t="s">
        <v>181</v>
      </c>
      <c r="C30" s="31"/>
      <c r="D30" s="31"/>
      <c r="E30" s="31"/>
      <c r="F30" s="31"/>
      <c r="G30" s="147" t="s">
        <v>182</v>
      </c>
      <c r="H30" s="31"/>
      <c r="I30" s="31"/>
      <c r="J30" s="31"/>
      <c r="K30" s="31"/>
      <c r="L30" s="147" t="s">
        <v>174</v>
      </c>
      <c r="M30" s="31"/>
      <c r="O30" s="142" t="s">
        <v>175</v>
      </c>
    </row>
    <row r="31" spans="1:30">
      <c r="B31" s="147" t="s">
        <v>177</v>
      </c>
      <c r="C31" s="147" t="s">
        <v>178</v>
      </c>
      <c r="D31" s="147"/>
      <c r="E31" s="147" t="s">
        <v>179</v>
      </c>
      <c r="F31" s="31"/>
      <c r="G31" s="147" t="s">
        <v>177</v>
      </c>
      <c r="H31" s="147" t="s">
        <v>178</v>
      </c>
      <c r="I31" s="147"/>
      <c r="J31" s="147" t="s">
        <v>179</v>
      </c>
      <c r="K31" s="31"/>
      <c r="L31" s="147"/>
      <c r="M31" s="147" t="s">
        <v>179</v>
      </c>
      <c r="O31" s="147" t="s">
        <v>177</v>
      </c>
      <c r="P31" s="147" t="s">
        <v>178</v>
      </c>
      <c r="Q31" s="147"/>
      <c r="R31" s="147" t="s">
        <v>179</v>
      </c>
    </row>
    <row r="32" spans="1:30" s="127" customFormat="1">
      <c r="A32" s="127" t="s">
        <v>113</v>
      </c>
      <c r="B32" s="148" t="s">
        <v>180</v>
      </c>
      <c r="C32" s="148"/>
      <c r="D32" s="148" t="s">
        <v>176</v>
      </c>
      <c r="E32" s="148" t="s">
        <v>180</v>
      </c>
      <c r="G32" s="148" t="s">
        <v>180</v>
      </c>
      <c r="H32" s="148"/>
      <c r="I32" s="148" t="s">
        <v>176</v>
      </c>
      <c r="J32" s="148" t="s">
        <v>180</v>
      </c>
      <c r="L32" s="148"/>
      <c r="M32" s="148" t="s">
        <v>180</v>
      </c>
      <c r="O32" s="148" t="s">
        <v>180</v>
      </c>
      <c r="P32" s="148"/>
      <c r="Q32" s="148" t="s">
        <v>176</v>
      </c>
      <c r="R32" s="148" t="s">
        <v>180</v>
      </c>
    </row>
    <row r="33" spans="1:18">
      <c r="A33" s="144">
        <v>2018</v>
      </c>
      <c r="B33" s="97">
        <v>24.995369597897287</v>
      </c>
      <c r="C33" s="97">
        <v>1952.0873300000001</v>
      </c>
      <c r="D33" s="97">
        <v>124.24212821446544</v>
      </c>
      <c r="E33" s="97">
        <v>1669.0472916397944</v>
      </c>
      <c r="F33" s="97"/>
      <c r="G33" s="97">
        <v>34.812762498353031</v>
      </c>
      <c r="H33" s="97">
        <v>4721.9443668308732</v>
      </c>
      <c r="I33" s="97">
        <v>344.24953645091091</v>
      </c>
      <c r="J33" s="97">
        <v>5252.8066323688454</v>
      </c>
      <c r="K33" s="97"/>
      <c r="L33" s="97"/>
      <c r="M33" s="97">
        <v>343.83069</v>
      </c>
      <c r="O33" s="149">
        <v>59.808132096250318</v>
      </c>
      <c r="P33" s="149">
        <v>6674.0316968308734</v>
      </c>
      <c r="Q33" s="149">
        <v>468.49166466537633</v>
      </c>
      <c r="R33" s="149">
        <v>7265.6846140086391</v>
      </c>
    </row>
    <row r="34" spans="1:18">
      <c r="A34" s="144">
        <v>2019</v>
      </c>
      <c r="B34" s="97">
        <f>B6*$U6*(B$33/B$5/$U$5)</f>
        <v>24.026657639434895</v>
      </c>
      <c r="C34" s="97">
        <f>C6*$Z6*(C$33/C$5/$Z$5)</f>
        <v>1817.9782268985186</v>
      </c>
      <c r="D34" s="97">
        <f>D6*$Z6*(D$33/D$5/$Z$5)</f>
        <v>114.78074976796323</v>
      </c>
      <c r="E34" s="97">
        <f>E6*$AA6*(E$33/E$5/$AA$5)</f>
        <v>1642.6417833933722</v>
      </c>
      <c r="F34" s="97"/>
      <c r="G34" s="97">
        <f>G6*$U6*(G$33/G$5/$U$5)</f>
        <v>33.377179711092971</v>
      </c>
      <c r="H34" s="97">
        <f>H6*$Z6*(H$33/H$5/$Z$5)</f>
        <v>4352.4583064438884</v>
      </c>
      <c r="I34" s="97">
        <f>I6*$Z6*(I$33/I$5/$Z$5)</f>
        <v>315.99420589508509</v>
      </c>
      <c r="J34" s="97">
        <f>J6*$AA6*(J$33/J$5/$AA$5)</f>
        <v>5320.108232251624</v>
      </c>
      <c r="K34" s="97"/>
      <c r="L34" s="97"/>
      <c r="M34" s="97">
        <f>M6*$AA6*(M$33/M$5/$AA$5)</f>
        <v>350.432888056617</v>
      </c>
      <c r="O34" s="149">
        <f t="shared" ref="O34:O55" si="4">B34+G34</f>
        <v>57.403837350527866</v>
      </c>
      <c r="P34" s="149">
        <f t="shared" ref="P34:P55" si="5">C34+H34</f>
        <v>6170.4365333424066</v>
      </c>
      <c r="Q34" s="149">
        <f t="shared" ref="Q34:Q55" si="6">D34+I34</f>
        <v>430.77495566304833</v>
      </c>
      <c r="R34" s="149">
        <f t="shared" ref="R34:R55" si="7">E34+J34+M34</f>
        <v>7313.1829037016132</v>
      </c>
    </row>
    <row r="35" spans="1:18">
      <c r="A35" s="144">
        <v>2020</v>
      </c>
      <c r="B35" s="97">
        <f t="shared" ref="B35:B55" si="8">B7*$U7*(B$33/B$5/$U$5)</f>
        <v>23.414536824421273</v>
      </c>
      <c r="C35" s="97">
        <f t="shared" ref="C35:D35" si="9">C7*$Z7*(C$33/C$5/$Z$5)</f>
        <v>1707.0663489718556</v>
      </c>
      <c r="D35" s="97">
        <f t="shared" si="9"/>
        <v>107.19287226474219</v>
      </c>
      <c r="E35" s="97">
        <f t="shared" ref="E35:E55" si="10">E7*$AA7*(E$33/E$5/$AA$5)</f>
        <v>1679.7809159067767</v>
      </c>
      <c r="F35" s="97"/>
      <c r="G35" s="97">
        <f t="shared" ref="G35:G55" si="11">G7*$U7*(G$33/G$5/$U$5)</f>
        <v>32.083022635537368</v>
      </c>
      <c r="H35" s="97">
        <f t="shared" ref="H35:I35" si="12">H7*$Z7*(H$33/H$5/$Z$5)</f>
        <v>4002.8289950216104</v>
      </c>
      <c r="I35" s="97">
        <f t="shared" si="12"/>
        <v>290.1454000972663</v>
      </c>
      <c r="J35" s="97">
        <f t="shared" ref="J35:J55" si="13">J7*$AA7*(J$33/J$5/$AA$5)</f>
        <v>5394.6861607748424</v>
      </c>
      <c r="K35" s="97"/>
      <c r="L35" s="97"/>
      <c r="M35" s="97">
        <f t="shared" ref="M35:M55" si="14">M7*$AA7*(M$33/M$5/$AA$5)</f>
        <v>368.58597536416147</v>
      </c>
      <c r="O35" s="149">
        <f t="shared" si="4"/>
        <v>55.497559459958637</v>
      </c>
      <c r="P35" s="149">
        <f t="shared" si="5"/>
        <v>5709.8953439934658</v>
      </c>
      <c r="Q35" s="149">
        <f t="shared" si="6"/>
        <v>397.33827236200852</v>
      </c>
      <c r="R35" s="149">
        <f t="shared" si="7"/>
        <v>7443.0530520457805</v>
      </c>
    </row>
    <row r="36" spans="1:18">
      <c r="A36" s="144">
        <v>2021</v>
      </c>
      <c r="B36" s="97">
        <f t="shared" si="8"/>
        <v>22.885703202042823</v>
      </c>
      <c r="C36" s="97">
        <f t="shared" ref="C36:D36" si="15">C8*$Z8*(C$33/C$5/$Z$5)</f>
        <v>1601.3064477541031</v>
      </c>
      <c r="D36" s="97">
        <f t="shared" si="15"/>
        <v>100.24007779963014</v>
      </c>
      <c r="E36" s="97">
        <f t="shared" si="10"/>
        <v>1732.4037996690784</v>
      </c>
      <c r="F36" s="97"/>
      <c r="G36" s="97">
        <f t="shared" si="11"/>
        <v>31.080271841926223</v>
      </c>
      <c r="H36" s="97">
        <f t="shared" ref="H36:I36" si="16">H8*$Z8*(H$33/H$5/$Z$5)</f>
        <v>3696.8999009963072</v>
      </c>
      <c r="I36" s="97">
        <f t="shared" si="16"/>
        <v>268.44199170099063</v>
      </c>
      <c r="J36" s="97">
        <f t="shared" si="13"/>
        <v>5638.9516698856878</v>
      </c>
      <c r="K36" s="97"/>
      <c r="L36" s="97"/>
      <c r="M36" s="97">
        <f t="shared" si="14"/>
        <v>389.56933042489982</v>
      </c>
      <c r="O36" s="149">
        <f t="shared" si="4"/>
        <v>53.965975043969046</v>
      </c>
      <c r="P36" s="149">
        <f t="shared" si="5"/>
        <v>5298.2063487504101</v>
      </c>
      <c r="Q36" s="149">
        <f t="shared" si="6"/>
        <v>368.68206950062074</v>
      </c>
      <c r="R36" s="149">
        <f t="shared" si="7"/>
        <v>7760.9247999796662</v>
      </c>
    </row>
    <row r="37" spans="1:18">
      <c r="A37" s="144">
        <v>2022</v>
      </c>
      <c r="B37" s="97">
        <f t="shared" si="8"/>
        <v>22.332461518514858</v>
      </c>
      <c r="C37" s="97">
        <f t="shared" ref="C37:D37" si="17">C9*$Z9*(C$33/C$5/$Z$5)</f>
        <v>1491.1960308969669</v>
      </c>
      <c r="D37" s="97">
        <f t="shared" si="17"/>
        <v>93.253770545006248</v>
      </c>
      <c r="E37" s="97">
        <f t="shared" si="10"/>
        <v>1734.8547559177257</v>
      </c>
      <c r="F37" s="97"/>
      <c r="G37" s="97">
        <f t="shared" si="11"/>
        <v>30.261713074108307</v>
      </c>
      <c r="H37" s="97">
        <f t="shared" ref="H37:I37" si="18">H9*$Z9*(H$33/H$5/$Z$5)</f>
        <v>3410.6124937930526</v>
      </c>
      <c r="I37" s="97">
        <f t="shared" si="18"/>
        <v>248.62909164305927</v>
      </c>
      <c r="J37" s="97">
        <f t="shared" si="13"/>
        <v>5813.8754379543298</v>
      </c>
      <c r="K37" s="97"/>
      <c r="L37" s="97"/>
      <c r="M37" s="97">
        <f t="shared" si="14"/>
        <v>402.83719208670624</v>
      </c>
      <c r="O37" s="149">
        <f t="shared" si="4"/>
        <v>52.594174592623162</v>
      </c>
      <c r="P37" s="149">
        <f t="shared" si="5"/>
        <v>4901.8085246900191</v>
      </c>
      <c r="Q37" s="149">
        <f t="shared" si="6"/>
        <v>341.88286218806553</v>
      </c>
      <c r="R37" s="149">
        <f t="shared" si="7"/>
        <v>7951.5673859587623</v>
      </c>
    </row>
    <row r="38" spans="1:18">
      <c r="A38" s="144">
        <v>2023</v>
      </c>
      <c r="B38" s="97">
        <f t="shared" si="8"/>
        <v>21.766168101210837</v>
      </c>
      <c r="C38" s="97">
        <f t="shared" ref="C38:D38" si="19">C10*$Z10*(C$33/C$5/$Z$5)</f>
        <v>1378.1244838825182</v>
      </c>
      <c r="D38" s="97">
        <f t="shared" si="19"/>
        <v>86.310179454184279</v>
      </c>
      <c r="E38" s="97">
        <f t="shared" si="10"/>
        <v>1787.7720494273838</v>
      </c>
      <c r="F38" s="97"/>
      <c r="G38" s="97">
        <f t="shared" si="11"/>
        <v>29.08602944238541</v>
      </c>
      <c r="H38" s="97">
        <f t="shared" ref="H38:I38" si="20">H10*$Z10*(H$33/H$5/$Z$5)</f>
        <v>3086.4370977792328</v>
      </c>
      <c r="I38" s="97">
        <f t="shared" si="20"/>
        <v>226.07659233354647</v>
      </c>
      <c r="J38" s="97">
        <f t="shared" si="13"/>
        <v>5909.907296065714</v>
      </c>
      <c r="K38" s="97"/>
      <c r="L38" s="97"/>
      <c r="M38" s="97">
        <f t="shared" si="14"/>
        <v>421.86678986249927</v>
      </c>
      <c r="O38" s="149">
        <f t="shared" si="4"/>
        <v>50.852197543596247</v>
      </c>
      <c r="P38" s="149">
        <f t="shared" si="5"/>
        <v>4464.561581661751</v>
      </c>
      <c r="Q38" s="149">
        <f t="shared" si="6"/>
        <v>312.38677178773077</v>
      </c>
      <c r="R38" s="149">
        <f t="shared" si="7"/>
        <v>8119.5461353555966</v>
      </c>
    </row>
    <row r="39" spans="1:18">
      <c r="A39" s="144">
        <v>2024</v>
      </c>
      <c r="B39" s="97">
        <f t="shared" si="8"/>
        <v>21.335504981432589</v>
      </c>
      <c r="C39" s="97">
        <f t="shared" ref="C39:D39" si="21">C11*$Z11*(C$33/C$5/$Z$5)</f>
        <v>1264.9555942326633</v>
      </c>
      <c r="D39" s="97">
        <f t="shared" si="21"/>
        <v>79.522057892490565</v>
      </c>
      <c r="E39" s="97">
        <f t="shared" si="10"/>
        <v>1839.2667542660743</v>
      </c>
      <c r="F39" s="97"/>
      <c r="G39" s="97">
        <f t="shared" si="11"/>
        <v>28.15901928635413</v>
      </c>
      <c r="H39" s="97">
        <f t="shared" ref="H39:I39" si="22">H11*$Z11*(H$33/H$5/$Z$5)</f>
        <v>2779.6192729085215</v>
      </c>
      <c r="I39" s="97">
        <f t="shared" si="22"/>
        <v>205.00575348349145</v>
      </c>
      <c r="J39" s="97">
        <f t="shared" si="13"/>
        <v>6126.338198394541</v>
      </c>
      <c r="K39" s="97"/>
      <c r="L39" s="97"/>
      <c r="M39" s="97">
        <f t="shared" si="14"/>
        <v>442.37809206818952</v>
      </c>
      <c r="O39" s="149">
        <f t="shared" si="4"/>
        <v>49.494524267786716</v>
      </c>
      <c r="P39" s="149">
        <f t="shared" si="5"/>
        <v>4044.5748671411848</v>
      </c>
      <c r="Q39" s="149">
        <f t="shared" si="6"/>
        <v>284.52781137598203</v>
      </c>
      <c r="R39" s="149">
        <f t="shared" si="7"/>
        <v>8407.9830447288041</v>
      </c>
    </row>
    <row r="40" spans="1:18">
      <c r="A40" s="144">
        <v>2025</v>
      </c>
      <c r="B40" s="97">
        <f t="shared" si="8"/>
        <v>20.969883855548801</v>
      </c>
      <c r="C40" s="97">
        <f t="shared" ref="C40:D40" si="23">C12*$Z12*(C$33/C$5/$Z$5)</f>
        <v>1152.0994420360821</v>
      </c>
      <c r="D40" s="97">
        <f t="shared" si="23"/>
        <v>72.895156131444423</v>
      </c>
      <c r="E40" s="97">
        <f t="shared" si="10"/>
        <v>1833.4159076587773</v>
      </c>
      <c r="F40" s="97"/>
      <c r="G40" s="97">
        <f t="shared" si="11"/>
        <v>27.443489596502904</v>
      </c>
      <c r="H40" s="97">
        <f t="shared" ref="H40:I40" si="24">H12*$Z12*(H$33/H$5/$Z$5)</f>
        <v>2498.9437255755815</v>
      </c>
      <c r="I40" s="97">
        <f t="shared" si="24"/>
        <v>185.97616550304673</v>
      </c>
      <c r="J40" s="97">
        <f t="shared" si="13"/>
        <v>6276.7560179965594</v>
      </c>
      <c r="K40" s="97"/>
      <c r="L40" s="97"/>
      <c r="M40" s="97">
        <f t="shared" si="14"/>
        <v>453.48007311789149</v>
      </c>
      <c r="O40" s="149">
        <f t="shared" si="4"/>
        <v>48.413373452051701</v>
      </c>
      <c r="P40" s="149">
        <f t="shared" si="5"/>
        <v>3651.0431676116636</v>
      </c>
      <c r="Q40" s="149">
        <f t="shared" si="6"/>
        <v>258.87132163449115</v>
      </c>
      <c r="R40" s="149">
        <f t="shared" si="7"/>
        <v>8563.6519987732281</v>
      </c>
    </row>
    <row r="41" spans="1:18">
      <c r="A41" s="144">
        <v>2026</v>
      </c>
      <c r="B41" s="97">
        <f t="shared" si="8"/>
        <v>20.620139821386239</v>
      </c>
      <c r="C41" s="97">
        <f t="shared" ref="C41:D41" si="25">C13*$Z13*(C$33/C$5/$Z$5)</f>
        <v>1042.4364757484084</v>
      </c>
      <c r="D41" s="97">
        <f t="shared" si="25"/>
        <v>66.53371937598186</v>
      </c>
      <c r="E41" s="97">
        <f t="shared" si="10"/>
        <v>1882.2330034618494</v>
      </c>
      <c r="F41" s="97"/>
      <c r="G41" s="97">
        <f t="shared" si="11"/>
        <v>26.484377300509944</v>
      </c>
      <c r="H41" s="97">
        <f t="shared" ref="H41:I41" si="26">H13*$Z13*(H$33/H$5/$Z$5)</f>
        <v>2205.9655795766685</v>
      </c>
      <c r="I41" s="97">
        <f t="shared" si="26"/>
        <v>165.86630721516656</v>
      </c>
      <c r="J41" s="97">
        <f t="shared" si="13"/>
        <v>6348.4837570922882</v>
      </c>
      <c r="K41" s="97"/>
      <c r="L41" s="97"/>
      <c r="M41" s="97">
        <f t="shared" si="14"/>
        <v>471.68415525240988</v>
      </c>
      <c r="O41" s="149">
        <f t="shared" si="4"/>
        <v>47.10451712189618</v>
      </c>
      <c r="P41" s="149">
        <f t="shared" si="5"/>
        <v>3248.4020553250766</v>
      </c>
      <c r="Q41" s="149">
        <f t="shared" si="6"/>
        <v>232.40002659114842</v>
      </c>
      <c r="R41" s="149">
        <f t="shared" si="7"/>
        <v>8702.4009158065473</v>
      </c>
    </row>
    <row r="42" spans="1:18">
      <c r="A42" s="144">
        <v>2027</v>
      </c>
      <c r="B42" s="97">
        <f t="shared" si="8"/>
        <v>20.210951543648463</v>
      </c>
      <c r="C42" s="97">
        <f t="shared" ref="C42:D42" si="27">C14*$Z14*(C$33/C$5/$Z$5)</f>
        <v>935.65346480840606</v>
      </c>
      <c r="D42" s="97">
        <f t="shared" si="27"/>
        <v>60.320183292336488</v>
      </c>
      <c r="E42" s="97">
        <f t="shared" si="10"/>
        <v>1928.8164872033244</v>
      </c>
      <c r="F42" s="97"/>
      <c r="G42" s="97">
        <f t="shared" si="11"/>
        <v>25.574873081623718</v>
      </c>
      <c r="H42" s="97">
        <f t="shared" ref="H42:I42" si="28">H14*$Z14*(H$33/H$5/$Z$5)</f>
        <v>1937.6350227497476</v>
      </c>
      <c r="I42" s="97">
        <f t="shared" si="28"/>
        <v>147.493245523691</v>
      </c>
      <c r="J42" s="97">
        <f t="shared" si="13"/>
        <v>6533.3053008196457</v>
      </c>
      <c r="K42" s="97"/>
      <c r="L42" s="97"/>
      <c r="M42" s="97">
        <f t="shared" si="14"/>
        <v>490.97268437242172</v>
      </c>
      <c r="O42" s="149">
        <f t="shared" si="4"/>
        <v>45.785824625272184</v>
      </c>
      <c r="P42" s="149">
        <f t="shared" si="5"/>
        <v>2873.2884875581535</v>
      </c>
      <c r="Q42" s="149">
        <f t="shared" si="6"/>
        <v>207.81342881602748</v>
      </c>
      <c r="R42" s="149">
        <f t="shared" si="7"/>
        <v>8953.0944723953926</v>
      </c>
    </row>
    <row r="43" spans="1:18">
      <c r="A43" s="144">
        <v>2028</v>
      </c>
      <c r="B43" s="97">
        <f t="shared" si="8"/>
        <v>19.685165956755718</v>
      </c>
      <c r="C43" s="97">
        <f t="shared" ref="C43:D43" si="29">C15*$Z15*(C$33/C$5/$Z$5)</f>
        <v>834.2968104491199</v>
      </c>
      <c r="D43" s="97">
        <f t="shared" si="29"/>
        <v>54.475008257909892</v>
      </c>
      <c r="E43" s="97">
        <f t="shared" si="10"/>
        <v>1973.3214522813828</v>
      </c>
      <c r="F43" s="97"/>
      <c r="G43" s="97">
        <f t="shared" si="11"/>
        <v>24.480800215137791</v>
      </c>
      <c r="H43" s="97">
        <f t="shared" ref="H43:I43" si="30">H15*$Z15*(H$33/H$5/$Z$5)</f>
        <v>1689.2993173524308</v>
      </c>
      <c r="I43" s="97">
        <f t="shared" si="30"/>
        <v>130.41434178108076</v>
      </c>
      <c r="J43" s="97">
        <f t="shared" si="13"/>
        <v>6704.5539974504818</v>
      </c>
      <c r="K43" s="97"/>
      <c r="L43" s="97"/>
      <c r="M43" s="97">
        <f t="shared" si="14"/>
        <v>509.82269352191281</v>
      </c>
      <c r="O43" s="149">
        <f t="shared" si="4"/>
        <v>44.165966171893508</v>
      </c>
      <c r="P43" s="149">
        <f t="shared" si="5"/>
        <v>2523.5961278015507</v>
      </c>
      <c r="Q43" s="149">
        <f t="shared" si="6"/>
        <v>184.88935003899064</v>
      </c>
      <c r="R43" s="149">
        <f t="shared" si="7"/>
        <v>9187.6981432537777</v>
      </c>
    </row>
    <row r="44" spans="1:18">
      <c r="A44" s="144">
        <v>2029</v>
      </c>
      <c r="B44" s="97">
        <f t="shared" si="8"/>
        <v>19.073645316944461</v>
      </c>
      <c r="C44" s="97">
        <f t="shared" ref="C44:D44" si="31">C16*$Z16*(C$33/C$5/$Z$5)</f>
        <v>732.50081638819302</v>
      </c>
      <c r="D44" s="97">
        <f t="shared" si="31"/>
        <v>48.50256816038997</v>
      </c>
      <c r="E44" s="97">
        <f t="shared" si="10"/>
        <v>2001.3244908573697</v>
      </c>
      <c r="F44" s="97"/>
      <c r="G44" s="97">
        <f t="shared" si="11"/>
        <v>23.222887972023209</v>
      </c>
      <c r="H44" s="97">
        <f t="shared" ref="H44:I44" si="32">H16*$Z16*(H$33/H$5/$Z$5)</f>
        <v>1448.9011131202255</v>
      </c>
      <c r="I44" s="97">
        <f t="shared" si="32"/>
        <v>113.62950967932274</v>
      </c>
      <c r="J44" s="97">
        <f t="shared" si="13"/>
        <v>6813.3010016143753</v>
      </c>
      <c r="K44" s="97"/>
      <c r="L44" s="97"/>
      <c r="M44" s="97">
        <f t="shared" si="14"/>
        <v>525.33761786904495</v>
      </c>
      <c r="O44" s="149">
        <f t="shared" si="4"/>
        <v>42.296533288967666</v>
      </c>
      <c r="P44" s="149">
        <f t="shared" si="5"/>
        <v>2181.4019295084186</v>
      </c>
      <c r="Q44" s="149">
        <f t="shared" si="6"/>
        <v>162.13207783971271</v>
      </c>
      <c r="R44" s="149">
        <f t="shared" si="7"/>
        <v>9339.9631103407901</v>
      </c>
    </row>
    <row r="45" spans="1:18">
      <c r="A45" s="144">
        <v>2030</v>
      </c>
      <c r="B45" s="97">
        <f t="shared" si="8"/>
        <v>18.447211156293505</v>
      </c>
      <c r="C45" s="97">
        <f t="shared" ref="C45:D45" si="33">C17*$Z17*(C$33/C$5/$Z$5)</f>
        <v>636.67061109352846</v>
      </c>
      <c r="D45" s="97">
        <f t="shared" si="33"/>
        <v>42.857425318557674</v>
      </c>
      <c r="E45" s="97">
        <f t="shared" si="10"/>
        <v>2018.8137121708603</v>
      </c>
      <c r="F45" s="97"/>
      <c r="G45" s="97">
        <f t="shared" si="11"/>
        <v>22.044992327836827</v>
      </c>
      <c r="H45" s="97">
        <f t="shared" ref="H45:I45" si="34">H17*$Z17*(H$33/H$5/$Z$5)</f>
        <v>1231.2589497293402</v>
      </c>
      <c r="I45" s="97">
        <f t="shared" si="34"/>
        <v>98.245485211591088</v>
      </c>
      <c r="J45" s="97">
        <f t="shared" si="13"/>
        <v>6902.1380260476817</v>
      </c>
      <c r="K45" s="97"/>
      <c r="L45" s="97"/>
      <c r="M45" s="97">
        <f t="shared" si="14"/>
        <v>538.41026992245077</v>
      </c>
      <c r="O45" s="149">
        <f t="shared" si="4"/>
        <v>40.492203484130329</v>
      </c>
      <c r="P45" s="149">
        <f t="shared" si="5"/>
        <v>1867.9295608228686</v>
      </c>
      <c r="Q45" s="149">
        <f t="shared" si="6"/>
        <v>141.10291053014876</v>
      </c>
      <c r="R45" s="149">
        <f t="shared" si="7"/>
        <v>9459.3620081409936</v>
      </c>
    </row>
    <row r="46" spans="1:18">
      <c r="A46" s="144">
        <v>2031</v>
      </c>
      <c r="B46" s="97">
        <f t="shared" si="8"/>
        <v>17.807537293082866</v>
      </c>
      <c r="C46" s="97">
        <f t="shared" ref="C46:D46" si="35">C18*$Z18*(C$33/C$5/$Z$5)</f>
        <v>547.93194373511881</v>
      </c>
      <c r="D46" s="97">
        <f t="shared" si="35"/>
        <v>37.557657166895844</v>
      </c>
      <c r="E46" s="97">
        <f t="shared" si="10"/>
        <v>2029.1684196529443</v>
      </c>
      <c r="F46" s="97"/>
      <c r="G46" s="97">
        <f t="shared" si="11"/>
        <v>20.981211510902927</v>
      </c>
      <c r="H46" s="97">
        <f t="shared" ref="H46:I46" si="36">H18*$Z18*(H$33/H$5/$Z$5)</f>
        <v>1038.1949554899602</v>
      </c>
      <c r="I46" s="97">
        <f t="shared" si="36"/>
        <v>84.401786815881053</v>
      </c>
      <c r="J46" s="97">
        <f t="shared" si="13"/>
        <v>6967.4243832327766</v>
      </c>
      <c r="K46" s="97"/>
      <c r="L46" s="97"/>
      <c r="M46" s="97">
        <f t="shared" si="14"/>
        <v>548.00853008037609</v>
      </c>
      <c r="O46" s="149">
        <f t="shared" si="4"/>
        <v>38.788748803985797</v>
      </c>
      <c r="P46" s="149">
        <f t="shared" si="5"/>
        <v>1586.1268992250789</v>
      </c>
      <c r="Q46" s="149">
        <f t="shared" si="6"/>
        <v>121.95944398277689</v>
      </c>
      <c r="R46" s="149">
        <f t="shared" si="7"/>
        <v>9544.6013329660982</v>
      </c>
    </row>
    <row r="47" spans="1:18">
      <c r="A47" s="144">
        <v>2032</v>
      </c>
      <c r="B47" s="97">
        <f t="shared" si="8"/>
        <v>17.142540774767035</v>
      </c>
      <c r="C47" s="97">
        <f t="shared" ref="C47:D47" si="37">C19*$Z19*(C$33/C$5/$Z$5)</f>
        <v>467.1813302649183</v>
      </c>
      <c r="D47" s="97">
        <f t="shared" si="37"/>
        <v>32.683193307052704</v>
      </c>
      <c r="E47" s="97">
        <f t="shared" si="10"/>
        <v>2041.2584622228173</v>
      </c>
      <c r="F47" s="97"/>
      <c r="G47" s="97">
        <f t="shared" si="11"/>
        <v>19.895406069297763</v>
      </c>
      <c r="H47" s="97">
        <f t="shared" ref="H47:I47" si="38">H19*$Z19*(H$33/H$5/$Z$5)</f>
        <v>866.24515751101194</v>
      </c>
      <c r="I47" s="97">
        <f t="shared" si="38"/>
        <v>71.815301314280816</v>
      </c>
      <c r="J47" s="97">
        <f t="shared" si="13"/>
        <v>7010.0233001696333</v>
      </c>
      <c r="K47" s="97"/>
      <c r="L47" s="97"/>
      <c r="M47" s="97">
        <f t="shared" si="14"/>
        <v>557.47599154395516</v>
      </c>
      <c r="O47" s="149">
        <f t="shared" si="4"/>
        <v>37.037946844064798</v>
      </c>
      <c r="P47" s="149">
        <f t="shared" si="5"/>
        <v>1333.4264877759301</v>
      </c>
      <c r="Q47" s="149">
        <f t="shared" si="6"/>
        <v>104.49849462133352</v>
      </c>
      <c r="R47" s="149">
        <f t="shared" si="7"/>
        <v>9608.7577539364065</v>
      </c>
    </row>
    <row r="48" spans="1:18">
      <c r="A48" s="144">
        <v>2033</v>
      </c>
      <c r="B48" s="97">
        <f t="shared" si="8"/>
        <v>16.45572983977825</v>
      </c>
      <c r="C48" s="97">
        <f t="shared" ref="C48:D48" si="39">C20*$Z20*(C$33/C$5/$Z$5)</f>
        <v>394.87654468157615</v>
      </c>
      <c r="D48" s="97">
        <f t="shared" si="39"/>
        <v>28.248350648091431</v>
      </c>
      <c r="E48" s="97">
        <f t="shared" si="10"/>
        <v>2051.0154989540329</v>
      </c>
      <c r="F48" s="97"/>
      <c r="G48" s="97">
        <f t="shared" si="11"/>
        <v>18.825277808920269</v>
      </c>
      <c r="H48" s="97">
        <f t="shared" ref="H48:I48" si="40">H20*$Z20*(H$33/H$5/$Z$5)</f>
        <v>716.37573412088614</v>
      </c>
      <c r="I48" s="97">
        <f t="shared" si="40"/>
        <v>60.640505908763011</v>
      </c>
      <c r="J48" s="97">
        <f t="shared" si="13"/>
        <v>7053.8923361931174</v>
      </c>
      <c r="K48" s="97"/>
      <c r="L48" s="97"/>
      <c r="M48" s="97">
        <f t="shared" si="14"/>
        <v>566.82108074848588</v>
      </c>
      <c r="O48" s="149">
        <f t="shared" si="4"/>
        <v>35.28100764869852</v>
      </c>
      <c r="P48" s="149">
        <f t="shared" si="5"/>
        <v>1111.2522788024623</v>
      </c>
      <c r="Q48" s="149">
        <f t="shared" si="6"/>
        <v>88.888856556854449</v>
      </c>
      <c r="R48" s="149">
        <f t="shared" si="7"/>
        <v>9671.7289158956373</v>
      </c>
    </row>
    <row r="49" spans="1:18">
      <c r="A49" s="144">
        <v>2034</v>
      </c>
      <c r="B49" s="97">
        <f t="shared" si="8"/>
        <v>15.783790203212375</v>
      </c>
      <c r="C49" s="97">
        <f t="shared" ref="C49:D49" si="41">C21*$Z21*(C$33/C$5/$Z$5)</f>
        <v>330.37721953813974</v>
      </c>
      <c r="D49" s="97">
        <f t="shared" si="41"/>
        <v>24.237710701707702</v>
      </c>
      <c r="E49" s="97">
        <f t="shared" si="10"/>
        <v>2055.1975191287802</v>
      </c>
      <c r="F49" s="97"/>
      <c r="G49" s="97">
        <f t="shared" si="11"/>
        <v>17.851207705096513</v>
      </c>
      <c r="H49" s="97">
        <f t="shared" ref="H49:I49" si="42">H21*$Z21*(H$33/H$5/$Z$5)</f>
        <v>587.5699574979418</v>
      </c>
      <c r="I49" s="97">
        <f t="shared" si="42"/>
        <v>50.999874768259041</v>
      </c>
      <c r="J49" s="97">
        <f t="shared" si="13"/>
        <v>7108.5921095190697</v>
      </c>
      <c r="K49" s="97"/>
      <c r="L49" s="97"/>
      <c r="M49" s="97">
        <f t="shared" si="14"/>
        <v>576.16681950218606</v>
      </c>
      <c r="O49" s="149">
        <f t="shared" si="4"/>
        <v>33.63499790830889</v>
      </c>
      <c r="P49" s="149">
        <f t="shared" si="5"/>
        <v>917.94717703608148</v>
      </c>
      <c r="Q49" s="149">
        <f t="shared" si="6"/>
        <v>75.237585469966746</v>
      </c>
      <c r="R49" s="149">
        <f t="shared" si="7"/>
        <v>9739.9564481500365</v>
      </c>
    </row>
    <row r="50" spans="1:18">
      <c r="A50" s="144">
        <v>2035</v>
      </c>
      <c r="B50" s="97">
        <f t="shared" si="8"/>
        <v>15.126609228265306</v>
      </c>
      <c r="C50" s="97">
        <f t="shared" ref="C50:D50" si="43">C22*$Z22*(C$33/C$5/$Z$5)</f>
        <v>273.86262149089941</v>
      </c>
      <c r="D50" s="97">
        <f t="shared" si="43"/>
        <v>20.62593891144639</v>
      </c>
      <c r="E50" s="97">
        <f t="shared" si="10"/>
        <v>2056.3261859905206</v>
      </c>
      <c r="F50" s="97"/>
      <c r="G50" s="97">
        <f t="shared" si="11"/>
        <v>16.895426851235616</v>
      </c>
      <c r="H50" s="97">
        <f t="shared" ref="H50:I50" si="44">H22*$Z22*(H$33/H$5/$Z$5)</f>
        <v>478.9668342807953</v>
      </c>
      <c r="I50" s="97">
        <f t="shared" si="44"/>
        <v>42.579914868241815</v>
      </c>
      <c r="J50" s="97">
        <f t="shared" si="13"/>
        <v>7152.9020681020966</v>
      </c>
      <c r="K50" s="97"/>
      <c r="L50" s="97"/>
      <c r="M50" s="97">
        <f t="shared" si="14"/>
        <v>585.57879904801564</v>
      </c>
      <c r="O50" s="149">
        <f t="shared" si="4"/>
        <v>32.022036079500921</v>
      </c>
      <c r="P50" s="149">
        <f t="shared" si="5"/>
        <v>752.82945577169471</v>
      </c>
      <c r="Q50" s="149">
        <f t="shared" si="6"/>
        <v>63.205853779688205</v>
      </c>
      <c r="R50" s="149">
        <f t="shared" si="7"/>
        <v>9794.807053140632</v>
      </c>
    </row>
    <row r="51" spans="1:18">
      <c r="A51" s="144">
        <v>2036</v>
      </c>
      <c r="B51" s="97">
        <f t="shared" si="8"/>
        <v>14.467725254704941</v>
      </c>
      <c r="C51" s="97">
        <f t="shared" ref="C51:D51" si="45">C23*$Z23*(C$33/C$5/$Z$5)</f>
        <v>225.03401003849757</v>
      </c>
      <c r="D51" s="97">
        <f t="shared" si="45"/>
        <v>17.429727054351389</v>
      </c>
      <c r="E51" s="97">
        <f t="shared" si="10"/>
        <v>2056.159084139178</v>
      </c>
      <c r="F51" s="97"/>
      <c r="G51" s="97">
        <f t="shared" si="11"/>
        <v>15.949432154266129</v>
      </c>
      <c r="H51" s="97">
        <f t="shared" ref="H51:I51" si="46">H23*$Z23*(H$33/H$5/$Z$5)</f>
        <v>387.04682541394203</v>
      </c>
      <c r="I51" s="97">
        <f t="shared" si="46"/>
        <v>35.252910882413097</v>
      </c>
      <c r="J51" s="97">
        <f t="shared" si="13"/>
        <v>7185.6517811288386</v>
      </c>
      <c r="K51" s="97"/>
      <c r="L51" s="97"/>
      <c r="M51" s="97">
        <f t="shared" si="14"/>
        <v>588.89736524949797</v>
      </c>
      <c r="O51" s="149">
        <f t="shared" si="4"/>
        <v>30.417157408971072</v>
      </c>
      <c r="P51" s="149">
        <f t="shared" si="5"/>
        <v>612.0808354524396</v>
      </c>
      <c r="Q51" s="149">
        <f t="shared" si="6"/>
        <v>52.682637936764486</v>
      </c>
      <c r="R51" s="149">
        <f t="shared" si="7"/>
        <v>9830.7082305175154</v>
      </c>
    </row>
    <row r="52" spans="1:18">
      <c r="A52" s="144">
        <v>2037</v>
      </c>
      <c r="B52" s="97">
        <f t="shared" si="8"/>
        <v>13.81143868630355</v>
      </c>
      <c r="C52" s="97">
        <f t="shared" ref="C52:D52" si="47">C24*$Z24*(C$33/C$5/$Z$5)</f>
        <v>182.81503739261481</v>
      </c>
      <c r="D52" s="97">
        <f t="shared" si="47"/>
        <v>14.602681776477093</v>
      </c>
      <c r="E52" s="97">
        <f t="shared" si="10"/>
        <v>2057.5244104207613</v>
      </c>
      <c r="F52" s="97"/>
      <c r="G52" s="97">
        <f t="shared" si="11"/>
        <v>14.989754150027837</v>
      </c>
      <c r="H52" s="97">
        <f t="shared" ref="H52:I52" si="48">H24*$Z24*(H$33/H$5/$Z$5)</f>
        <v>310.31845071481092</v>
      </c>
      <c r="I52" s="97">
        <f t="shared" si="48"/>
        <v>28.905264990024342</v>
      </c>
      <c r="J52" s="97">
        <f t="shared" si="13"/>
        <v>7195.6009951577025</v>
      </c>
      <c r="K52" s="97"/>
      <c r="L52" s="97"/>
      <c r="M52" s="97">
        <f t="shared" si="14"/>
        <v>592.25995461101377</v>
      </c>
      <c r="O52" s="149">
        <f t="shared" si="4"/>
        <v>28.801192836331388</v>
      </c>
      <c r="P52" s="149">
        <f t="shared" si="5"/>
        <v>493.13348810742571</v>
      </c>
      <c r="Q52" s="149">
        <f t="shared" si="6"/>
        <v>43.507946766501433</v>
      </c>
      <c r="R52" s="149">
        <f t="shared" si="7"/>
        <v>9845.3853601894771</v>
      </c>
    </row>
    <row r="53" spans="1:18">
      <c r="A53" s="144">
        <v>2038</v>
      </c>
      <c r="B53" s="97">
        <f t="shared" si="8"/>
        <v>13.179844082937116</v>
      </c>
      <c r="C53" s="97">
        <f t="shared" ref="C53:D53" si="49">C25*$Z25*(C$33/C$5/$Z$5)</f>
        <v>146.49933429902538</v>
      </c>
      <c r="D53" s="97">
        <f t="shared" si="49"/>
        <v>12.080091985849787</v>
      </c>
      <c r="E53" s="97">
        <f t="shared" si="10"/>
        <v>2056.366558188241</v>
      </c>
      <c r="F53" s="97"/>
      <c r="G53" s="97">
        <f t="shared" si="11"/>
        <v>14.038366780963532</v>
      </c>
      <c r="H53" s="97">
        <f t="shared" ref="H53:I53" si="50">H25*$Z25*(H$33/H$5/$Z$5)</f>
        <v>246.60162386770796</v>
      </c>
      <c r="I53" s="97">
        <f t="shared" si="50"/>
        <v>23.502993848828051</v>
      </c>
      <c r="J53" s="97">
        <f t="shared" si="13"/>
        <v>7191.2906681170989</v>
      </c>
      <c r="K53" s="97"/>
      <c r="L53" s="97"/>
      <c r="M53" s="97">
        <f t="shared" si="14"/>
        <v>595.61459162483447</v>
      </c>
      <c r="O53" s="149">
        <f t="shared" si="4"/>
        <v>27.218210863900648</v>
      </c>
      <c r="P53" s="149">
        <f t="shared" si="5"/>
        <v>393.10095816673334</v>
      </c>
      <c r="Q53" s="149">
        <f t="shared" si="6"/>
        <v>35.583085834677838</v>
      </c>
      <c r="R53" s="149">
        <f t="shared" si="7"/>
        <v>9843.2718179301755</v>
      </c>
    </row>
    <row r="54" spans="1:18">
      <c r="A54" s="144">
        <v>2039</v>
      </c>
      <c r="B54" s="97">
        <f t="shared" si="8"/>
        <v>12.558098255832457</v>
      </c>
      <c r="C54" s="97">
        <f t="shared" ref="C54:D54" si="51">C26*$Z26*(C$33/C$5/$Z$5)</f>
        <v>116.32337722865383</v>
      </c>
      <c r="D54" s="97">
        <f t="shared" si="51"/>
        <v>9.9586610628948318</v>
      </c>
      <c r="E54" s="97">
        <f t="shared" si="10"/>
        <v>2050.5735219929115</v>
      </c>
      <c r="F54" s="97"/>
      <c r="G54" s="97">
        <f t="shared" si="11"/>
        <v>13.100193698867777</v>
      </c>
      <c r="H54" s="97">
        <f t="shared" ref="H54:I54" si="52">H26*$Z26*(H$33/H$5/$Z$5)</f>
        <v>194.31954005011335</v>
      </c>
      <c r="I54" s="97">
        <f t="shared" si="52"/>
        <v>18.937785477102793</v>
      </c>
      <c r="J54" s="97">
        <f t="shared" si="13"/>
        <v>7159.5022714251418</v>
      </c>
      <c r="K54" s="97"/>
      <c r="L54" s="97"/>
      <c r="M54" s="97">
        <f t="shared" si="14"/>
        <v>599.00407065652223</v>
      </c>
      <c r="O54" s="149">
        <f t="shared" si="4"/>
        <v>25.658291954700232</v>
      </c>
      <c r="P54" s="149">
        <f t="shared" si="5"/>
        <v>310.64291727876719</v>
      </c>
      <c r="Q54" s="149">
        <f t="shared" si="6"/>
        <v>28.896446539997626</v>
      </c>
      <c r="R54" s="149">
        <f t="shared" si="7"/>
        <v>9809.0798640745743</v>
      </c>
    </row>
    <row r="55" spans="1:18">
      <c r="A55" s="144">
        <v>2040</v>
      </c>
      <c r="B55" s="97">
        <f t="shared" si="8"/>
        <v>11.949877773301475</v>
      </c>
      <c r="C55" s="97">
        <f t="shared" ref="C55:D55" si="53">C27*$Z27*(C$33/C$5/$Z$5)</f>
        <v>91.795267734399076</v>
      </c>
      <c r="D55" s="97">
        <f t="shared" si="53"/>
        <v>8.148607478635526</v>
      </c>
      <c r="E55" s="97">
        <f t="shared" si="10"/>
        <v>2034.7142646289844</v>
      </c>
      <c r="F55" s="97"/>
      <c r="G55" s="97">
        <f t="shared" si="11"/>
        <v>12.221542637344509</v>
      </c>
      <c r="H55" s="97">
        <f t="shared" ref="H55:I55" si="54">H27*$Z27*(H$33/H$5/$Z$5)</f>
        <v>152.04834716021722</v>
      </c>
      <c r="I55" s="97">
        <f t="shared" si="54"/>
        <v>15.145453823337062</v>
      </c>
      <c r="J55" s="97">
        <f t="shared" si="13"/>
        <v>7098.6980933453533</v>
      </c>
      <c r="K55" s="97"/>
      <c r="L55" s="97"/>
      <c r="M55" s="97">
        <f t="shared" si="14"/>
        <v>602.38758269389689</v>
      </c>
      <c r="O55" s="149">
        <f t="shared" si="4"/>
        <v>24.171420410645986</v>
      </c>
      <c r="P55" s="149">
        <f t="shared" si="5"/>
        <v>243.84361489461628</v>
      </c>
      <c r="Q55" s="149">
        <f t="shared" si="6"/>
        <v>23.29406130197259</v>
      </c>
      <c r="R55" s="149">
        <f t="shared" si="7"/>
        <v>9735.7999406682338</v>
      </c>
    </row>
    <row r="56" spans="1:18">
      <c r="O56" s="149"/>
      <c r="P56" s="149"/>
      <c r="Q56" s="149"/>
      <c r="R56" s="149"/>
    </row>
    <row r="57" spans="1:18" s="145" customFormat="1"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O57" s="149"/>
      <c r="P57" s="149"/>
      <c r="Q57" s="149"/>
      <c r="R57" s="149"/>
    </row>
  </sheetData>
  <phoneticPr fontId="1"/>
  <pageMargins left="0.25" right="0.25" top="0.75" bottom="0.75" header="0.3" footer="0.3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zoomScaleNormal="100" workbookViewId="0"/>
  </sheetViews>
  <sheetFormatPr defaultRowHeight="13.5"/>
  <sheetData/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SheetLayoutView="85" workbookViewId="0"/>
  </sheetViews>
  <sheetFormatPr defaultRowHeight="13.5"/>
  <cols>
    <col min="1" max="3" width="9" style="22"/>
    <col min="4" max="4" width="3.75" style="22" customWidth="1"/>
    <col min="5" max="5" width="9" style="22"/>
    <col min="6" max="6" width="10.25" style="22" bestFit="1" customWidth="1"/>
    <col min="7" max="7" width="3" style="22" customWidth="1"/>
    <col min="8" max="8" width="9" style="22"/>
    <col min="9" max="9" width="8.875" style="22" customWidth="1"/>
    <col min="10" max="16384" width="9" style="22"/>
  </cols>
  <sheetData>
    <row r="1" spans="1:10">
      <c r="A1" s="22" t="s">
        <v>167</v>
      </c>
    </row>
    <row r="3" spans="1:10" ht="40.5">
      <c r="A3" s="164" t="s">
        <v>116</v>
      </c>
      <c r="B3" s="165" t="s">
        <v>62</v>
      </c>
      <c r="C3" s="166" t="s">
        <v>117</v>
      </c>
      <c r="D3" s="114"/>
      <c r="E3" s="179" t="s">
        <v>183</v>
      </c>
      <c r="F3" s="166" t="s">
        <v>118</v>
      </c>
      <c r="H3" s="114"/>
      <c r="I3" s="114"/>
    </row>
    <row r="4" spans="1:10">
      <c r="A4" s="167"/>
      <c r="B4" s="168"/>
      <c r="C4" s="169" t="s">
        <v>119</v>
      </c>
      <c r="D4" s="115"/>
      <c r="E4" s="183" t="s">
        <v>120</v>
      </c>
      <c r="F4" s="184" t="s">
        <v>121</v>
      </c>
      <c r="H4" s="115"/>
      <c r="I4" s="113"/>
    </row>
    <row r="5" spans="1:10">
      <c r="A5" s="170" t="s">
        <v>122</v>
      </c>
      <c r="B5" s="171" t="s">
        <v>123</v>
      </c>
      <c r="C5" s="172"/>
      <c r="D5" s="116"/>
      <c r="E5" s="173"/>
      <c r="F5" s="180"/>
      <c r="H5" s="23"/>
      <c r="I5" s="117"/>
    </row>
    <row r="6" spans="1:10">
      <c r="A6" s="173">
        <v>30</v>
      </c>
      <c r="B6" s="33" t="s">
        <v>124</v>
      </c>
      <c r="C6" s="174"/>
      <c r="D6" s="118"/>
      <c r="E6" s="173"/>
      <c r="F6" s="180"/>
    </row>
    <row r="7" spans="1:10">
      <c r="A7" s="173">
        <v>31</v>
      </c>
      <c r="B7" s="33" t="s">
        <v>15</v>
      </c>
      <c r="C7" s="175">
        <f>5600*(4/12)</f>
        <v>1866.6666666666665</v>
      </c>
      <c r="D7" s="119"/>
      <c r="E7" s="181">
        <v>2.1</v>
      </c>
      <c r="F7" s="175">
        <v>3591.5726</v>
      </c>
      <c r="H7" s="23"/>
      <c r="I7" s="120"/>
      <c r="J7" s="121"/>
    </row>
    <row r="8" spans="1:10">
      <c r="A8" s="173">
        <v>32</v>
      </c>
      <c r="B8" s="33" t="s">
        <v>16</v>
      </c>
      <c r="C8" s="175">
        <f>5600*(1+E7/100)*F8/F7</f>
        <v>5761.5775879791481</v>
      </c>
      <c r="D8" s="119"/>
      <c r="E8" s="181">
        <v>2.4</v>
      </c>
      <c r="F8" s="175">
        <v>3619.1976</v>
      </c>
      <c r="H8" s="23"/>
      <c r="I8" s="120"/>
      <c r="J8" s="121"/>
    </row>
    <row r="9" spans="1:10">
      <c r="A9" s="173">
        <v>33</v>
      </c>
      <c r="B9" s="33" t="s">
        <v>17</v>
      </c>
      <c r="C9" s="175">
        <f>C8*(1+E8/100)*F9/F8</f>
        <v>5931.5158442606216</v>
      </c>
      <c r="D9" s="119"/>
      <c r="E9" s="181">
        <v>2</v>
      </c>
      <c r="F9" s="175">
        <v>3638.6192999999998</v>
      </c>
      <c r="H9" s="23"/>
      <c r="I9" s="120"/>
      <c r="J9" s="121"/>
    </row>
    <row r="10" spans="1:10">
      <c r="A10" s="173">
        <v>34</v>
      </c>
      <c r="B10" s="33" t="s">
        <v>18</v>
      </c>
      <c r="C10" s="175">
        <f t="shared" ref="C10:C28" si="0">C9*(1+E9/100)*F10/F9</f>
        <v>6065.5009070312044</v>
      </c>
      <c r="D10" s="119"/>
      <c r="E10" s="181">
        <v>2</v>
      </c>
      <c r="F10" s="175">
        <v>3647.8537999999999</v>
      </c>
      <c r="H10" s="23"/>
      <c r="I10" s="120"/>
      <c r="J10" s="121"/>
    </row>
    <row r="11" spans="1:10">
      <c r="A11" s="173">
        <v>35</v>
      </c>
      <c r="B11" s="33" t="s">
        <v>19</v>
      </c>
      <c r="C11" s="175">
        <f t="shared" si="0"/>
        <v>6204.6965794635616</v>
      </c>
      <c r="D11" s="119"/>
      <c r="E11" s="181">
        <v>2</v>
      </c>
      <c r="F11" s="175">
        <v>3658.3995</v>
      </c>
      <c r="H11" s="23"/>
      <c r="I11" s="120"/>
      <c r="J11" s="121"/>
    </row>
    <row r="12" spans="1:10">
      <c r="A12" s="173">
        <v>36</v>
      </c>
      <c r="B12" s="33" t="s">
        <v>20</v>
      </c>
      <c r="C12" s="175">
        <f t="shared" si="0"/>
        <v>6349.4677228943528</v>
      </c>
      <c r="D12" s="119"/>
      <c r="E12" s="181">
        <v>2</v>
      </c>
      <c r="F12" s="175">
        <v>3670.3521000000001</v>
      </c>
      <c r="H12" s="23"/>
      <c r="I12" s="120"/>
      <c r="J12" s="121"/>
    </row>
    <row r="13" spans="1:10">
      <c r="A13" s="173">
        <v>37</v>
      </c>
      <c r="B13" s="33" t="s">
        <v>21</v>
      </c>
      <c r="C13" s="175">
        <f t="shared" si="0"/>
        <v>6488.3380303521526</v>
      </c>
      <c r="D13" s="119"/>
      <c r="E13" s="181">
        <v>2</v>
      </c>
      <c r="F13" s="175">
        <v>3677.0853000000002</v>
      </c>
      <c r="H13" s="23"/>
      <c r="I13" s="120"/>
      <c r="J13" s="121"/>
    </row>
    <row r="14" spans="1:10">
      <c r="A14" s="173">
        <v>38</v>
      </c>
      <c r="B14" s="33" t="s">
        <v>22</v>
      </c>
      <c r="C14" s="175">
        <f t="shared" si="0"/>
        <v>6624.2769259269744</v>
      </c>
      <c r="D14" s="119"/>
      <c r="E14" s="181">
        <v>2</v>
      </c>
      <c r="F14" s="175">
        <v>3680.5146</v>
      </c>
      <c r="H14" s="23"/>
      <c r="I14" s="120"/>
      <c r="J14" s="121"/>
    </row>
    <row r="15" spans="1:10">
      <c r="A15" s="173">
        <v>39</v>
      </c>
      <c r="B15" s="33" t="s">
        <v>23</v>
      </c>
      <c r="C15" s="175">
        <f t="shared" si="0"/>
        <v>6763.2487838149236</v>
      </c>
      <c r="D15" s="119"/>
      <c r="E15" s="181">
        <v>2</v>
      </c>
      <c r="F15" s="175">
        <v>3684.0477999999998</v>
      </c>
      <c r="H15" s="23"/>
      <c r="I15" s="120"/>
      <c r="J15" s="121"/>
    </row>
    <row r="16" spans="1:10">
      <c r="A16" s="173">
        <v>40</v>
      </c>
      <c r="B16" s="33" t="s">
        <v>24</v>
      </c>
      <c r="C16" s="175">
        <f t="shared" si="0"/>
        <v>6910.6601543757615</v>
      </c>
      <c r="D16" s="119"/>
      <c r="E16" s="181">
        <v>1.2</v>
      </c>
      <c r="F16" s="175">
        <v>3690.5344</v>
      </c>
      <c r="H16" s="23"/>
      <c r="I16" s="120"/>
      <c r="J16" s="121"/>
    </row>
    <row r="17" spans="1:10">
      <c r="A17" s="173">
        <v>41</v>
      </c>
      <c r="B17" s="33" t="s">
        <v>43</v>
      </c>
      <c r="C17" s="175">
        <f t="shared" si="0"/>
        <v>7009.5925463279382</v>
      </c>
      <c r="D17" s="119"/>
      <c r="E17" s="181">
        <v>1.2</v>
      </c>
      <c r="F17" s="175">
        <v>3698.98</v>
      </c>
      <c r="H17" s="23"/>
      <c r="I17" s="120"/>
      <c r="J17" s="121"/>
    </row>
    <row r="18" spans="1:10">
      <c r="A18" s="173">
        <v>42</v>
      </c>
      <c r="B18" s="33" t="s">
        <v>44</v>
      </c>
      <c r="C18" s="175">
        <f t="shared" si="0"/>
        <v>7126.2683154500646</v>
      </c>
      <c r="D18" s="119"/>
      <c r="E18" s="181">
        <v>1.2</v>
      </c>
      <c r="F18" s="175">
        <v>3715.9585999999999</v>
      </c>
      <c r="H18" s="23"/>
      <c r="I18" s="120"/>
      <c r="J18" s="121"/>
    </row>
    <row r="19" spans="1:10">
      <c r="A19" s="173">
        <v>43</v>
      </c>
      <c r="B19" s="33" t="s">
        <v>45</v>
      </c>
      <c r="C19" s="175">
        <f t="shared" si="0"/>
        <v>7180.7909577591627</v>
      </c>
      <c r="D19" s="119"/>
      <c r="E19" s="181">
        <v>1.2</v>
      </c>
      <c r="F19" s="175">
        <v>3699.9893000000002</v>
      </c>
      <c r="H19" s="23"/>
      <c r="I19" s="120"/>
      <c r="J19" s="121"/>
    </row>
    <row r="20" spans="1:10">
      <c r="A20" s="173">
        <v>44</v>
      </c>
      <c r="B20" s="33" t="s">
        <v>46</v>
      </c>
      <c r="C20" s="175">
        <f t="shared" si="0"/>
        <v>7305.7305809854097</v>
      </c>
      <c r="D20" s="119"/>
      <c r="E20" s="181">
        <v>1.2</v>
      </c>
      <c r="F20" s="175">
        <v>3719.7292000000002</v>
      </c>
      <c r="H20" s="23"/>
      <c r="I20" s="120"/>
      <c r="J20" s="121"/>
    </row>
    <row r="21" spans="1:10">
      <c r="A21" s="173">
        <v>45</v>
      </c>
      <c r="B21" s="33" t="s">
        <v>47</v>
      </c>
      <c r="C21" s="175">
        <f t="shared" si="0"/>
        <v>7430.216784420606</v>
      </c>
      <c r="D21" s="119"/>
      <c r="E21" s="181">
        <v>1.2</v>
      </c>
      <c r="F21" s="175">
        <v>3738.2525999999998</v>
      </c>
      <c r="H21" s="23"/>
      <c r="I21" s="120"/>
      <c r="J21" s="121"/>
    </row>
    <row r="22" spans="1:10">
      <c r="A22" s="173">
        <v>46</v>
      </c>
      <c r="B22" s="33" t="s">
        <v>48</v>
      </c>
      <c r="C22" s="175">
        <f t="shared" si="0"/>
        <v>7561.5727651010147</v>
      </c>
      <c r="D22" s="119"/>
      <c r="E22" s="181">
        <v>1.2</v>
      </c>
      <c r="F22" s="175">
        <v>3759.2289999999998</v>
      </c>
      <c r="H22" s="23"/>
      <c r="I22" s="120"/>
      <c r="J22" s="121"/>
    </row>
    <row r="23" spans="1:10">
      <c r="A23" s="173">
        <v>47</v>
      </c>
      <c r="B23" s="33" t="s">
        <v>49</v>
      </c>
      <c r="C23" s="175">
        <f t="shared" si="0"/>
        <v>7697.9733493708909</v>
      </c>
      <c r="D23" s="119"/>
      <c r="E23" s="181">
        <v>1.2</v>
      </c>
      <c r="F23" s="175">
        <v>3781.6605</v>
      </c>
      <c r="H23" s="23"/>
      <c r="I23" s="120"/>
      <c r="J23" s="121"/>
    </row>
    <row r="24" spans="1:10">
      <c r="A24" s="173">
        <v>48</v>
      </c>
      <c r="B24" s="33" t="s">
        <v>50</v>
      </c>
      <c r="C24" s="175">
        <f t="shared" si="0"/>
        <v>7845.478628202527</v>
      </c>
      <c r="D24" s="119"/>
      <c r="E24" s="181">
        <v>1.2</v>
      </c>
      <c r="F24" s="175">
        <v>3808.422</v>
      </c>
      <c r="H24" s="23"/>
      <c r="I24" s="120"/>
      <c r="J24" s="121"/>
    </row>
    <row r="25" spans="1:10">
      <c r="A25" s="173">
        <v>49</v>
      </c>
      <c r="B25" s="33" t="s">
        <v>51</v>
      </c>
      <c r="C25" s="175">
        <f t="shared" si="0"/>
        <v>8003.6275814658957</v>
      </c>
      <c r="D25" s="119"/>
      <c r="E25" s="181">
        <v>1.2</v>
      </c>
      <c r="F25" s="175">
        <v>3839.1226000000001</v>
      </c>
      <c r="H25" s="23"/>
      <c r="I25" s="120"/>
      <c r="J25" s="121"/>
    </row>
    <row r="26" spans="1:10">
      <c r="A26" s="173">
        <v>50</v>
      </c>
      <c r="B26" s="33" t="s">
        <v>52</v>
      </c>
      <c r="C26" s="175">
        <f t="shared" si="0"/>
        <v>8169.8471730909223</v>
      </c>
      <c r="D26" s="119"/>
      <c r="E26" s="181">
        <v>1.2</v>
      </c>
      <c r="F26" s="175">
        <v>3872.3850000000002</v>
      </c>
      <c r="H26" s="23"/>
      <c r="I26" s="120"/>
      <c r="J26" s="121"/>
    </row>
    <row r="27" spans="1:10">
      <c r="A27" s="173">
        <v>51</v>
      </c>
      <c r="B27" s="33" t="s">
        <v>53</v>
      </c>
      <c r="C27" s="175">
        <f t="shared" si="0"/>
        <v>8330.3541904910198</v>
      </c>
      <c r="D27" s="119"/>
      <c r="E27" s="181">
        <v>1.2</v>
      </c>
      <c r="F27" s="175">
        <v>3901.6432</v>
      </c>
      <c r="H27" s="23"/>
      <c r="I27" s="120"/>
      <c r="J27" s="121"/>
    </row>
    <row r="28" spans="1:10">
      <c r="A28" s="176">
        <v>52</v>
      </c>
      <c r="B28" s="177" t="s">
        <v>54</v>
      </c>
      <c r="C28" s="178">
        <f t="shared" si="0"/>
        <v>8471.2163546217816</v>
      </c>
      <c r="D28" s="119"/>
      <c r="E28" s="182">
        <v>1.2</v>
      </c>
      <c r="F28" s="178">
        <v>3920.5711999999999</v>
      </c>
      <c r="H28" s="23"/>
      <c r="I28" s="120"/>
      <c r="J28" s="121"/>
    </row>
  </sheetData>
  <phoneticPr fontId="1"/>
  <pageMargins left="0.7" right="0.7" top="0.75" bottom="0.75" header="0.3" footer="0.3"/>
  <pageSetup paperSize="9" orientation="portrait" r:id="rId1"/>
  <ignoredErrors>
    <ignoredError sqref="B5:B2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zoomScaleNormal="100" workbookViewId="0"/>
  </sheetViews>
  <sheetFormatPr defaultRowHeight="13.5"/>
  <sheetData/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/>
  </sheetViews>
  <sheetFormatPr defaultRowHeight="13.5"/>
  <cols>
    <col min="1" max="3" width="9" style="1"/>
    <col min="4" max="4" width="9.875" style="1" customWidth="1"/>
    <col min="5" max="5" width="9" style="1"/>
    <col min="6" max="6" width="7" style="1" customWidth="1"/>
    <col min="7" max="7" width="10.125" style="1" customWidth="1"/>
    <col min="8" max="16384" width="9" style="1"/>
  </cols>
  <sheetData>
    <row r="1" spans="1:16">
      <c r="A1" s="1" t="s">
        <v>166</v>
      </c>
    </row>
    <row r="3" spans="1:16">
      <c r="A3" s="42" t="s">
        <v>55</v>
      </c>
      <c r="B3" s="42" t="s">
        <v>109</v>
      </c>
      <c r="C3" s="42" t="s">
        <v>56</v>
      </c>
      <c r="D3" s="138" t="s">
        <v>110</v>
      </c>
      <c r="E3" s="134" t="s">
        <v>13</v>
      </c>
      <c r="F3" s="185"/>
      <c r="G3" s="156" t="s">
        <v>130</v>
      </c>
      <c r="H3" s="29" t="s">
        <v>191</v>
      </c>
    </row>
    <row r="4" spans="1:16">
      <c r="A4" s="46"/>
      <c r="B4" s="46"/>
      <c r="C4" s="46" t="s">
        <v>59</v>
      </c>
      <c r="D4" s="46"/>
      <c r="E4" s="136"/>
      <c r="F4" s="185"/>
      <c r="G4" s="157" t="s">
        <v>131</v>
      </c>
      <c r="H4" s="186"/>
    </row>
    <row r="5" spans="1:16">
      <c r="A5" s="104">
        <v>30</v>
      </c>
      <c r="B5" s="105">
        <v>2018</v>
      </c>
      <c r="C5" s="106">
        <v>2440.7382500000003</v>
      </c>
      <c r="D5" s="106">
        <v>146.75891999999999</v>
      </c>
      <c r="E5" s="126">
        <v>2293.9793300000001</v>
      </c>
      <c r="F5" s="102"/>
      <c r="G5" s="189">
        <v>1</v>
      </c>
      <c r="H5" s="187">
        <v>304992.54777528718</v>
      </c>
      <c r="N5" s="30"/>
      <c r="O5" s="30"/>
      <c r="P5" s="30"/>
    </row>
    <row r="6" spans="1:16">
      <c r="A6" s="26">
        <v>31</v>
      </c>
      <c r="B6" s="101">
        <v>2019</v>
      </c>
      <c r="C6" s="102">
        <f>H6/$H$5*【恩給】!C$5*G6</f>
        <v>2109.643010949243</v>
      </c>
      <c r="D6" s="102">
        <f>H6/$H$5*【恩給】!D$5*G6</f>
        <v>126.850525603251</v>
      </c>
      <c r="E6" s="27">
        <f>H6/$H$5*【恩給】!E$5*G6</f>
        <v>1982.792485345992</v>
      </c>
      <c r="F6" s="102"/>
      <c r="G6" s="189">
        <f>G5*(1+【年金生活者支援給付金】!E7/100)</f>
        <v>1.0209999999999999</v>
      </c>
      <c r="H6" s="187">
        <v>258197.03438927059</v>
      </c>
      <c r="N6" s="30"/>
      <c r="O6" s="30"/>
      <c r="P6" s="30"/>
    </row>
    <row r="7" spans="1:16">
      <c r="A7" s="26">
        <v>32</v>
      </c>
      <c r="B7" s="101">
        <v>2020</v>
      </c>
      <c r="C7" s="102">
        <f>H7/$H$5*【恩給】!C$5*G7</f>
        <v>1813.9985087418283</v>
      </c>
      <c r="D7" s="102">
        <f>H7/$H$5*【恩給】!D$5*G7</f>
        <v>109.07374521809588</v>
      </c>
      <c r="E7" s="27">
        <f>H7/$H$5*【恩給】!E$5*G7</f>
        <v>1704.9247635237321</v>
      </c>
      <c r="F7" s="102"/>
      <c r="G7" s="189">
        <f>G6*(1+【年金生活者支援給付金】!E8/100)</f>
        <v>1.045504</v>
      </c>
      <c r="H7" s="187">
        <v>216809.96912933909</v>
      </c>
      <c r="N7" s="30"/>
      <c r="O7" s="30"/>
      <c r="P7" s="30"/>
    </row>
    <row r="8" spans="1:16">
      <c r="A8" s="26">
        <v>33</v>
      </c>
      <c r="B8" s="101">
        <v>2021</v>
      </c>
      <c r="C8" s="103">
        <f>H8/$H$5*【恩給】!C$5*G8</f>
        <v>1538.8587307946218</v>
      </c>
      <c r="D8" s="103">
        <f>H8/$H$5*【恩給】!D$5*G8</f>
        <v>92.529891463777147</v>
      </c>
      <c r="E8" s="39">
        <f>H8/$H$5*【恩給】!E$5*G8</f>
        <v>1446.3288393308444</v>
      </c>
      <c r="F8" s="103"/>
      <c r="G8" s="189">
        <f>G7*(1+【年金生活者支援給付金】!E9/100)</f>
        <v>1.0664140799999999</v>
      </c>
      <c r="H8" s="187">
        <v>180318.75618709112</v>
      </c>
      <c r="N8" s="30"/>
      <c r="O8" s="30"/>
      <c r="P8" s="30"/>
    </row>
    <row r="9" spans="1:16">
      <c r="A9" s="26">
        <v>34</v>
      </c>
      <c r="B9" s="101">
        <v>2022</v>
      </c>
      <c r="C9" s="103">
        <f>H9/$H$5*【恩給】!C$5*G9</f>
        <v>1291.9261895811453</v>
      </c>
      <c r="D9" s="103">
        <f>H9/$H$5*【恩給】!D$5*G9</f>
        <v>77.682107986239032</v>
      </c>
      <c r="E9" s="39">
        <f>H9/$H$5*【恩給】!E$5*G9</f>
        <v>1214.2440815949062</v>
      </c>
      <c r="F9" s="103"/>
      <c r="G9" s="189">
        <f>G8*(1+【年金生活者支援給付金】!E10/100)</f>
        <v>1.0877423615999999</v>
      </c>
      <c r="H9" s="187">
        <v>148415.64390047095</v>
      </c>
      <c r="N9" s="30"/>
      <c r="O9" s="30"/>
      <c r="P9" s="30"/>
    </row>
    <row r="10" spans="1:16">
      <c r="A10" s="26">
        <v>35</v>
      </c>
      <c r="B10" s="101">
        <v>2023</v>
      </c>
      <c r="C10" s="103">
        <f>H10/$H$5*【恩給】!C$5*G10</f>
        <v>1072.8454064046443</v>
      </c>
      <c r="D10" s="103">
        <f>H10/$H$5*【恩給】!D$5*G10</f>
        <v>64.509020240456621</v>
      </c>
      <c r="E10" s="39">
        <f>H10/$H$5*【恩給】!E$5*G10</f>
        <v>1008.3363861641876</v>
      </c>
      <c r="F10" s="103"/>
      <c r="G10" s="189">
        <f>G9*(1+【年金生活者支援給付金】!E11/100)</f>
        <v>1.1094972088319999</v>
      </c>
      <c r="H10" s="187">
        <v>120831.16218044134</v>
      </c>
      <c r="N10" s="30"/>
      <c r="O10" s="30"/>
      <c r="P10" s="30"/>
    </row>
    <row r="11" spans="1:16">
      <c r="A11" s="26">
        <v>36</v>
      </c>
      <c r="B11" s="101">
        <v>2024</v>
      </c>
      <c r="C11" s="103">
        <f>H11/$H$5*【恩給】!C$5*G11</f>
        <v>880.96429360348759</v>
      </c>
      <c r="D11" s="103">
        <f>H11/$H$5*【恩給】!D$5*G11</f>
        <v>52.971418908934915</v>
      </c>
      <c r="E11" s="39">
        <f>H11/$H$5*【恩給】!E$5*G11</f>
        <v>827.9928746945526</v>
      </c>
      <c r="F11" s="103"/>
      <c r="G11" s="189">
        <f>G10*(1+【年金生活者支援給付金】!E12/100)</f>
        <v>1.1316871530086399</v>
      </c>
      <c r="H11" s="187">
        <v>97274.709211442911</v>
      </c>
      <c r="N11" s="30"/>
      <c r="O11" s="30"/>
      <c r="P11" s="30"/>
    </row>
    <row r="12" spans="1:16">
      <c r="A12" s="26">
        <v>37</v>
      </c>
      <c r="B12" s="101">
        <v>2025</v>
      </c>
      <c r="C12" s="103">
        <f>H12/$H$5*【恩給】!C$5*G12</f>
        <v>715.18257377450266</v>
      </c>
      <c r="D12" s="103">
        <f>H12/$H$5*【恩給】!D$5*G12</f>
        <v>43.003145515487503</v>
      </c>
      <c r="E12" s="39">
        <f>H12/$H$5*【恩給】!E$5*G12</f>
        <v>672.17942825901514</v>
      </c>
      <c r="F12" s="103"/>
      <c r="G12" s="189">
        <f>G11*(1+【年金生活者支援給付金】!E13/100)</f>
        <v>1.1543208960688127</v>
      </c>
      <c r="H12" s="187">
        <v>77420.930546726551</v>
      </c>
      <c r="N12" s="30"/>
      <c r="O12" s="30"/>
      <c r="P12" s="30"/>
    </row>
    <row r="13" spans="1:16">
      <c r="A13" s="26">
        <v>38</v>
      </c>
      <c r="B13" s="101">
        <v>2026</v>
      </c>
      <c r="C13" s="103">
        <f>H13/$H$5*【恩給】!C$5*G13</f>
        <v>573.9451429087103</v>
      </c>
      <c r="D13" s="103">
        <f>H13/$H$5*【恩給】!D$5*G13</f>
        <v>34.510693357851039</v>
      </c>
      <c r="E13" s="39">
        <f>H13/$H$5*【恩給】!E$5*G13</f>
        <v>539.43444955085931</v>
      </c>
      <c r="F13" s="103"/>
      <c r="G13" s="189">
        <f>G12*(1+【年金生活者支援給付金】!E14/100)</f>
        <v>1.1774073139901891</v>
      </c>
      <c r="H13" s="187">
        <v>60913.23661600113</v>
      </c>
      <c r="N13" s="30"/>
      <c r="O13" s="30"/>
      <c r="P13" s="30"/>
    </row>
    <row r="14" spans="1:16">
      <c r="A14" s="26">
        <v>39</v>
      </c>
      <c r="B14" s="101">
        <v>2027</v>
      </c>
      <c r="C14" s="103">
        <f>H14/$H$5*【恩給】!C$5*G14</f>
        <v>455.29239168641055</v>
      </c>
      <c r="D14" s="103">
        <f>H14/$H$5*【恩給】!D$5*G14</f>
        <v>27.376233272090765</v>
      </c>
      <c r="E14" s="39">
        <f>H14/$H$5*【恩給】!E$5*G14</f>
        <v>427.9161584143198</v>
      </c>
      <c r="F14" s="103"/>
      <c r="G14" s="189">
        <f>G13*(1+【年金生活者支援給付金】!E15/100)</f>
        <v>1.2009554602699928</v>
      </c>
      <c r="H14" s="187">
        <v>47373.068094477945</v>
      </c>
      <c r="N14" s="30"/>
      <c r="O14" s="30"/>
      <c r="P14" s="30"/>
    </row>
    <row r="15" spans="1:16">
      <c r="A15" s="26">
        <v>40</v>
      </c>
      <c r="B15" s="101">
        <v>2028</v>
      </c>
      <c r="C15" s="103">
        <f>H15/$H$5*【恩給】!C$5*G15</f>
        <v>354.15053604386549</v>
      </c>
      <c r="D15" s="103">
        <f>H15/$H$5*【恩給】!D$5*G15</f>
        <v>21.294684174846996</v>
      </c>
      <c r="E15" s="39">
        <f>H15/$H$5*【恩給】!E$5*G15</f>
        <v>332.85585186901841</v>
      </c>
      <c r="F15" s="103"/>
      <c r="G15" s="189">
        <f>G14*(1+【年金生活者支援給付金】!E16/100)</f>
        <v>1.2153669257932327</v>
      </c>
      <c r="H15" s="187">
        <v>36412.333397408838</v>
      </c>
      <c r="N15" s="30"/>
      <c r="O15" s="30"/>
      <c r="P15" s="30"/>
    </row>
    <row r="16" spans="1:16">
      <c r="A16" s="26">
        <v>41</v>
      </c>
      <c r="B16" s="101">
        <v>2029</v>
      </c>
      <c r="C16" s="103">
        <f>H16/$H$5*【恩給】!C$5*G16</f>
        <v>272.19444606642185</v>
      </c>
      <c r="D16" s="103">
        <f>H16/$H$5*【恩給】!D$5*G16</f>
        <v>16.366754171491479</v>
      </c>
      <c r="E16" s="39">
        <f>H16/$H$5*【恩給】!E$5*G16</f>
        <v>255.82769189493035</v>
      </c>
      <c r="F16" s="103"/>
      <c r="G16" s="189">
        <f>G15*(1+【年金生活者支援給付金】!E17/100)</f>
        <v>1.2299513289027515</v>
      </c>
      <c r="H16" s="187">
        <v>27654.088862223765</v>
      </c>
      <c r="N16" s="30"/>
      <c r="O16" s="30"/>
      <c r="P16" s="30"/>
    </row>
    <row r="17" spans="1:16">
      <c r="A17" s="26">
        <v>42</v>
      </c>
      <c r="B17" s="101">
        <v>2030</v>
      </c>
      <c r="C17" s="103">
        <f>H17/$H$5*【恩給】!C$5*G17</f>
        <v>206.66079090047057</v>
      </c>
      <c r="D17" s="103">
        <f>H17/$H$5*【恩給】!D$5*G17</f>
        <v>12.426287201791867</v>
      </c>
      <c r="E17" s="39">
        <f>H17/$H$5*【恩給】!E$5*G17</f>
        <v>194.23450369867868</v>
      </c>
      <c r="F17" s="103"/>
      <c r="G17" s="189">
        <f>G16*(1+【年金生活者支援給付金】!E18/100)</f>
        <v>1.2447107448495844</v>
      </c>
      <c r="H17" s="187">
        <v>20747.112848328492</v>
      </c>
      <c r="N17" s="30"/>
      <c r="O17" s="30"/>
      <c r="P17" s="30"/>
    </row>
    <row r="18" spans="1:16">
      <c r="A18" s="26">
        <v>43</v>
      </c>
      <c r="B18" s="101">
        <v>2031</v>
      </c>
      <c r="C18" s="103">
        <f>H18/$H$5*【恩給】!C$5*G18</f>
        <v>154.93018800308369</v>
      </c>
      <c r="D18" s="103">
        <f>H18/$H$5*【恩給】!D$5*G18</f>
        <v>9.3157826599101785</v>
      </c>
      <c r="E18" s="39">
        <f>H18/$H$5*【恩給】!E$5*G18</f>
        <v>145.6144053431735</v>
      </c>
      <c r="F18" s="103"/>
      <c r="G18" s="189">
        <f>G17*(1+【年金生活者支援給付金】!E19/100)</f>
        <v>1.2596472737877795</v>
      </c>
      <c r="H18" s="187">
        <v>15369.336435769519</v>
      </c>
      <c r="N18" s="30"/>
      <c r="O18" s="30"/>
      <c r="P18" s="30"/>
    </row>
    <row r="19" spans="1:16">
      <c r="A19" s="26">
        <v>44</v>
      </c>
      <c r="B19" s="101">
        <v>2032</v>
      </c>
      <c r="C19" s="103">
        <f>H19/$H$5*【恩給】!C$5*G19</f>
        <v>114.60467316159621</v>
      </c>
      <c r="D19" s="103">
        <f>H19/$H$5*【恩給】!D$5*G19</f>
        <v>6.8910535819024599</v>
      </c>
      <c r="E19" s="39">
        <f>H19/$H$5*【恩給】!E$5*G19</f>
        <v>107.71361957969374</v>
      </c>
      <c r="F19" s="103"/>
      <c r="G19" s="189">
        <f>G18*(1+【年金生活者支援給付金】!E20/100)</f>
        <v>1.2747630410732329</v>
      </c>
      <c r="H19" s="187">
        <v>11234.167218761811</v>
      </c>
      <c r="N19" s="30"/>
      <c r="O19" s="30"/>
      <c r="P19" s="30"/>
    </row>
    <row r="20" spans="1:16">
      <c r="A20" s="26">
        <v>45</v>
      </c>
      <c r="B20" s="101">
        <v>2033</v>
      </c>
      <c r="C20" s="103">
        <f>H20/$H$5*【恩給】!C$5*G20</f>
        <v>83.602692791132341</v>
      </c>
      <c r="D20" s="103">
        <f>H20/$H$5*【恩給】!D$5*G20</f>
        <v>5.0269384286161634</v>
      </c>
      <c r="E20" s="39">
        <f>H20/$H$5*【恩給】!E$5*G20</f>
        <v>78.575754362516165</v>
      </c>
      <c r="F20" s="103"/>
      <c r="G20" s="189">
        <f>G19*(1+【年金生活者支援給付金】!E21/100)</f>
        <v>1.2900601975661117</v>
      </c>
      <c r="H20" s="187">
        <v>8098.0100342585456</v>
      </c>
      <c r="N20" s="30"/>
      <c r="O20" s="30"/>
      <c r="P20" s="30"/>
    </row>
    <row r="21" spans="1:16">
      <c r="A21" s="26">
        <v>46</v>
      </c>
      <c r="B21" s="101">
        <v>2034</v>
      </c>
      <c r="C21" s="103">
        <f>H21/$H$5*【恩給】!C$5*G21</f>
        <v>60.097545036119932</v>
      </c>
      <c r="D21" s="103">
        <f>H21/$H$5*【恩給】!D$5*G21</f>
        <v>3.6135996164899371</v>
      </c>
      <c r="E21" s="39">
        <f>H21/$H$5*【恩給】!E$5*G21</f>
        <v>56.48394541962999</v>
      </c>
      <c r="F21" s="103"/>
      <c r="G21" s="189">
        <f>G20*(1+【年金生活者支援給付金】!E22/100)</f>
        <v>1.305540919936905</v>
      </c>
      <c r="H21" s="187">
        <v>5752.2037863775422</v>
      </c>
      <c r="N21" s="30"/>
      <c r="O21" s="30"/>
      <c r="P21" s="30"/>
    </row>
    <row r="22" spans="1:16">
      <c r="A22" s="26">
        <v>47</v>
      </c>
      <c r="B22" s="101">
        <v>2035</v>
      </c>
      <c r="C22" s="103">
        <f>H22/$H$5*【恩給】!C$5*G22</f>
        <v>42.490401095704961</v>
      </c>
      <c r="D22" s="103">
        <f>H22/$H$5*【恩給】!D$5*G22</f>
        <v>2.5549013193743635</v>
      </c>
      <c r="E22" s="39">
        <f>H22/$H$5*【恩給】!E$5*G22</f>
        <v>39.935499776330587</v>
      </c>
      <c r="F22" s="103"/>
      <c r="G22" s="189">
        <f>G21*(1+【年金生活者支援給付金】!E23/100)</f>
        <v>1.3212074109761478</v>
      </c>
      <c r="H22" s="187">
        <v>4018.7209438806367</v>
      </c>
      <c r="N22" s="30"/>
      <c r="O22" s="30"/>
      <c r="P22" s="30"/>
    </row>
    <row r="23" spans="1:16">
      <c r="A23" s="26">
        <v>48</v>
      </c>
      <c r="B23" s="101">
        <v>2036</v>
      </c>
      <c r="C23" s="103">
        <f>H23/$H$5*【恩給】!C$5*G23</f>
        <v>29.480746698879862</v>
      </c>
      <c r="D23" s="103">
        <f>H23/$H$5*【恩給】!D$5*G23</f>
        <v>1.7726450373452263</v>
      </c>
      <c r="E23" s="39">
        <f>H23/$H$5*【恩給】!E$5*G23</f>
        <v>27.708101661534627</v>
      </c>
      <c r="F23" s="103"/>
      <c r="G23" s="189">
        <f>G22*(1+【年金生活者支援給付金】!E24/100)</f>
        <v>1.3370618999078616</v>
      </c>
      <c r="H23" s="187">
        <v>2755.2117781532097</v>
      </c>
      <c r="N23" s="30"/>
      <c r="O23" s="30"/>
      <c r="P23" s="30"/>
    </row>
    <row r="24" spans="1:16">
      <c r="A24" s="26">
        <v>49</v>
      </c>
      <c r="B24" s="101">
        <v>2037</v>
      </c>
      <c r="C24" s="103">
        <f>H24/$H$5*【恩給】!C$5*G24</f>
        <v>20.015654937046683</v>
      </c>
      <c r="D24" s="103">
        <f>H24/$H$5*【恩給】!D$5*G24</f>
        <v>1.2035194276377807</v>
      </c>
      <c r="E24" s="39">
        <f>H24/$H$5*【恩給】!E$5*G24</f>
        <v>18.8121355094089</v>
      </c>
      <c r="F24" s="103"/>
      <c r="G24" s="189">
        <f>G23*(1+【年金生活者支援給付金】!E25/100)</f>
        <v>1.353106642706756</v>
      </c>
      <c r="H24" s="187">
        <v>1848.4418805328596</v>
      </c>
      <c r="N24" s="30"/>
      <c r="O24" s="30"/>
      <c r="P24" s="30"/>
    </row>
    <row r="25" spans="1:16">
      <c r="A25" s="26">
        <v>50</v>
      </c>
      <c r="B25" s="101">
        <v>2038</v>
      </c>
      <c r="C25" s="103">
        <f>H25/$H$5*【恩給】!C$5*G25</f>
        <v>13.277920085995111</v>
      </c>
      <c r="D25" s="103">
        <f>H25/$H$5*【恩給】!D$5*G25</f>
        <v>0.79838680434780296</v>
      </c>
      <c r="E25" s="39">
        <f>H25/$H$5*【恩給】!E$5*G25</f>
        <v>12.479533281647306</v>
      </c>
      <c r="F25" s="103"/>
      <c r="G25" s="189">
        <f>G24*(1+【年金生活者支援給付金】!E26/100)</f>
        <v>1.369343922419237</v>
      </c>
      <c r="H25" s="187">
        <v>1211.6732845999195</v>
      </c>
      <c r="N25" s="30"/>
      <c r="O25" s="30"/>
      <c r="P25" s="30"/>
    </row>
    <row r="26" spans="1:16">
      <c r="A26" s="26">
        <v>51</v>
      </c>
      <c r="B26" s="101">
        <v>2039</v>
      </c>
      <c r="C26" s="103">
        <f>H26/$H$5*【恩給】!C$5*G26</f>
        <v>8.5994581286336249</v>
      </c>
      <c r="D26" s="103">
        <f>H26/$H$5*【恩給】!D$5*G26</f>
        <v>0.51707600663180153</v>
      </c>
      <c r="E26" s="39">
        <f>H26/$H$5*【恩給】!E$5*G26</f>
        <v>8.0823821220018228</v>
      </c>
      <c r="F26" s="103"/>
      <c r="G26" s="189">
        <f>G25*(1+【年金生活者支援給付金】!E27/100)</f>
        <v>1.3857760494882678</v>
      </c>
      <c r="H26" s="187">
        <v>775.43617189668657</v>
      </c>
      <c r="N26" s="30"/>
      <c r="O26" s="30"/>
      <c r="P26" s="30"/>
    </row>
    <row r="27" spans="1:16">
      <c r="A27" s="40">
        <v>52</v>
      </c>
      <c r="B27" s="109">
        <v>2040</v>
      </c>
      <c r="C27" s="110">
        <f>H27/$H$5*【恩給】!C$5*G27</f>
        <v>5.4155265109303121</v>
      </c>
      <c r="D27" s="110">
        <f>H27/$H$5*【恩給】!D$5*G27</f>
        <v>0.32562968273042003</v>
      </c>
      <c r="E27" s="41">
        <f>H27/$H$5*【恩給】!E$5*G27</f>
        <v>5.0898968281998913</v>
      </c>
      <c r="F27" s="103"/>
      <c r="G27" s="190">
        <f>G26*(1+【年金生活者支援給付金】!E28/100)</f>
        <v>1.4024053620821271</v>
      </c>
      <c r="H27" s="188">
        <v>482.54202590497908</v>
      </c>
      <c r="N27" s="30"/>
      <c r="O27" s="30"/>
      <c r="P27" s="30"/>
    </row>
    <row r="28" spans="1:16">
      <c r="F28" s="142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zoomScaleNormal="100" workbookViewId="0"/>
  </sheetViews>
  <sheetFormatPr defaultRowHeight="13.5"/>
  <sheetData/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zoomScaleNormal="100" workbookViewId="0"/>
  </sheetViews>
  <sheetFormatPr defaultRowHeight="13.5"/>
  <cols>
    <col min="1" max="16384" width="9" style="34"/>
  </cols>
  <sheetData/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/>
  </sheetViews>
  <sheetFormatPr defaultRowHeight="13.5"/>
  <cols>
    <col min="1" max="3" width="9" style="1"/>
    <col min="4" max="4" width="10.75" style="1" customWidth="1"/>
    <col min="5" max="16384" width="9" style="1"/>
  </cols>
  <sheetData>
    <row r="1" spans="1:7">
      <c r="A1" s="1" t="s">
        <v>145</v>
      </c>
    </row>
    <row r="2" spans="1:7">
      <c r="F2" s="44" t="s">
        <v>169</v>
      </c>
    </row>
    <row r="3" spans="1:7">
      <c r="A3" s="42" t="s">
        <v>55</v>
      </c>
      <c r="B3" s="42" t="s">
        <v>109</v>
      </c>
      <c r="C3" s="42" t="s">
        <v>56</v>
      </c>
      <c r="D3" s="138" t="s">
        <v>110</v>
      </c>
      <c r="E3" s="134" t="s">
        <v>13</v>
      </c>
      <c r="F3" s="135" t="s">
        <v>58</v>
      </c>
      <c r="G3" s="43" t="s">
        <v>111</v>
      </c>
    </row>
    <row r="4" spans="1:7">
      <c r="A4" s="46"/>
      <c r="B4" s="46"/>
      <c r="C4" s="46" t="s">
        <v>59</v>
      </c>
      <c r="D4" s="46"/>
      <c r="E4" s="136"/>
      <c r="F4" s="137"/>
      <c r="G4" s="47" t="s">
        <v>170</v>
      </c>
    </row>
    <row r="5" spans="1:7">
      <c r="A5" s="104">
        <v>30</v>
      </c>
      <c r="B5" s="105">
        <v>2018</v>
      </c>
      <c r="C5" s="106">
        <v>13747.004492400789</v>
      </c>
      <c r="D5" s="106">
        <v>9795.3796637523628</v>
      </c>
      <c r="E5" s="106">
        <v>1554.8810138072863</v>
      </c>
      <c r="F5" s="106">
        <v>324.65231999999997</v>
      </c>
      <c r="G5" s="107">
        <f>【年金全体】!G5</f>
        <v>564.29999999999995</v>
      </c>
    </row>
    <row r="6" spans="1:7">
      <c r="A6" s="26">
        <f>A5+1</f>
        <v>31</v>
      </c>
      <c r="B6" s="101">
        <f>B5+1</f>
        <v>2019</v>
      </c>
      <c r="C6" s="102">
        <f>C$5*$G6/$G$5</f>
        <v>14134.346990060143</v>
      </c>
      <c r="D6" s="102">
        <f>D$5*$G6/$G$5</f>
        <v>10071.379197074466</v>
      </c>
      <c r="E6" s="102">
        <f>E$5*$G6/$G$5</f>
        <v>1598.6921215860139</v>
      </c>
      <c r="F6" s="102">
        <f>F$5*$G6/$G$5</f>
        <v>333.79988669856465</v>
      </c>
      <c r="G6" s="108">
        <f>【年金全体】!G6</f>
        <v>580.20000000000005</v>
      </c>
    </row>
    <row r="7" spans="1:7">
      <c r="A7" s="26">
        <f t="shared" ref="A7:A27" si="0">A6+1</f>
        <v>32</v>
      </c>
      <c r="B7" s="101">
        <f t="shared" ref="B7:B27" si="1">B6+1</f>
        <v>2020</v>
      </c>
      <c r="C7" s="102">
        <f t="shared" ref="C7:D27" si="2">C$5*$G7/$G$5</f>
        <v>14577.720163481537</v>
      </c>
      <c r="D7" s="102">
        <f t="shared" si="2"/>
        <v>10387.30319119159</v>
      </c>
      <c r="E7" s="102">
        <f t="shared" ref="E7:E27" si="3">E$5*$G7/$G$5</f>
        <v>1648.840685206947</v>
      </c>
      <c r="F7" s="102">
        <f t="shared" ref="F7:F27" si="4">F$5*$G7/$G$5</f>
        <v>344.27068631578948</v>
      </c>
      <c r="G7" s="108">
        <f>【年金全体】!G7</f>
        <v>598.4</v>
      </c>
    </row>
    <row r="8" spans="1:7">
      <c r="A8" s="26">
        <f t="shared" si="0"/>
        <v>33</v>
      </c>
      <c r="B8" s="101">
        <f t="shared" si="1"/>
        <v>2021</v>
      </c>
      <c r="C8" s="102">
        <f t="shared" si="2"/>
        <v>15040.582267602778</v>
      </c>
      <c r="D8" s="102">
        <f t="shared" si="2"/>
        <v>10717.113954280894</v>
      </c>
      <c r="E8" s="102">
        <f t="shared" si="3"/>
        <v>1701.1935812947345</v>
      </c>
      <c r="F8" s="102">
        <f t="shared" si="4"/>
        <v>355.20174086124399</v>
      </c>
      <c r="G8" s="108">
        <f>【年金全体】!G8</f>
        <v>617.4</v>
      </c>
    </row>
    <row r="9" spans="1:7">
      <c r="A9" s="26">
        <f t="shared" si="0"/>
        <v>34</v>
      </c>
      <c r="B9" s="101">
        <f t="shared" si="1"/>
        <v>2022</v>
      </c>
      <c r="C9" s="103">
        <f t="shared" si="2"/>
        <v>15557.038931148581</v>
      </c>
      <c r="D9" s="103">
        <f t="shared" si="2"/>
        <v>11085.113332043698</v>
      </c>
      <c r="E9" s="103">
        <f t="shared" si="3"/>
        <v>1759.6083916663711</v>
      </c>
      <c r="F9" s="102">
        <f t="shared" si="4"/>
        <v>367.3984964593302</v>
      </c>
      <c r="G9" s="108">
        <f>【年金全体】!G9</f>
        <v>638.6</v>
      </c>
    </row>
    <row r="10" spans="1:7">
      <c r="A10" s="26">
        <f t="shared" si="0"/>
        <v>35</v>
      </c>
      <c r="B10" s="101">
        <f t="shared" si="1"/>
        <v>2023</v>
      </c>
      <c r="C10" s="103">
        <f t="shared" si="2"/>
        <v>16088.112292719266</v>
      </c>
      <c r="D10" s="103">
        <f t="shared" si="2"/>
        <v>11463.527786535638</v>
      </c>
      <c r="E10" s="103">
        <f t="shared" si="3"/>
        <v>1819.6764513881481</v>
      </c>
      <c r="F10" s="102">
        <f t="shared" si="4"/>
        <v>379.94044325358851</v>
      </c>
      <c r="G10" s="108">
        <f>【年金全体】!G10</f>
        <v>660.4</v>
      </c>
    </row>
    <row r="11" spans="1:7">
      <c r="A11" s="26">
        <f t="shared" si="0"/>
        <v>36</v>
      </c>
      <c r="B11" s="101">
        <f t="shared" si="1"/>
        <v>2024</v>
      </c>
      <c r="C11" s="103">
        <f t="shared" si="2"/>
        <v>16648.419050339711</v>
      </c>
      <c r="D11" s="103">
        <f t="shared" si="2"/>
        <v>11862.77239448585</v>
      </c>
      <c r="E11" s="103">
        <f t="shared" si="3"/>
        <v>1883.0510098102063</v>
      </c>
      <c r="F11" s="102">
        <f t="shared" si="4"/>
        <v>393.17277244019141</v>
      </c>
      <c r="G11" s="108">
        <f>【年金全体】!G11</f>
        <v>683.4</v>
      </c>
    </row>
    <row r="12" spans="1:7">
      <c r="A12" s="26">
        <f t="shared" si="0"/>
        <v>37</v>
      </c>
      <c r="B12" s="101">
        <f t="shared" si="1"/>
        <v>2025</v>
      </c>
      <c r="C12" s="103">
        <f t="shared" si="2"/>
        <v>17230.650854997482</v>
      </c>
      <c r="D12" s="103">
        <f t="shared" si="2"/>
        <v>12277.639617529765</v>
      </c>
      <c r="E12" s="103">
        <f t="shared" si="3"/>
        <v>1948.9054422574761</v>
      </c>
      <c r="F12" s="102">
        <f t="shared" si="4"/>
        <v>406.92288842105262</v>
      </c>
      <c r="G12" s="108">
        <f>【年金全体】!G12</f>
        <v>707.3</v>
      </c>
    </row>
    <row r="13" spans="1:7">
      <c r="A13" s="26">
        <f t="shared" si="0"/>
        <v>38</v>
      </c>
      <c r="B13" s="101">
        <f t="shared" si="1"/>
        <v>2026</v>
      </c>
      <c r="C13" s="103">
        <f t="shared" si="2"/>
        <v>17837.243823030054</v>
      </c>
      <c r="D13" s="103">
        <f t="shared" si="2"/>
        <v>12709.86530178891</v>
      </c>
      <c r="E13" s="103">
        <f t="shared" si="3"/>
        <v>2017.5152902883133</v>
      </c>
      <c r="F13" s="102">
        <f t="shared" si="4"/>
        <v>421.248323062201</v>
      </c>
      <c r="G13" s="108">
        <f>【年金全体】!G13</f>
        <v>732.2</v>
      </c>
    </row>
    <row r="14" spans="1:7">
      <c r="A14" s="26">
        <f t="shared" si="0"/>
        <v>39</v>
      </c>
      <c r="B14" s="101">
        <f t="shared" si="1"/>
        <v>2027</v>
      </c>
      <c r="C14" s="103">
        <f t="shared" si="2"/>
        <v>18463.325721762463</v>
      </c>
      <c r="D14" s="103">
        <f t="shared" si="2"/>
        <v>13155.977755020231</v>
      </c>
      <c r="E14" s="103">
        <f t="shared" si="3"/>
        <v>2088.3294707860045</v>
      </c>
      <c r="F14" s="102">
        <f t="shared" si="4"/>
        <v>436.03401263157895</v>
      </c>
      <c r="G14" s="108">
        <f>【年金全体】!G14</f>
        <v>757.9</v>
      </c>
    </row>
    <row r="15" spans="1:7">
      <c r="A15" s="26">
        <f t="shared" si="0"/>
        <v>40</v>
      </c>
      <c r="B15" s="101">
        <f t="shared" si="1"/>
        <v>2028</v>
      </c>
      <c r="C15" s="103">
        <f t="shared" si="2"/>
        <v>18758.738933310666</v>
      </c>
      <c r="D15" s="103">
        <f t="shared" si="2"/>
        <v>13366.473399100554</v>
      </c>
      <c r="E15" s="103">
        <f t="shared" si="3"/>
        <v>2121.7427423185804</v>
      </c>
      <c r="F15" s="102">
        <f t="shared" si="4"/>
        <v>443.01055683368423</v>
      </c>
      <c r="G15" s="108">
        <f>【年金全体】!G15</f>
        <v>770.02639999999997</v>
      </c>
    </row>
    <row r="16" spans="1:7">
      <c r="A16" s="26">
        <f t="shared" si="0"/>
        <v>41</v>
      </c>
      <c r="B16" s="101">
        <f t="shared" si="1"/>
        <v>2029</v>
      </c>
      <c r="C16" s="103">
        <f t="shared" si="2"/>
        <v>19058.878756243634</v>
      </c>
      <c r="D16" s="103">
        <f t="shared" si="2"/>
        <v>13580.336973486163</v>
      </c>
      <c r="E16" s="103">
        <f t="shared" si="3"/>
        <v>2155.6906261956779</v>
      </c>
      <c r="F16" s="102">
        <f t="shared" si="4"/>
        <v>450.09872574302318</v>
      </c>
      <c r="G16" s="108">
        <f>【年金全体】!G16</f>
        <v>782.34682239999995</v>
      </c>
    </row>
    <row r="17" spans="1:7">
      <c r="A17" s="26">
        <f t="shared" si="0"/>
        <v>42</v>
      </c>
      <c r="B17" s="101">
        <f t="shared" si="1"/>
        <v>2030</v>
      </c>
      <c r="C17" s="103">
        <f t="shared" si="2"/>
        <v>19363.82081634353</v>
      </c>
      <c r="D17" s="103">
        <f t="shared" si="2"/>
        <v>13797.622365061941</v>
      </c>
      <c r="E17" s="103">
        <f t="shared" si="3"/>
        <v>2190.1816762148087</v>
      </c>
      <c r="F17" s="102">
        <f t="shared" si="4"/>
        <v>457.30030535491147</v>
      </c>
      <c r="G17" s="108">
        <f>【年金全体】!G17</f>
        <v>794.86437155839997</v>
      </c>
    </row>
    <row r="18" spans="1:7">
      <c r="A18" s="26">
        <f t="shared" si="0"/>
        <v>43</v>
      </c>
      <c r="B18" s="101">
        <f t="shared" si="1"/>
        <v>2031</v>
      </c>
      <c r="C18" s="103">
        <f t="shared" si="2"/>
        <v>19673.641949405031</v>
      </c>
      <c r="D18" s="103">
        <f t="shared" si="2"/>
        <v>14018.384322902933</v>
      </c>
      <c r="E18" s="103">
        <f t="shared" si="3"/>
        <v>2225.2245830342458</v>
      </c>
      <c r="F18" s="102">
        <f t="shared" si="4"/>
        <v>464.61711024059014</v>
      </c>
      <c r="G18" s="108">
        <f>【年金全体】!G18</f>
        <v>807.58220150333443</v>
      </c>
    </row>
    <row r="19" spans="1:7">
      <c r="A19" s="26">
        <f t="shared" si="0"/>
        <v>44</v>
      </c>
      <c r="B19" s="101">
        <f t="shared" si="1"/>
        <v>2032</v>
      </c>
      <c r="C19" s="103">
        <f t="shared" si="2"/>
        <v>19988.420220595512</v>
      </c>
      <c r="D19" s="103">
        <f t="shared" si="2"/>
        <v>14242.678472069381</v>
      </c>
      <c r="E19" s="103">
        <f t="shared" si="3"/>
        <v>2260.8281763627938</v>
      </c>
      <c r="F19" s="102">
        <f t="shared" si="4"/>
        <v>472.05098400443956</v>
      </c>
      <c r="G19" s="108">
        <f>【年金全体】!G19</f>
        <v>820.50351672738782</v>
      </c>
    </row>
    <row r="20" spans="1:7">
      <c r="A20" s="26">
        <f t="shared" si="0"/>
        <v>45</v>
      </c>
      <c r="B20" s="101">
        <f t="shared" si="1"/>
        <v>2033</v>
      </c>
      <c r="C20" s="103">
        <f t="shared" si="2"/>
        <v>20308.234944125041</v>
      </c>
      <c r="D20" s="103">
        <f t="shared" si="2"/>
        <v>14470.561327622492</v>
      </c>
      <c r="E20" s="103">
        <f t="shared" si="3"/>
        <v>2297.0014271845985</v>
      </c>
      <c r="F20" s="102">
        <f t="shared" si="4"/>
        <v>479.60379974851071</v>
      </c>
      <c r="G20" s="108">
        <f>【年金全体】!G20</f>
        <v>833.63157299502609</v>
      </c>
    </row>
    <row r="21" spans="1:7">
      <c r="A21" s="26">
        <f t="shared" si="0"/>
        <v>46</v>
      </c>
      <c r="B21" s="101">
        <f t="shared" si="1"/>
        <v>2034</v>
      </c>
      <c r="C21" s="103">
        <f t="shared" si="2"/>
        <v>20633.166703231043</v>
      </c>
      <c r="D21" s="103">
        <f t="shared" si="2"/>
        <v>14702.090308864452</v>
      </c>
      <c r="E21" s="103">
        <f t="shared" si="3"/>
        <v>2333.753450019552</v>
      </c>
      <c r="F21" s="102">
        <f t="shared" si="4"/>
        <v>487.27746054448681</v>
      </c>
      <c r="G21" s="108">
        <f>【年金全体】!G21</f>
        <v>846.96967816294648</v>
      </c>
    </row>
    <row r="22" spans="1:7">
      <c r="A22" s="26">
        <f t="shared" si="0"/>
        <v>47</v>
      </c>
      <c r="B22" s="101">
        <f t="shared" si="1"/>
        <v>2035</v>
      </c>
      <c r="C22" s="103">
        <f t="shared" si="2"/>
        <v>20963.297370482738</v>
      </c>
      <c r="D22" s="103">
        <f t="shared" si="2"/>
        <v>14937.323753806282</v>
      </c>
      <c r="E22" s="103">
        <f t="shared" si="3"/>
        <v>2371.0935052198652</v>
      </c>
      <c r="F22" s="102">
        <f t="shared" si="4"/>
        <v>495.0738999131986</v>
      </c>
      <c r="G22" s="108">
        <f>【年金全体】!G22</f>
        <v>860.52119301355367</v>
      </c>
    </row>
    <row r="23" spans="1:7">
      <c r="A23" s="26">
        <f t="shared" si="0"/>
        <v>48</v>
      </c>
      <c r="B23" s="101">
        <f t="shared" si="1"/>
        <v>2036</v>
      </c>
      <c r="C23" s="103">
        <f t="shared" si="2"/>
        <v>21298.710128410465</v>
      </c>
      <c r="D23" s="103">
        <f t="shared" si="2"/>
        <v>15176.320933867184</v>
      </c>
      <c r="E23" s="103">
        <f t="shared" si="3"/>
        <v>2409.0310013033832</v>
      </c>
      <c r="F23" s="102">
        <f t="shared" si="4"/>
        <v>502.99508231180982</v>
      </c>
      <c r="G23" s="108">
        <f>【年金全体】!G23</f>
        <v>874.28953210177053</v>
      </c>
    </row>
    <row r="24" spans="1:7">
      <c r="A24" s="26">
        <f t="shared" si="0"/>
        <v>49</v>
      </c>
      <c r="B24" s="101">
        <f t="shared" si="1"/>
        <v>2037</v>
      </c>
      <c r="C24" s="103">
        <f t="shared" si="2"/>
        <v>21639.489490465032</v>
      </c>
      <c r="D24" s="103">
        <f t="shared" si="2"/>
        <v>15419.142068809058</v>
      </c>
      <c r="E24" s="103">
        <f t="shared" si="3"/>
        <v>2447.5754973242369</v>
      </c>
      <c r="F24" s="102">
        <f t="shared" si="4"/>
        <v>511.04300362879877</v>
      </c>
      <c r="G24" s="108">
        <f>【年金全体】!G24</f>
        <v>888.27816461539885</v>
      </c>
    </row>
    <row r="25" spans="1:7">
      <c r="A25" s="26">
        <f t="shared" si="0"/>
        <v>50</v>
      </c>
      <c r="B25" s="101">
        <f t="shared" si="1"/>
        <v>2038</v>
      </c>
      <c r="C25" s="103">
        <f t="shared" si="2"/>
        <v>21985.721322312471</v>
      </c>
      <c r="D25" s="103">
        <f t="shared" si="2"/>
        <v>15665.848341910007</v>
      </c>
      <c r="E25" s="103">
        <f t="shared" si="3"/>
        <v>2486.7367052814252</v>
      </c>
      <c r="F25" s="102">
        <f t="shared" si="4"/>
        <v>519.21969168685951</v>
      </c>
      <c r="G25" s="108">
        <f>【年金全体】!G25</f>
        <v>902.49061524924525</v>
      </c>
    </row>
    <row r="26" spans="1:7">
      <c r="A26" s="26">
        <f t="shared" si="0"/>
        <v>51</v>
      </c>
      <c r="B26" s="101">
        <f t="shared" si="1"/>
        <v>2039</v>
      </c>
      <c r="C26" s="103">
        <f t="shared" si="2"/>
        <v>22337.49286346947</v>
      </c>
      <c r="D26" s="103">
        <f t="shared" si="2"/>
        <v>15916.501915380564</v>
      </c>
      <c r="E26" s="103">
        <f t="shared" si="3"/>
        <v>2526.5244925659276</v>
      </c>
      <c r="F26" s="102">
        <f t="shared" si="4"/>
        <v>527.52720675384933</v>
      </c>
      <c r="G26" s="108">
        <f>【年金全体】!G26</f>
        <v>916.93046509323324</v>
      </c>
    </row>
    <row r="27" spans="1:7">
      <c r="A27" s="40">
        <f t="shared" si="0"/>
        <v>52</v>
      </c>
      <c r="B27" s="109">
        <f t="shared" si="1"/>
        <v>2040</v>
      </c>
      <c r="C27" s="110">
        <f t="shared" si="2"/>
        <v>22694.892749284987</v>
      </c>
      <c r="D27" s="110">
        <f t="shared" si="2"/>
        <v>16171.165946026658</v>
      </c>
      <c r="E27" s="110">
        <f t="shared" si="3"/>
        <v>2566.9488844469834</v>
      </c>
      <c r="F27" s="111">
        <f t="shared" si="4"/>
        <v>535.96764206191096</v>
      </c>
      <c r="G27" s="112">
        <f>【年金全体】!G27</f>
        <v>931.60135253472504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/>
  </sheetViews>
  <sheetFormatPr defaultRowHeight="13.5"/>
  <cols>
    <col min="1" max="2" width="7.625" style="1" customWidth="1"/>
    <col min="3" max="5" width="11.25" style="1" customWidth="1"/>
    <col min="6" max="16384" width="9" style="1"/>
  </cols>
  <sheetData>
    <row r="1" spans="1:13">
      <c r="A1" s="35" t="s">
        <v>192</v>
      </c>
    </row>
    <row r="3" spans="1:13">
      <c r="A3" s="140" t="s">
        <v>55</v>
      </c>
      <c r="B3" s="140" t="s">
        <v>62</v>
      </c>
      <c r="C3" s="140" t="s">
        <v>56</v>
      </c>
      <c r="D3" s="4" t="s">
        <v>57</v>
      </c>
      <c r="E3" s="6" t="s">
        <v>13</v>
      </c>
    </row>
    <row r="4" spans="1:13">
      <c r="A4" s="82"/>
      <c r="B4" s="82"/>
      <c r="C4" s="82" t="s">
        <v>59</v>
      </c>
      <c r="D4" s="82"/>
      <c r="E4" s="83"/>
    </row>
    <row r="5" spans="1:13">
      <c r="A5" s="87">
        <v>30</v>
      </c>
      <c r="B5" s="88">
        <v>2018</v>
      </c>
      <c r="C5" s="98">
        <f>国民年金!K5</f>
        <v>33971.04851832</v>
      </c>
      <c r="D5" s="98">
        <f>国民年金!C5</f>
        <v>12890.061610000002</v>
      </c>
      <c r="E5" s="99">
        <f>国民年金!F5</f>
        <v>18238.55862</v>
      </c>
      <c r="H5" s="30"/>
      <c r="J5" s="30"/>
      <c r="K5" s="30"/>
      <c r="L5" s="30"/>
      <c r="M5" s="30"/>
    </row>
    <row r="6" spans="1:13">
      <c r="A6" s="8">
        <f t="shared" ref="A6:A17" si="0">A5+1</f>
        <v>31</v>
      </c>
      <c r="B6" s="81">
        <f t="shared" ref="B6:B17" si="1">B5+1</f>
        <v>2019</v>
      </c>
      <c r="C6" s="96">
        <f>国民年金!K6</f>
        <v>33945.711858709619</v>
      </c>
      <c r="D6" s="96">
        <f>国民年金!C6</f>
        <v>12768.73850790088</v>
      </c>
      <c r="E6" s="9">
        <f>国民年金!F6</f>
        <v>18283.80371140912</v>
      </c>
      <c r="H6" s="30"/>
      <c r="J6" s="30"/>
      <c r="K6" s="30"/>
      <c r="L6" s="30"/>
      <c r="M6" s="30"/>
    </row>
    <row r="7" spans="1:13">
      <c r="A7" s="8">
        <f t="shared" si="0"/>
        <v>32</v>
      </c>
      <c r="B7" s="81">
        <f t="shared" si="1"/>
        <v>2020</v>
      </c>
      <c r="C7" s="96">
        <f>国民年金!K7</f>
        <v>34350.59470495319</v>
      </c>
      <c r="D7" s="96">
        <f>国民年金!C7</f>
        <v>12662.066146802294</v>
      </c>
      <c r="E7" s="9">
        <f>国民年金!F7</f>
        <v>18573.837554257778</v>
      </c>
      <c r="H7" s="30"/>
      <c r="J7" s="30"/>
      <c r="K7" s="30"/>
      <c r="L7" s="30"/>
      <c r="M7" s="30"/>
    </row>
    <row r="8" spans="1:13">
      <c r="A8" s="8">
        <f t="shared" si="0"/>
        <v>33</v>
      </c>
      <c r="B8" s="81">
        <f t="shared" si="1"/>
        <v>2021</v>
      </c>
      <c r="C8" s="97">
        <f>国民年金!K8</f>
        <v>34903.140206557917</v>
      </c>
      <c r="D8" s="97">
        <f>国民年金!C8</f>
        <v>12720.976121938507</v>
      </c>
      <c r="E8" s="128">
        <f>国民年金!F8</f>
        <v>18951.138281255415</v>
      </c>
      <c r="H8" s="30"/>
      <c r="J8" s="30"/>
      <c r="K8" s="30"/>
      <c r="L8" s="30"/>
      <c r="M8" s="30"/>
    </row>
    <row r="9" spans="1:13">
      <c r="A9" s="8">
        <f t="shared" si="0"/>
        <v>34</v>
      </c>
      <c r="B9" s="81">
        <f t="shared" si="1"/>
        <v>2022</v>
      </c>
      <c r="C9" s="97">
        <f>国民年金!K9</f>
        <v>35405.311568610887</v>
      </c>
      <c r="D9" s="97">
        <f>国民年金!C9</f>
        <v>12906.429144546652</v>
      </c>
      <c r="E9" s="128">
        <f>国民年金!F9</f>
        <v>19305.183485772792</v>
      </c>
      <c r="H9" s="30"/>
      <c r="J9" s="30"/>
      <c r="K9" s="30"/>
      <c r="L9" s="30"/>
      <c r="M9" s="30"/>
    </row>
    <row r="10" spans="1:13">
      <c r="A10" s="8">
        <f t="shared" si="0"/>
        <v>35</v>
      </c>
      <c r="B10" s="81">
        <f t="shared" si="1"/>
        <v>2023</v>
      </c>
      <c r="C10" s="97">
        <f>国民年金!K10</f>
        <v>35878.832974202116</v>
      </c>
      <c r="D10" s="97">
        <f>国民年金!C10</f>
        <v>13112.410072528546</v>
      </c>
      <c r="E10" s="128">
        <f>国民年金!F10</f>
        <v>19649.072260970548</v>
      </c>
      <c r="H10" s="30"/>
      <c r="J10" s="30"/>
      <c r="K10" s="30"/>
      <c r="L10" s="30"/>
      <c r="M10" s="30"/>
    </row>
    <row r="11" spans="1:13">
      <c r="A11" s="8">
        <f t="shared" si="0"/>
        <v>36</v>
      </c>
      <c r="B11" s="81">
        <f t="shared" si="1"/>
        <v>2024</v>
      </c>
      <c r="C11" s="97">
        <f>国民年金!K11</f>
        <v>36355.927550415217</v>
      </c>
      <c r="D11" s="97">
        <f>国民年金!C11</f>
        <v>13286.90469241008</v>
      </c>
      <c r="E11" s="128">
        <f>国民年金!F11</f>
        <v>20000.557587706055</v>
      </c>
      <c r="H11" s="30"/>
      <c r="J11" s="30"/>
      <c r="K11" s="30"/>
      <c r="L11" s="30"/>
      <c r="M11" s="30"/>
    </row>
    <row r="12" spans="1:13">
      <c r="A12" s="8">
        <f t="shared" si="0"/>
        <v>37</v>
      </c>
      <c r="B12" s="81">
        <f t="shared" si="1"/>
        <v>2025</v>
      </c>
      <c r="C12" s="97">
        <f>国民年金!K12</f>
        <v>36841.00210484102</v>
      </c>
      <c r="D12" s="97">
        <f>国民年金!C12</f>
        <v>13459.921975639216</v>
      </c>
      <c r="E12" s="128">
        <f>国民年金!F12</f>
        <v>20361.188261651238</v>
      </c>
      <c r="H12" s="30"/>
      <c r="J12" s="30"/>
      <c r="K12" s="30"/>
      <c r="L12" s="30"/>
      <c r="M12" s="30"/>
    </row>
    <row r="13" spans="1:13">
      <c r="A13" s="8">
        <f t="shared" si="0"/>
        <v>38</v>
      </c>
      <c r="B13" s="81">
        <f t="shared" si="1"/>
        <v>2026</v>
      </c>
      <c r="C13" s="97">
        <f>国民年金!K13</f>
        <v>37318.0747958465</v>
      </c>
      <c r="D13" s="97">
        <f>国民年金!C13</f>
        <v>13637.091947956778</v>
      </c>
      <c r="E13" s="128">
        <f>国民年金!F13</f>
        <v>20716.358805827236</v>
      </c>
      <c r="H13" s="30"/>
      <c r="J13" s="30"/>
      <c r="K13" s="30"/>
      <c r="L13" s="30"/>
      <c r="M13" s="30"/>
    </row>
    <row r="14" spans="1:13">
      <c r="A14" s="8">
        <f t="shared" si="0"/>
        <v>39</v>
      </c>
      <c r="B14" s="81">
        <f t="shared" si="1"/>
        <v>2027</v>
      </c>
      <c r="C14" s="97">
        <f>国民年金!K14</f>
        <v>37861.430713106711</v>
      </c>
      <c r="D14" s="97">
        <f>国民年金!C14</f>
        <v>13886.803893619457</v>
      </c>
      <c r="E14" s="128">
        <f>国民年金!F14</f>
        <v>21108.796817038194</v>
      </c>
      <c r="H14" s="30"/>
      <c r="J14" s="30"/>
      <c r="K14" s="30"/>
      <c r="L14" s="30"/>
      <c r="M14" s="30"/>
    </row>
    <row r="15" spans="1:13">
      <c r="A15" s="8">
        <f t="shared" si="0"/>
        <v>40</v>
      </c>
      <c r="B15" s="81">
        <f t="shared" si="1"/>
        <v>2028</v>
      </c>
      <c r="C15" s="97">
        <f>国民年金!K15</f>
        <v>38408.481233528953</v>
      </c>
      <c r="D15" s="97">
        <f>国民年金!C15</f>
        <v>14087.671405728168</v>
      </c>
      <c r="E15" s="128">
        <f>国民年金!F15</f>
        <v>21506.716704507511</v>
      </c>
      <c r="H15" s="30"/>
      <c r="J15" s="30"/>
      <c r="K15" s="30"/>
      <c r="L15" s="30"/>
      <c r="M15" s="30"/>
    </row>
    <row r="16" spans="1:13">
      <c r="A16" s="8">
        <f t="shared" si="0"/>
        <v>41</v>
      </c>
      <c r="B16" s="81">
        <f t="shared" si="1"/>
        <v>2029</v>
      </c>
      <c r="C16" s="97">
        <f>国民年金!K16</f>
        <v>38679.050501909835</v>
      </c>
      <c r="D16" s="97">
        <f>国民年金!C16</f>
        <v>14278.748079210372</v>
      </c>
      <c r="E16" s="128">
        <f>国民年金!F16</f>
        <v>21751.254831249713</v>
      </c>
      <c r="H16" s="30"/>
      <c r="J16" s="30"/>
      <c r="K16" s="30"/>
      <c r="L16" s="30"/>
      <c r="M16" s="30"/>
    </row>
    <row r="17" spans="1:13">
      <c r="A17" s="8">
        <f t="shared" si="0"/>
        <v>42</v>
      </c>
      <c r="B17" s="81">
        <f t="shared" si="1"/>
        <v>2030</v>
      </c>
      <c r="C17" s="97">
        <f>国民年金!K17</f>
        <v>39037.65987560511</v>
      </c>
      <c r="D17" s="97">
        <f>国民年金!C17</f>
        <v>14432.401054561704</v>
      </c>
      <c r="E17" s="128">
        <f>国民年金!F17</f>
        <v>22045.160729309511</v>
      </c>
      <c r="H17" s="30"/>
      <c r="J17" s="30"/>
      <c r="K17" s="30"/>
      <c r="L17" s="30"/>
      <c r="M17" s="30"/>
    </row>
    <row r="18" spans="1:13">
      <c r="A18" s="8">
        <f t="shared" ref="A18:A24" si="2">A17+1</f>
        <v>43</v>
      </c>
      <c r="B18" s="81">
        <f t="shared" ref="B18:B24" si="3">B17+1</f>
        <v>2031</v>
      </c>
      <c r="C18" s="97">
        <f>国民年金!K18</f>
        <v>39466.521273274244</v>
      </c>
      <c r="D18" s="97">
        <f>国民年金!C18</f>
        <v>14569.985659030957</v>
      </c>
      <c r="E18" s="128">
        <f>国民年金!F18</f>
        <v>22370.039082256411</v>
      </c>
      <c r="H18" s="30"/>
      <c r="J18" s="30"/>
      <c r="K18" s="30"/>
      <c r="L18" s="30"/>
      <c r="M18" s="30"/>
    </row>
    <row r="19" spans="1:13">
      <c r="A19" s="8">
        <f t="shared" si="2"/>
        <v>44</v>
      </c>
      <c r="B19" s="81">
        <f t="shared" si="3"/>
        <v>2032</v>
      </c>
      <c r="C19" s="97">
        <f>国民年金!K19</f>
        <v>39948.66103168617</v>
      </c>
      <c r="D19" s="97">
        <f>国民年金!C19</f>
        <v>14706.205988310636</v>
      </c>
      <c r="E19" s="128">
        <f>国民年金!F19</f>
        <v>22720.93249218044</v>
      </c>
      <c r="H19" s="30"/>
      <c r="J19" s="30"/>
      <c r="K19" s="30"/>
      <c r="L19" s="30"/>
      <c r="M19" s="30"/>
    </row>
    <row r="20" spans="1:13">
      <c r="A20" s="8">
        <f t="shared" si="2"/>
        <v>45</v>
      </c>
      <c r="B20" s="81">
        <f t="shared" si="3"/>
        <v>2033</v>
      </c>
      <c r="C20" s="97">
        <f>国民年金!K20</f>
        <v>40580.299356371455</v>
      </c>
      <c r="D20" s="97">
        <f>国民年金!C20</f>
        <v>14798.997967138479</v>
      </c>
      <c r="E20" s="128">
        <f>国民年金!F20</f>
        <v>23162.161976398187</v>
      </c>
      <c r="H20" s="30"/>
      <c r="J20" s="30"/>
      <c r="K20" s="30"/>
      <c r="L20" s="30"/>
      <c r="M20" s="30"/>
    </row>
    <row r="21" spans="1:13">
      <c r="A21" s="8">
        <f t="shared" si="2"/>
        <v>46</v>
      </c>
      <c r="B21" s="81">
        <f t="shared" si="3"/>
        <v>2034</v>
      </c>
      <c r="C21" s="97">
        <f>国民年金!K21</f>
        <v>41208.740466958261</v>
      </c>
      <c r="D21" s="97">
        <f>国民年金!C21</f>
        <v>14866.217709344735</v>
      </c>
      <c r="E21" s="128">
        <f>国民年金!F21</f>
        <v>23606.710138996281</v>
      </c>
      <c r="H21" s="30"/>
      <c r="J21" s="30"/>
      <c r="K21" s="30"/>
      <c r="L21" s="30"/>
      <c r="M21" s="30"/>
    </row>
    <row r="22" spans="1:13">
      <c r="A22" s="8">
        <f t="shared" si="2"/>
        <v>47</v>
      </c>
      <c r="B22" s="81">
        <f t="shared" si="3"/>
        <v>2035</v>
      </c>
      <c r="C22" s="97">
        <f>国民年金!K22</f>
        <v>41915.537143565984</v>
      </c>
      <c r="D22" s="97">
        <f>国民年金!C22</f>
        <v>14935.358150197831</v>
      </c>
      <c r="E22" s="128">
        <f>国民年金!F22</f>
        <v>24099.548938345222</v>
      </c>
      <c r="H22" s="30"/>
      <c r="J22" s="30"/>
      <c r="K22" s="30"/>
      <c r="L22" s="30"/>
      <c r="M22" s="30"/>
    </row>
    <row r="23" spans="1:13">
      <c r="A23" s="8">
        <f t="shared" si="2"/>
        <v>48</v>
      </c>
      <c r="B23" s="81">
        <f t="shared" si="3"/>
        <v>2036</v>
      </c>
      <c r="C23" s="97">
        <f>国民年金!K23</f>
        <v>42635.286455365931</v>
      </c>
      <c r="D23" s="97">
        <f>国民年金!C23</f>
        <v>15027.864925714644</v>
      </c>
      <c r="E23" s="128">
        <f>国民年金!F23</f>
        <v>24606.780508061587</v>
      </c>
      <c r="H23" s="30"/>
      <c r="J23" s="30"/>
      <c r="K23" s="30"/>
      <c r="L23" s="30"/>
      <c r="M23" s="30"/>
    </row>
    <row r="24" spans="1:13">
      <c r="A24" s="8">
        <f t="shared" si="2"/>
        <v>49</v>
      </c>
      <c r="B24" s="81">
        <f t="shared" si="3"/>
        <v>2037</v>
      </c>
      <c r="C24" s="97">
        <f>国民年金!K24</f>
        <v>43368.374666960211</v>
      </c>
      <c r="D24" s="97">
        <f>国民年金!C24</f>
        <v>15111.529446229253</v>
      </c>
      <c r="E24" s="128">
        <f>国民年金!F24</f>
        <v>25125.364280151371</v>
      </c>
      <c r="H24" s="30"/>
      <c r="J24" s="30"/>
      <c r="K24" s="30"/>
      <c r="L24" s="30"/>
      <c r="M24" s="30"/>
    </row>
    <row r="25" spans="1:13">
      <c r="A25" s="8">
        <f t="shared" ref="A25:A27" si="4">A24+1</f>
        <v>50</v>
      </c>
      <c r="B25" s="81">
        <f t="shared" ref="B25:B27" si="5">B24+1</f>
        <v>2038</v>
      </c>
      <c r="C25" s="97">
        <f>国民年金!K25</f>
        <v>44121.780869276285</v>
      </c>
      <c r="D25" s="97">
        <f>国民年金!C25</f>
        <v>15199.887161334234</v>
      </c>
      <c r="E25" s="128">
        <f>国民年金!F25</f>
        <v>25657.949555360847</v>
      </c>
      <c r="H25" s="30"/>
      <c r="J25" s="30"/>
      <c r="K25" s="30"/>
      <c r="L25" s="30"/>
      <c r="M25" s="30"/>
    </row>
    <row r="26" spans="1:13">
      <c r="A26" s="8">
        <f t="shared" si="4"/>
        <v>51</v>
      </c>
      <c r="B26" s="81">
        <f t="shared" si="5"/>
        <v>2039</v>
      </c>
      <c r="C26" s="97">
        <f>国民年金!K26</f>
        <v>44860.279460299556</v>
      </c>
      <c r="D26" s="97">
        <f>国民年金!C26</f>
        <v>15296.437815270008</v>
      </c>
      <c r="E26" s="128">
        <f>国民年金!F26</f>
        <v>26184.169376956579</v>
      </c>
      <c r="H26" s="30"/>
      <c r="J26" s="30"/>
      <c r="K26" s="30"/>
      <c r="L26" s="30"/>
      <c r="M26" s="30"/>
    </row>
    <row r="27" spans="1:13">
      <c r="A27" s="45">
        <f t="shared" si="4"/>
        <v>52</v>
      </c>
      <c r="B27" s="91">
        <f t="shared" si="5"/>
        <v>2040</v>
      </c>
      <c r="C27" s="100">
        <f>国民年金!K27</f>
        <v>45528.189963309378</v>
      </c>
      <c r="D27" s="100">
        <f>国民年金!C27</f>
        <v>15419.418281266533</v>
      </c>
      <c r="E27" s="129">
        <f>国民年金!F27</f>
        <v>26670.091942121839</v>
      </c>
      <c r="H27" s="30"/>
      <c r="J27" s="30"/>
      <c r="K27" s="30"/>
      <c r="L27" s="30"/>
      <c r="M27" s="30"/>
    </row>
  </sheetData>
  <phoneticPr fontId="1"/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Normal="100" zoomScaleSheetLayoutView="75" workbookViewId="0"/>
  </sheetViews>
  <sheetFormatPr defaultRowHeight="13.5" customHeight="1"/>
  <cols>
    <col min="1" max="1" width="5.375" style="15" customWidth="1"/>
    <col min="2" max="2" width="7.125" style="15" customWidth="1"/>
    <col min="3" max="4" width="9" style="15"/>
    <col min="5" max="5" width="6.5" style="15" customWidth="1"/>
    <col min="6" max="8" width="9" style="15"/>
    <col min="9" max="9" width="6.625" style="15" customWidth="1"/>
    <col min="10" max="10" width="2.375" style="15" customWidth="1"/>
    <col min="11" max="11" width="9.375" style="15" customWidth="1"/>
    <col min="12" max="12" width="10.375" style="15" bestFit="1" customWidth="1"/>
    <col min="13" max="13" width="9.375" style="15" bestFit="1" customWidth="1"/>
    <col min="14" max="14" width="7.25" style="15" customWidth="1"/>
    <col min="15" max="15" width="7.875" style="15" customWidth="1"/>
    <col min="16" max="16" width="9.25" style="15" bestFit="1" customWidth="1"/>
    <col min="17" max="234" width="9" style="15"/>
    <col min="235" max="235" width="6.375" style="15" customWidth="1"/>
    <col min="236" max="236" width="8.375" style="15" customWidth="1"/>
    <col min="237" max="237" width="12" style="15" customWidth="1"/>
    <col min="238" max="238" width="10.375" style="15" customWidth="1"/>
    <col min="239" max="239" width="10.5" style="15" customWidth="1"/>
    <col min="240" max="240" width="10.25" style="15" customWidth="1"/>
    <col min="241" max="241" width="10.125" style="15" customWidth="1"/>
    <col min="242" max="243" width="10.25" style="15" customWidth="1"/>
    <col min="244" max="244" width="10.125" style="15" customWidth="1"/>
    <col min="245" max="246" width="11.75" style="15" customWidth="1"/>
    <col min="247" max="247" width="7.875" style="15" customWidth="1"/>
    <col min="248" max="249" width="9" style="15"/>
    <col min="250" max="250" width="7.125" style="15" customWidth="1"/>
    <col min="251" max="256" width="2.375" style="15" customWidth="1"/>
    <col min="257" max="490" width="9" style="15"/>
    <col min="491" max="491" width="6.375" style="15" customWidth="1"/>
    <col min="492" max="492" width="8.375" style="15" customWidth="1"/>
    <col min="493" max="493" width="12" style="15" customWidth="1"/>
    <col min="494" max="494" width="10.375" style="15" customWidth="1"/>
    <col min="495" max="495" width="10.5" style="15" customWidth="1"/>
    <col min="496" max="496" width="10.25" style="15" customWidth="1"/>
    <col min="497" max="497" width="10.125" style="15" customWidth="1"/>
    <col min="498" max="499" width="10.25" style="15" customWidth="1"/>
    <col min="500" max="500" width="10.125" style="15" customWidth="1"/>
    <col min="501" max="502" width="11.75" style="15" customWidth="1"/>
    <col min="503" max="503" width="7.875" style="15" customWidth="1"/>
    <col min="504" max="505" width="9" style="15"/>
    <col min="506" max="506" width="7.125" style="15" customWidth="1"/>
    <col min="507" max="512" width="2.375" style="15" customWidth="1"/>
    <col min="513" max="746" width="9" style="15"/>
    <col min="747" max="747" width="6.375" style="15" customWidth="1"/>
    <col min="748" max="748" width="8.375" style="15" customWidth="1"/>
    <col min="749" max="749" width="12" style="15" customWidth="1"/>
    <col min="750" max="750" width="10.375" style="15" customWidth="1"/>
    <col min="751" max="751" width="10.5" style="15" customWidth="1"/>
    <col min="752" max="752" width="10.25" style="15" customWidth="1"/>
    <col min="753" max="753" width="10.125" style="15" customWidth="1"/>
    <col min="754" max="755" width="10.25" style="15" customWidth="1"/>
    <col min="756" max="756" width="10.125" style="15" customWidth="1"/>
    <col min="757" max="758" width="11.75" style="15" customWidth="1"/>
    <col min="759" max="759" width="7.875" style="15" customWidth="1"/>
    <col min="760" max="761" width="9" style="15"/>
    <col min="762" max="762" width="7.125" style="15" customWidth="1"/>
    <col min="763" max="768" width="2.375" style="15" customWidth="1"/>
    <col min="769" max="1002" width="9" style="15"/>
    <col min="1003" max="1003" width="6.375" style="15" customWidth="1"/>
    <col min="1004" max="1004" width="8.375" style="15" customWidth="1"/>
    <col min="1005" max="1005" width="12" style="15" customWidth="1"/>
    <col min="1006" max="1006" width="10.375" style="15" customWidth="1"/>
    <col min="1007" max="1007" width="10.5" style="15" customWidth="1"/>
    <col min="1008" max="1008" width="10.25" style="15" customWidth="1"/>
    <col min="1009" max="1009" width="10.125" style="15" customWidth="1"/>
    <col min="1010" max="1011" width="10.25" style="15" customWidth="1"/>
    <col min="1012" max="1012" width="10.125" style="15" customWidth="1"/>
    <col min="1013" max="1014" width="11.75" style="15" customWidth="1"/>
    <col min="1015" max="1015" width="7.875" style="15" customWidth="1"/>
    <col min="1016" max="1017" width="9" style="15"/>
    <col min="1018" max="1018" width="7.125" style="15" customWidth="1"/>
    <col min="1019" max="1024" width="2.375" style="15" customWidth="1"/>
    <col min="1025" max="1258" width="9" style="15"/>
    <col min="1259" max="1259" width="6.375" style="15" customWidth="1"/>
    <col min="1260" max="1260" width="8.375" style="15" customWidth="1"/>
    <col min="1261" max="1261" width="12" style="15" customWidth="1"/>
    <col min="1262" max="1262" width="10.375" style="15" customWidth="1"/>
    <col min="1263" max="1263" width="10.5" style="15" customWidth="1"/>
    <col min="1264" max="1264" width="10.25" style="15" customWidth="1"/>
    <col min="1265" max="1265" width="10.125" style="15" customWidth="1"/>
    <col min="1266" max="1267" width="10.25" style="15" customWidth="1"/>
    <col min="1268" max="1268" width="10.125" style="15" customWidth="1"/>
    <col min="1269" max="1270" width="11.75" style="15" customWidth="1"/>
    <col min="1271" max="1271" width="7.875" style="15" customWidth="1"/>
    <col min="1272" max="1273" width="9" style="15"/>
    <col min="1274" max="1274" width="7.125" style="15" customWidth="1"/>
    <col min="1275" max="1280" width="2.375" style="15" customWidth="1"/>
    <col min="1281" max="1514" width="9" style="15"/>
    <col min="1515" max="1515" width="6.375" style="15" customWidth="1"/>
    <col min="1516" max="1516" width="8.375" style="15" customWidth="1"/>
    <col min="1517" max="1517" width="12" style="15" customWidth="1"/>
    <col min="1518" max="1518" width="10.375" style="15" customWidth="1"/>
    <col min="1519" max="1519" width="10.5" style="15" customWidth="1"/>
    <col min="1520" max="1520" width="10.25" style="15" customWidth="1"/>
    <col min="1521" max="1521" width="10.125" style="15" customWidth="1"/>
    <col min="1522" max="1523" width="10.25" style="15" customWidth="1"/>
    <col min="1524" max="1524" width="10.125" style="15" customWidth="1"/>
    <col min="1525" max="1526" width="11.75" style="15" customWidth="1"/>
    <col min="1527" max="1527" width="7.875" style="15" customWidth="1"/>
    <col min="1528" max="1529" width="9" style="15"/>
    <col min="1530" max="1530" width="7.125" style="15" customWidth="1"/>
    <col min="1531" max="1536" width="2.375" style="15" customWidth="1"/>
    <col min="1537" max="1770" width="9" style="15"/>
    <col min="1771" max="1771" width="6.375" style="15" customWidth="1"/>
    <col min="1772" max="1772" width="8.375" style="15" customWidth="1"/>
    <col min="1773" max="1773" width="12" style="15" customWidth="1"/>
    <col min="1774" max="1774" width="10.375" style="15" customWidth="1"/>
    <col min="1775" max="1775" width="10.5" style="15" customWidth="1"/>
    <col min="1776" max="1776" width="10.25" style="15" customWidth="1"/>
    <col min="1777" max="1777" width="10.125" style="15" customWidth="1"/>
    <col min="1778" max="1779" width="10.25" style="15" customWidth="1"/>
    <col min="1780" max="1780" width="10.125" style="15" customWidth="1"/>
    <col min="1781" max="1782" width="11.75" style="15" customWidth="1"/>
    <col min="1783" max="1783" width="7.875" style="15" customWidth="1"/>
    <col min="1784" max="1785" width="9" style="15"/>
    <col min="1786" max="1786" width="7.125" style="15" customWidth="1"/>
    <col min="1787" max="1792" width="2.375" style="15" customWidth="1"/>
    <col min="1793" max="2026" width="9" style="15"/>
    <col min="2027" max="2027" width="6.375" style="15" customWidth="1"/>
    <col min="2028" max="2028" width="8.375" style="15" customWidth="1"/>
    <col min="2029" max="2029" width="12" style="15" customWidth="1"/>
    <col min="2030" max="2030" width="10.375" style="15" customWidth="1"/>
    <col min="2031" max="2031" width="10.5" style="15" customWidth="1"/>
    <col min="2032" max="2032" width="10.25" style="15" customWidth="1"/>
    <col min="2033" max="2033" width="10.125" style="15" customWidth="1"/>
    <col min="2034" max="2035" width="10.25" style="15" customWidth="1"/>
    <col min="2036" max="2036" width="10.125" style="15" customWidth="1"/>
    <col min="2037" max="2038" width="11.75" style="15" customWidth="1"/>
    <col min="2039" max="2039" width="7.875" style="15" customWidth="1"/>
    <col min="2040" max="2041" width="9" style="15"/>
    <col min="2042" max="2042" width="7.125" style="15" customWidth="1"/>
    <col min="2043" max="2048" width="2.375" style="15" customWidth="1"/>
    <col min="2049" max="2282" width="9" style="15"/>
    <col min="2283" max="2283" width="6.375" style="15" customWidth="1"/>
    <col min="2284" max="2284" width="8.375" style="15" customWidth="1"/>
    <col min="2285" max="2285" width="12" style="15" customWidth="1"/>
    <col min="2286" max="2286" width="10.375" style="15" customWidth="1"/>
    <col min="2287" max="2287" width="10.5" style="15" customWidth="1"/>
    <col min="2288" max="2288" width="10.25" style="15" customWidth="1"/>
    <col min="2289" max="2289" width="10.125" style="15" customWidth="1"/>
    <col min="2290" max="2291" width="10.25" style="15" customWidth="1"/>
    <col min="2292" max="2292" width="10.125" style="15" customWidth="1"/>
    <col min="2293" max="2294" width="11.75" style="15" customWidth="1"/>
    <col min="2295" max="2295" width="7.875" style="15" customWidth="1"/>
    <col min="2296" max="2297" width="9" style="15"/>
    <col min="2298" max="2298" width="7.125" style="15" customWidth="1"/>
    <col min="2299" max="2304" width="2.375" style="15" customWidth="1"/>
    <col min="2305" max="2538" width="9" style="15"/>
    <col min="2539" max="2539" width="6.375" style="15" customWidth="1"/>
    <col min="2540" max="2540" width="8.375" style="15" customWidth="1"/>
    <col min="2541" max="2541" width="12" style="15" customWidth="1"/>
    <col min="2542" max="2542" width="10.375" style="15" customWidth="1"/>
    <col min="2543" max="2543" width="10.5" style="15" customWidth="1"/>
    <col min="2544" max="2544" width="10.25" style="15" customWidth="1"/>
    <col min="2545" max="2545" width="10.125" style="15" customWidth="1"/>
    <col min="2546" max="2547" width="10.25" style="15" customWidth="1"/>
    <col min="2548" max="2548" width="10.125" style="15" customWidth="1"/>
    <col min="2549" max="2550" width="11.75" style="15" customWidth="1"/>
    <col min="2551" max="2551" width="7.875" style="15" customWidth="1"/>
    <col min="2552" max="2553" width="9" style="15"/>
    <col min="2554" max="2554" width="7.125" style="15" customWidth="1"/>
    <col min="2555" max="2560" width="2.375" style="15" customWidth="1"/>
    <col min="2561" max="2794" width="9" style="15"/>
    <col min="2795" max="2795" width="6.375" style="15" customWidth="1"/>
    <col min="2796" max="2796" width="8.375" style="15" customWidth="1"/>
    <col min="2797" max="2797" width="12" style="15" customWidth="1"/>
    <col min="2798" max="2798" width="10.375" style="15" customWidth="1"/>
    <col min="2799" max="2799" width="10.5" style="15" customWidth="1"/>
    <col min="2800" max="2800" width="10.25" style="15" customWidth="1"/>
    <col min="2801" max="2801" width="10.125" style="15" customWidth="1"/>
    <col min="2802" max="2803" width="10.25" style="15" customWidth="1"/>
    <col min="2804" max="2804" width="10.125" style="15" customWidth="1"/>
    <col min="2805" max="2806" width="11.75" style="15" customWidth="1"/>
    <col min="2807" max="2807" width="7.875" style="15" customWidth="1"/>
    <col min="2808" max="2809" width="9" style="15"/>
    <col min="2810" max="2810" width="7.125" style="15" customWidth="1"/>
    <col min="2811" max="2816" width="2.375" style="15" customWidth="1"/>
    <col min="2817" max="3050" width="9" style="15"/>
    <col min="3051" max="3051" width="6.375" style="15" customWidth="1"/>
    <col min="3052" max="3052" width="8.375" style="15" customWidth="1"/>
    <col min="3053" max="3053" width="12" style="15" customWidth="1"/>
    <col min="3054" max="3054" width="10.375" style="15" customWidth="1"/>
    <col min="3055" max="3055" width="10.5" style="15" customWidth="1"/>
    <col min="3056" max="3056" width="10.25" style="15" customWidth="1"/>
    <col min="3057" max="3057" width="10.125" style="15" customWidth="1"/>
    <col min="3058" max="3059" width="10.25" style="15" customWidth="1"/>
    <col min="3060" max="3060" width="10.125" style="15" customWidth="1"/>
    <col min="3061" max="3062" width="11.75" style="15" customWidth="1"/>
    <col min="3063" max="3063" width="7.875" style="15" customWidth="1"/>
    <col min="3064" max="3065" width="9" style="15"/>
    <col min="3066" max="3066" width="7.125" style="15" customWidth="1"/>
    <col min="3067" max="3072" width="2.375" style="15" customWidth="1"/>
    <col min="3073" max="3306" width="9" style="15"/>
    <col min="3307" max="3307" width="6.375" style="15" customWidth="1"/>
    <col min="3308" max="3308" width="8.375" style="15" customWidth="1"/>
    <col min="3309" max="3309" width="12" style="15" customWidth="1"/>
    <col min="3310" max="3310" width="10.375" style="15" customWidth="1"/>
    <col min="3311" max="3311" width="10.5" style="15" customWidth="1"/>
    <col min="3312" max="3312" width="10.25" style="15" customWidth="1"/>
    <col min="3313" max="3313" width="10.125" style="15" customWidth="1"/>
    <col min="3314" max="3315" width="10.25" style="15" customWidth="1"/>
    <col min="3316" max="3316" width="10.125" style="15" customWidth="1"/>
    <col min="3317" max="3318" width="11.75" style="15" customWidth="1"/>
    <col min="3319" max="3319" width="7.875" style="15" customWidth="1"/>
    <col min="3320" max="3321" width="9" style="15"/>
    <col min="3322" max="3322" width="7.125" style="15" customWidth="1"/>
    <col min="3323" max="3328" width="2.375" style="15" customWidth="1"/>
    <col min="3329" max="3562" width="9" style="15"/>
    <col min="3563" max="3563" width="6.375" style="15" customWidth="1"/>
    <col min="3564" max="3564" width="8.375" style="15" customWidth="1"/>
    <col min="3565" max="3565" width="12" style="15" customWidth="1"/>
    <col min="3566" max="3566" width="10.375" style="15" customWidth="1"/>
    <col min="3567" max="3567" width="10.5" style="15" customWidth="1"/>
    <col min="3568" max="3568" width="10.25" style="15" customWidth="1"/>
    <col min="3569" max="3569" width="10.125" style="15" customWidth="1"/>
    <col min="3570" max="3571" width="10.25" style="15" customWidth="1"/>
    <col min="3572" max="3572" width="10.125" style="15" customWidth="1"/>
    <col min="3573" max="3574" width="11.75" style="15" customWidth="1"/>
    <col min="3575" max="3575" width="7.875" style="15" customWidth="1"/>
    <col min="3576" max="3577" width="9" style="15"/>
    <col min="3578" max="3578" width="7.125" style="15" customWidth="1"/>
    <col min="3579" max="3584" width="2.375" style="15" customWidth="1"/>
    <col min="3585" max="3818" width="9" style="15"/>
    <col min="3819" max="3819" width="6.375" style="15" customWidth="1"/>
    <col min="3820" max="3820" width="8.375" style="15" customWidth="1"/>
    <col min="3821" max="3821" width="12" style="15" customWidth="1"/>
    <col min="3822" max="3822" width="10.375" style="15" customWidth="1"/>
    <col min="3823" max="3823" width="10.5" style="15" customWidth="1"/>
    <col min="3824" max="3824" width="10.25" style="15" customWidth="1"/>
    <col min="3825" max="3825" width="10.125" style="15" customWidth="1"/>
    <col min="3826" max="3827" width="10.25" style="15" customWidth="1"/>
    <col min="3828" max="3828" width="10.125" style="15" customWidth="1"/>
    <col min="3829" max="3830" width="11.75" style="15" customWidth="1"/>
    <col min="3831" max="3831" width="7.875" style="15" customWidth="1"/>
    <col min="3832" max="3833" width="9" style="15"/>
    <col min="3834" max="3834" width="7.125" style="15" customWidth="1"/>
    <col min="3835" max="3840" width="2.375" style="15" customWidth="1"/>
    <col min="3841" max="4074" width="9" style="15"/>
    <col min="4075" max="4075" width="6.375" style="15" customWidth="1"/>
    <col min="4076" max="4076" width="8.375" style="15" customWidth="1"/>
    <col min="4077" max="4077" width="12" style="15" customWidth="1"/>
    <col min="4078" max="4078" width="10.375" style="15" customWidth="1"/>
    <col min="4079" max="4079" width="10.5" style="15" customWidth="1"/>
    <col min="4080" max="4080" width="10.25" style="15" customWidth="1"/>
    <col min="4081" max="4081" width="10.125" style="15" customWidth="1"/>
    <col min="4082" max="4083" width="10.25" style="15" customWidth="1"/>
    <col min="4084" max="4084" width="10.125" style="15" customWidth="1"/>
    <col min="4085" max="4086" width="11.75" style="15" customWidth="1"/>
    <col min="4087" max="4087" width="7.875" style="15" customWidth="1"/>
    <col min="4088" max="4089" width="9" style="15"/>
    <col min="4090" max="4090" width="7.125" style="15" customWidth="1"/>
    <col min="4091" max="4096" width="2.375" style="15" customWidth="1"/>
    <col min="4097" max="4330" width="9" style="15"/>
    <col min="4331" max="4331" width="6.375" style="15" customWidth="1"/>
    <col min="4332" max="4332" width="8.375" style="15" customWidth="1"/>
    <col min="4333" max="4333" width="12" style="15" customWidth="1"/>
    <col min="4334" max="4334" width="10.375" style="15" customWidth="1"/>
    <col min="4335" max="4335" width="10.5" style="15" customWidth="1"/>
    <col min="4336" max="4336" width="10.25" style="15" customWidth="1"/>
    <col min="4337" max="4337" width="10.125" style="15" customWidth="1"/>
    <col min="4338" max="4339" width="10.25" style="15" customWidth="1"/>
    <col min="4340" max="4340" width="10.125" style="15" customWidth="1"/>
    <col min="4341" max="4342" width="11.75" style="15" customWidth="1"/>
    <col min="4343" max="4343" width="7.875" style="15" customWidth="1"/>
    <col min="4344" max="4345" width="9" style="15"/>
    <col min="4346" max="4346" width="7.125" style="15" customWidth="1"/>
    <col min="4347" max="4352" width="2.375" style="15" customWidth="1"/>
    <col min="4353" max="4586" width="9" style="15"/>
    <col min="4587" max="4587" width="6.375" style="15" customWidth="1"/>
    <col min="4588" max="4588" width="8.375" style="15" customWidth="1"/>
    <col min="4589" max="4589" width="12" style="15" customWidth="1"/>
    <col min="4590" max="4590" width="10.375" style="15" customWidth="1"/>
    <col min="4591" max="4591" width="10.5" style="15" customWidth="1"/>
    <col min="4592" max="4592" width="10.25" style="15" customWidth="1"/>
    <col min="4593" max="4593" width="10.125" style="15" customWidth="1"/>
    <col min="4594" max="4595" width="10.25" style="15" customWidth="1"/>
    <col min="4596" max="4596" width="10.125" style="15" customWidth="1"/>
    <col min="4597" max="4598" width="11.75" style="15" customWidth="1"/>
    <col min="4599" max="4599" width="7.875" style="15" customWidth="1"/>
    <col min="4600" max="4601" width="9" style="15"/>
    <col min="4602" max="4602" width="7.125" style="15" customWidth="1"/>
    <col min="4603" max="4608" width="2.375" style="15" customWidth="1"/>
    <col min="4609" max="4842" width="9" style="15"/>
    <col min="4843" max="4843" width="6.375" style="15" customWidth="1"/>
    <col min="4844" max="4844" width="8.375" style="15" customWidth="1"/>
    <col min="4845" max="4845" width="12" style="15" customWidth="1"/>
    <col min="4846" max="4846" width="10.375" style="15" customWidth="1"/>
    <col min="4847" max="4847" width="10.5" style="15" customWidth="1"/>
    <col min="4848" max="4848" width="10.25" style="15" customWidth="1"/>
    <col min="4849" max="4849" width="10.125" style="15" customWidth="1"/>
    <col min="4850" max="4851" width="10.25" style="15" customWidth="1"/>
    <col min="4852" max="4852" width="10.125" style="15" customWidth="1"/>
    <col min="4853" max="4854" width="11.75" style="15" customWidth="1"/>
    <col min="4855" max="4855" width="7.875" style="15" customWidth="1"/>
    <col min="4856" max="4857" width="9" style="15"/>
    <col min="4858" max="4858" width="7.125" style="15" customWidth="1"/>
    <col min="4859" max="4864" width="2.375" style="15" customWidth="1"/>
    <col min="4865" max="5098" width="9" style="15"/>
    <col min="5099" max="5099" width="6.375" style="15" customWidth="1"/>
    <col min="5100" max="5100" width="8.375" style="15" customWidth="1"/>
    <col min="5101" max="5101" width="12" style="15" customWidth="1"/>
    <col min="5102" max="5102" width="10.375" style="15" customWidth="1"/>
    <col min="5103" max="5103" width="10.5" style="15" customWidth="1"/>
    <col min="5104" max="5104" width="10.25" style="15" customWidth="1"/>
    <col min="5105" max="5105" width="10.125" style="15" customWidth="1"/>
    <col min="5106" max="5107" width="10.25" style="15" customWidth="1"/>
    <col min="5108" max="5108" width="10.125" style="15" customWidth="1"/>
    <col min="5109" max="5110" width="11.75" style="15" customWidth="1"/>
    <col min="5111" max="5111" width="7.875" style="15" customWidth="1"/>
    <col min="5112" max="5113" width="9" style="15"/>
    <col min="5114" max="5114" width="7.125" style="15" customWidth="1"/>
    <col min="5115" max="5120" width="2.375" style="15" customWidth="1"/>
    <col min="5121" max="5354" width="9" style="15"/>
    <col min="5355" max="5355" width="6.375" style="15" customWidth="1"/>
    <col min="5356" max="5356" width="8.375" style="15" customWidth="1"/>
    <col min="5357" max="5357" width="12" style="15" customWidth="1"/>
    <col min="5358" max="5358" width="10.375" style="15" customWidth="1"/>
    <col min="5359" max="5359" width="10.5" style="15" customWidth="1"/>
    <col min="5360" max="5360" width="10.25" style="15" customWidth="1"/>
    <col min="5361" max="5361" width="10.125" style="15" customWidth="1"/>
    <col min="5362" max="5363" width="10.25" style="15" customWidth="1"/>
    <col min="5364" max="5364" width="10.125" style="15" customWidth="1"/>
    <col min="5365" max="5366" width="11.75" style="15" customWidth="1"/>
    <col min="5367" max="5367" width="7.875" style="15" customWidth="1"/>
    <col min="5368" max="5369" width="9" style="15"/>
    <col min="5370" max="5370" width="7.125" style="15" customWidth="1"/>
    <col min="5371" max="5376" width="2.375" style="15" customWidth="1"/>
    <col min="5377" max="5610" width="9" style="15"/>
    <col min="5611" max="5611" width="6.375" style="15" customWidth="1"/>
    <col min="5612" max="5612" width="8.375" style="15" customWidth="1"/>
    <col min="5613" max="5613" width="12" style="15" customWidth="1"/>
    <col min="5614" max="5614" width="10.375" style="15" customWidth="1"/>
    <col min="5615" max="5615" width="10.5" style="15" customWidth="1"/>
    <col min="5616" max="5616" width="10.25" style="15" customWidth="1"/>
    <col min="5617" max="5617" width="10.125" style="15" customWidth="1"/>
    <col min="5618" max="5619" width="10.25" style="15" customWidth="1"/>
    <col min="5620" max="5620" width="10.125" style="15" customWidth="1"/>
    <col min="5621" max="5622" width="11.75" style="15" customWidth="1"/>
    <col min="5623" max="5623" width="7.875" style="15" customWidth="1"/>
    <col min="5624" max="5625" width="9" style="15"/>
    <col min="5626" max="5626" width="7.125" style="15" customWidth="1"/>
    <col min="5627" max="5632" width="2.375" style="15" customWidth="1"/>
    <col min="5633" max="5866" width="9" style="15"/>
    <col min="5867" max="5867" width="6.375" style="15" customWidth="1"/>
    <col min="5868" max="5868" width="8.375" style="15" customWidth="1"/>
    <col min="5869" max="5869" width="12" style="15" customWidth="1"/>
    <col min="5870" max="5870" width="10.375" style="15" customWidth="1"/>
    <col min="5871" max="5871" width="10.5" style="15" customWidth="1"/>
    <col min="5872" max="5872" width="10.25" style="15" customWidth="1"/>
    <col min="5873" max="5873" width="10.125" style="15" customWidth="1"/>
    <col min="5874" max="5875" width="10.25" style="15" customWidth="1"/>
    <col min="5876" max="5876" width="10.125" style="15" customWidth="1"/>
    <col min="5877" max="5878" width="11.75" style="15" customWidth="1"/>
    <col min="5879" max="5879" width="7.875" style="15" customWidth="1"/>
    <col min="5880" max="5881" width="9" style="15"/>
    <col min="5882" max="5882" width="7.125" style="15" customWidth="1"/>
    <col min="5883" max="5888" width="2.375" style="15" customWidth="1"/>
    <col min="5889" max="6122" width="9" style="15"/>
    <col min="6123" max="6123" width="6.375" style="15" customWidth="1"/>
    <col min="6124" max="6124" width="8.375" style="15" customWidth="1"/>
    <col min="6125" max="6125" width="12" style="15" customWidth="1"/>
    <col min="6126" max="6126" width="10.375" style="15" customWidth="1"/>
    <col min="6127" max="6127" width="10.5" style="15" customWidth="1"/>
    <col min="6128" max="6128" width="10.25" style="15" customWidth="1"/>
    <col min="6129" max="6129" width="10.125" style="15" customWidth="1"/>
    <col min="6130" max="6131" width="10.25" style="15" customWidth="1"/>
    <col min="6132" max="6132" width="10.125" style="15" customWidth="1"/>
    <col min="6133" max="6134" width="11.75" style="15" customWidth="1"/>
    <col min="6135" max="6135" width="7.875" style="15" customWidth="1"/>
    <col min="6136" max="6137" width="9" style="15"/>
    <col min="6138" max="6138" width="7.125" style="15" customWidth="1"/>
    <col min="6139" max="6144" width="2.375" style="15" customWidth="1"/>
    <col min="6145" max="6378" width="9" style="15"/>
    <col min="6379" max="6379" width="6.375" style="15" customWidth="1"/>
    <col min="6380" max="6380" width="8.375" style="15" customWidth="1"/>
    <col min="6381" max="6381" width="12" style="15" customWidth="1"/>
    <col min="6382" max="6382" width="10.375" style="15" customWidth="1"/>
    <col min="6383" max="6383" width="10.5" style="15" customWidth="1"/>
    <col min="6384" max="6384" width="10.25" style="15" customWidth="1"/>
    <col min="6385" max="6385" width="10.125" style="15" customWidth="1"/>
    <col min="6386" max="6387" width="10.25" style="15" customWidth="1"/>
    <col min="6388" max="6388" width="10.125" style="15" customWidth="1"/>
    <col min="6389" max="6390" width="11.75" style="15" customWidth="1"/>
    <col min="6391" max="6391" width="7.875" style="15" customWidth="1"/>
    <col min="6392" max="6393" width="9" style="15"/>
    <col min="6394" max="6394" width="7.125" style="15" customWidth="1"/>
    <col min="6395" max="6400" width="2.375" style="15" customWidth="1"/>
    <col min="6401" max="6634" width="9" style="15"/>
    <col min="6635" max="6635" width="6.375" style="15" customWidth="1"/>
    <col min="6636" max="6636" width="8.375" style="15" customWidth="1"/>
    <col min="6637" max="6637" width="12" style="15" customWidth="1"/>
    <col min="6638" max="6638" width="10.375" style="15" customWidth="1"/>
    <col min="6639" max="6639" width="10.5" style="15" customWidth="1"/>
    <col min="6640" max="6640" width="10.25" style="15" customWidth="1"/>
    <col min="6641" max="6641" width="10.125" style="15" customWidth="1"/>
    <col min="6642" max="6643" width="10.25" style="15" customWidth="1"/>
    <col min="6644" max="6644" width="10.125" style="15" customWidth="1"/>
    <col min="6645" max="6646" width="11.75" style="15" customWidth="1"/>
    <col min="6647" max="6647" width="7.875" style="15" customWidth="1"/>
    <col min="6648" max="6649" width="9" style="15"/>
    <col min="6650" max="6650" width="7.125" style="15" customWidth="1"/>
    <col min="6651" max="6656" width="2.375" style="15" customWidth="1"/>
    <col min="6657" max="6890" width="9" style="15"/>
    <col min="6891" max="6891" width="6.375" style="15" customWidth="1"/>
    <col min="6892" max="6892" width="8.375" style="15" customWidth="1"/>
    <col min="6893" max="6893" width="12" style="15" customWidth="1"/>
    <col min="6894" max="6894" width="10.375" style="15" customWidth="1"/>
    <col min="6895" max="6895" width="10.5" style="15" customWidth="1"/>
    <col min="6896" max="6896" width="10.25" style="15" customWidth="1"/>
    <col min="6897" max="6897" width="10.125" style="15" customWidth="1"/>
    <col min="6898" max="6899" width="10.25" style="15" customWidth="1"/>
    <col min="6900" max="6900" width="10.125" style="15" customWidth="1"/>
    <col min="6901" max="6902" width="11.75" style="15" customWidth="1"/>
    <col min="6903" max="6903" width="7.875" style="15" customWidth="1"/>
    <col min="6904" max="6905" width="9" style="15"/>
    <col min="6906" max="6906" width="7.125" style="15" customWidth="1"/>
    <col min="6907" max="6912" width="2.375" style="15" customWidth="1"/>
    <col min="6913" max="7146" width="9" style="15"/>
    <col min="7147" max="7147" width="6.375" style="15" customWidth="1"/>
    <col min="7148" max="7148" width="8.375" style="15" customWidth="1"/>
    <col min="7149" max="7149" width="12" style="15" customWidth="1"/>
    <col min="7150" max="7150" width="10.375" style="15" customWidth="1"/>
    <col min="7151" max="7151" width="10.5" style="15" customWidth="1"/>
    <col min="7152" max="7152" width="10.25" style="15" customWidth="1"/>
    <col min="7153" max="7153" width="10.125" style="15" customWidth="1"/>
    <col min="7154" max="7155" width="10.25" style="15" customWidth="1"/>
    <col min="7156" max="7156" width="10.125" style="15" customWidth="1"/>
    <col min="7157" max="7158" width="11.75" style="15" customWidth="1"/>
    <col min="7159" max="7159" width="7.875" style="15" customWidth="1"/>
    <col min="7160" max="7161" width="9" style="15"/>
    <col min="7162" max="7162" width="7.125" style="15" customWidth="1"/>
    <col min="7163" max="7168" width="2.375" style="15" customWidth="1"/>
    <col min="7169" max="7402" width="9" style="15"/>
    <col min="7403" max="7403" width="6.375" style="15" customWidth="1"/>
    <col min="7404" max="7404" width="8.375" style="15" customWidth="1"/>
    <col min="7405" max="7405" width="12" style="15" customWidth="1"/>
    <col min="7406" max="7406" width="10.375" style="15" customWidth="1"/>
    <col min="7407" max="7407" width="10.5" style="15" customWidth="1"/>
    <col min="7408" max="7408" width="10.25" style="15" customWidth="1"/>
    <col min="7409" max="7409" width="10.125" style="15" customWidth="1"/>
    <col min="7410" max="7411" width="10.25" style="15" customWidth="1"/>
    <col min="7412" max="7412" width="10.125" style="15" customWidth="1"/>
    <col min="7413" max="7414" width="11.75" style="15" customWidth="1"/>
    <col min="7415" max="7415" width="7.875" style="15" customWidth="1"/>
    <col min="7416" max="7417" width="9" style="15"/>
    <col min="7418" max="7418" width="7.125" style="15" customWidth="1"/>
    <col min="7419" max="7424" width="2.375" style="15" customWidth="1"/>
    <col min="7425" max="7658" width="9" style="15"/>
    <col min="7659" max="7659" width="6.375" style="15" customWidth="1"/>
    <col min="7660" max="7660" width="8.375" style="15" customWidth="1"/>
    <col min="7661" max="7661" width="12" style="15" customWidth="1"/>
    <col min="7662" max="7662" width="10.375" style="15" customWidth="1"/>
    <col min="7663" max="7663" width="10.5" style="15" customWidth="1"/>
    <col min="7664" max="7664" width="10.25" style="15" customWidth="1"/>
    <col min="7665" max="7665" width="10.125" style="15" customWidth="1"/>
    <col min="7666" max="7667" width="10.25" style="15" customWidth="1"/>
    <col min="7668" max="7668" width="10.125" style="15" customWidth="1"/>
    <col min="7669" max="7670" width="11.75" style="15" customWidth="1"/>
    <col min="7671" max="7671" width="7.875" style="15" customWidth="1"/>
    <col min="7672" max="7673" width="9" style="15"/>
    <col min="7674" max="7674" width="7.125" style="15" customWidth="1"/>
    <col min="7675" max="7680" width="2.375" style="15" customWidth="1"/>
    <col min="7681" max="7914" width="9" style="15"/>
    <col min="7915" max="7915" width="6.375" style="15" customWidth="1"/>
    <col min="7916" max="7916" width="8.375" style="15" customWidth="1"/>
    <col min="7917" max="7917" width="12" style="15" customWidth="1"/>
    <col min="7918" max="7918" width="10.375" style="15" customWidth="1"/>
    <col min="7919" max="7919" width="10.5" style="15" customWidth="1"/>
    <col min="7920" max="7920" width="10.25" style="15" customWidth="1"/>
    <col min="7921" max="7921" width="10.125" style="15" customWidth="1"/>
    <col min="7922" max="7923" width="10.25" style="15" customWidth="1"/>
    <col min="7924" max="7924" width="10.125" style="15" customWidth="1"/>
    <col min="7925" max="7926" width="11.75" style="15" customWidth="1"/>
    <col min="7927" max="7927" width="7.875" style="15" customWidth="1"/>
    <col min="7928" max="7929" width="9" style="15"/>
    <col min="7930" max="7930" width="7.125" style="15" customWidth="1"/>
    <col min="7931" max="7936" width="2.375" style="15" customWidth="1"/>
    <col min="7937" max="8170" width="9" style="15"/>
    <col min="8171" max="8171" width="6.375" style="15" customWidth="1"/>
    <col min="8172" max="8172" width="8.375" style="15" customWidth="1"/>
    <col min="8173" max="8173" width="12" style="15" customWidth="1"/>
    <col min="8174" max="8174" width="10.375" style="15" customWidth="1"/>
    <col min="8175" max="8175" width="10.5" style="15" customWidth="1"/>
    <col min="8176" max="8176" width="10.25" style="15" customWidth="1"/>
    <col min="8177" max="8177" width="10.125" style="15" customWidth="1"/>
    <col min="8178" max="8179" width="10.25" style="15" customWidth="1"/>
    <col min="8180" max="8180" width="10.125" style="15" customWidth="1"/>
    <col min="8181" max="8182" width="11.75" style="15" customWidth="1"/>
    <col min="8183" max="8183" width="7.875" style="15" customWidth="1"/>
    <col min="8184" max="8185" width="9" style="15"/>
    <col min="8186" max="8186" width="7.125" style="15" customWidth="1"/>
    <col min="8187" max="8192" width="2.375" style="15" customWidth="1"/>
    <col min="8193" max="8426" width="9" style="15"/>
    <col min="8427" max="8427" width="6.375" style="15" customWidth="1"/>
    <col min="8428" max="8428" width="8.375" style="15" customWidth="1"/>
    <col min="8429" max="8429" width="12" style="15" customWidth="1"/>
    <col min="8430" max="8430" width="10.375" style="15" customWidth="1"/>
    <col min="8431" max="8431" width="10.5" style="15" customWidth="1"/>
    <col min="8432" max="8432" width="10.25" style="15" customWidth="1"/>
    <col min="8433" max="8433" width="10.125" style="15" customWidth="1"/>
    <col min="8434" max="8435" width="10.25" style="15" customWidth="1"/>
    <col min="8436" max="8436" width="10.125" style="15" customWidth="1"/>
    <col min="8437" max="8438" width="11.75" style="15" customWidth="1"/>
    <col min="8439" max="8439" width="7.875" style="15" customWidth="1"/>
    <col min="8440" max="8441" width="9" style="15"/>
    <col min="8442" max="8442" width="7.125" style="15" customWidth="1"/>
    <col min="8443" max="8448" width="2.375" style="15" customWidth="1"/>
    <col min="8449" max="8682" width="9" style="15"/>
    <col min="8683" max="8683" width="6.375" style="15" customWidth="1"/>
    <col min="8684" max="8684" width="8.375" style="15" customWidth="1"/>
    <col min="8685" max="8685" width="12" style="15" customWidth="1"/>
    <col min="8686" max="8686" width="10.375" style="15" customWidth="1"/>
    <col min="8687" max="8687" width="10.5" style="15" customWidth="1"/>
    <col min="8688" max="8688" width="10.25" style="15" customWidth="1"/>
    <col min="8689" max="8689" width="10.125" style="15" customWidth="1"/>
    <col min="8690" max="8691" width="10.25" style="15" customWidth="1"/>
    <col min="8692" max="8692" width="10.125" style="15" customWidth="1"/>
    <col min="8693" max="8694" width="11.75" style="15" customWidth="1"/>
    <col min="8695" max="8695" width="7.875" style="15" customWidth="1"/>
    <col min="8696" max="8697" width="9" style="15"/>
    <col min="8698" max="8698" width="7.125" style="15" customWidth="1"/>
    <col min="8699" max="8704" width="2.375" style="15" customWidth="1"/>
    <col min="8705" max="8938" width="9" style="15"/>
    <col min="8939" max="8939" width="6.375" style="15" customWidth="1"/>
    <col min="8940" max="8940" width="8.375" style="15" customWidth="1"/>
    <col min="8941" max="8941" width="12" style="15" customWidth="1"/>
    <col min="8942" max="8942" width="10.375" style="15" customWidth="1"/>
    <col min="8943" max="8943" width="10.5" style="15" customWidth="1"/>
    <col min="8944" max="8944" width="10.25" style="15" customWidth="1"/>
    <col min="8945" max="8945" width="10.125" style="15" customWidth="1"/>
    <col min="8946" max="8947" width="10.25" style="15" customWidth="1"/>
    <col min="8948" max="8948" width="10.125" style="15" customWidth="1"/>
    <col min="8949" max="8950" width="11.75" style="15" customWidth="1"/>
    <col min="8951" max="8951" width="7.875" style="15" customWidth="1"/>
    <col min="8952" max="8953" width="9" style="15"/>
    <col min="8954" max="8954" width="7.125" style="15" customWidth="1"/>
    <col min="8955" max="8960" width="2.375" style="15" customWidth="1"/>
    <col min="8961" max="9194" width="9" style="15"/>
    <col min="9195" max="9195" width="6.375" style="15" customWidth="1"/>
    <col min="9196" max="9196" width="8.375" style="15" customWidth="1"/>
    <col min="9197" max="9197" width="12" style="15" customWidth="1"/>
    <col min="9198" max="9198" width="10.375" style="15" customWidth="1"/>
    <col min="9199" max="9199" width="10.5" style="15" customWidth="1"/>
    <col min="9200" max="9200" width="10.25" style="15" customWidth="1"/>
    <col min="9201" max="9201" width="10.125" style="15" customWidth="1"/>
    <col min="9202" max="9203" width="10.25" style="15" customWidth="1"/>
    <col min="9204" max="9204" width="10.125" style="15" customWidth="1"/>
    <col min="9205" max="9206" width="11.75" style="15" customWidth="1"/>
    <col min="9207" max="9207" width="7.875" style="15" customWidth="1"/>
    <col min="9208" max="9209" width="9" style="15"/>
    <col min="9210" max="9210" width="7.125" style="15" customWidth="1"/>
    <col min="9211" max="9216" width="2.375" style="15" customWidth="1"/>
    <col min="9217" max="9450" width="9" style="15"/>
    <col min="9451" max="9451" width="6.375" style="15" customWidth="1"/>
    <col min="9452" max="9452" width="8.375" style="15" customWidth="1"/>
    <col min="9453" max="9453" width="12" style="15" customWidth="1"/>
    <col min="9454" max="9454" width="10.375" style="15" customWidth="1"/>
    <col min="9455" max="9455" width="10.5" style="15" customWidth="1"/>
    <col min="9456" max="9456" width="10.25" style="15" customWidth="1"/>
    <col min="9457" max="9457" width="10.125" style="15" customWidth="1"/>
    <col min="9458" max="9459" width="10.25" style="15" customWidth="1"/>
    <col min="9460" max="9460" width="10.125" style="15" customWidth="1"/>
    <col min="9461" max="9462" width="11.75" style="15" customWidth="1"/>
    <col min="9463" max="9463" width="7.875" style="15" customWidth="1"/>
    <col min="9464" max="9465" width="9" style="15"/>
    <col min="9466" max="9466" width="7.125" style="15" customWidth="1"/>
    <col min="9467" max="9472" width="2.375" style="15" customWidth="1"/>
    <col min="9473" max="9706" width="9" style="15"/>
    <col min="9707" max="9707" width="6.375" style="15" customWidth="1"/>
    <col min="9708" max="9708" width="8.375" style="15" customWidth="1"/>
    <col min="9709" max="9709" width="12" style="15" customWidth="1"/>
    <col min="9710" max="9710" width="10.375" style="15" customWidth="1"/>
    <col min="9711" max="9711" width="10.5" style="15" customWidth="1"/>
    <col min="9712" max="9712" width="10.25" style="15" customWidth="1"/>
    <col min="9713" max="9713" width="10.125" style="15" customWidth="1"/>
    <col min="9714" max="9715" width="10.25" style="15" customWidth="1"/>
    <col min="9716" max="9716" width="10.125" style="15" customWidth="1"/>
    <col min="9717" max="9718" width="11.75" style="15" customWidth="1"/>
    <col min="9719" max="9719" width="7.875" style="15" customWidth="1"/>
    <col min="9720" max="9721" width="9" style="15"/>
    <col min="9722" max="9722" width="7.125" style="15" customWidth="1"/>
    <col min="9723" max="9728" width="2.375" style="15" customWidth="1"/>
    <col min="9729" max="9962" width="9" style="15"/>
    <col min="9963" max="9963" width="6.375" style="15" customWidth="1"/>
    <col min="9964" max="9964" width="8.375" style="15" customWidth="1"/>
    <col min="9965" max="9965" width="12" style="15" customWidth="1"/>
    <col min="9966" max="9966" width="10.375" style="15" customWidth="1"/>
    <col min="9967" max="9967" width="10.5" style="15" customWidth="1"/>
    <col min="9968" max="9968" width="10.25" style="15" customWidth="1"/>
    <col min="9969" max="9969" width="10.125" style="15" customWidth="1"/>
    <col min="9970" max="9971" width="10.25" style="15" customWidth="1"/>
    <col min="9972" max="9972" width="10.125" style="15" customWidth="1"/>
    <col min="9973" max="9974" width="11.75" style="15" customWidth="1"/>
    <col min="9975" max="9975" width="7.875" style="15" customWidth="1"/>
    <col min="9976" max="9977" width="9" style="15"/>
    <col min="9978" max="9978" width="7.125" style="15" customWidth="1"/>
    <col min="9979" max="9984" width="2.375" style="15" customWidth="1"/>
    <col min="9985" max="10218" width="9" style="15"/>
    <col min="10219" max="10219" width="6.375" style="15" customWidth="1"/>
    <col min="10220" max="10220" width="8.375" style="15" customWidth="1"/>
    <col min="10221" max="10221" width="12" style="15" customWidth="1"/>
    <col min="10222" max="10222" width="10.375" style="15" customWidth="1"/>
    <col min="10223" max="10223" width="10.5" style="15" customWidth="1"/>
    <col min="10224" max="10224" width="10.25" style="15" customWidth="1"/>
    <col min="10225" max="10225" width="10.125" style="15" customWidth="1"/>
    <col min="10226" max="10227" width="10.25" style="15" customWidth="1"/>
    <col min="10228" max="10228" width="10.125" style="15" customWidth="1"/>
    <col min="10229" max="10230" width="11.75" style="15" customWidth="1"/>
    <col min="10231" max="10231" width="7.875" style="15" customWidth="1"/>
    <col min="10232" max="10233" width="9" style="15"/>
    <col min="10234" max="10234" width="7.125" style="15" customWidth="1"/>
    <col min="10235" max="10240" width="2.375" style="15" customWidth="1"/>
    <col min="10241" max="10474" width="9" style="15"/>
    <col min="10475" max="10475" width="6.375" style="15" customWidth="1"/>
    <col min="10476" max="10476" width="8.375" style="15" customWidth="1"/>
    <col min="10477" max="10477" width="12" style="15" customWidth="1"/>
    <col min="10478" max="10478" width="10.375" style="15" customWidth="1"/>
    <col min="10479" max="10479" width="10.5" style="15" customWidth="1"/>
    <col min="10480" max="10480" width="10.25" style="15" customWidth="1"/>
    <col min="10481" max="10481" width="10.125" style="15" customWidth="1"/>
    <col min="10482" max="10483" width="10.25" style="15" customWidth="1"/>
    <col min="10484" max="10484" width="10.125" style="15" customWidth="1"/>
    <col min="10485" max="10486" width="11.75" style="15" customWidth="1"/>
    <col min="10487" max="10487" width="7.875" style="15" customWidth="1"/>
    <col min="10488" max="10489" width="9" style="15"/>
    <col min="10490" max="10490" width="7.125" style="15" customWidth="1"/>
    <col min="10491" max="10496" width="2.375" style="15" customWidth="1"/>
    <col min="10497" max="10730" width="9" style="15"/>
    <col min="10731" max="10731" width="6.375" style="15" customWidth="1"/>
    <col min="10732" max="10732" width="8.375" style="15" customWidth="1"/>
    <col min="10733" max="10733" width="12" style="15" customWidth="1"/>
    <col min="10734" max="10734" width="10.375" style="15" customWidth="1"/>
    <col min="10735" max="10735" width="10.5" style="15" customWidth="1"/>
    <col min="10736" max="10736" width="10.25" style="15" customWidth="1"/>
    <col min="10737" max="10737" width="10.125" style="15" customWidth="1"/>
    <col min="10738" max="10739" width="10.25" style="15" customWidth="1"/>
    <col min="10740" max="10740" width="10.125" style="15" customWidth="1"/>
    <col min="10741" max="10742" width="11.75" style="15" customWidth="1"/>
    <col min="10743" max="10743" width="7.875" style="15" customWidth="1"/>
    <col min="10744" max="10745" width="9" style="15"/>
    <col min="10746" max="10746" width="7.125" style="15" customWidth="1"/>
    <col min="10747" max="10752" width="2.375" style="15" customWidth="1"/>
    <col min="10753" max="10986" width="9" style="15"/>
    <col min="10987" max="10987" width="6.375" style="15" customWidth="1"/>
    <col min="10988" max="10988" width="8.375" style="15" customWidth="1"/>
    <col min="10989" max="10989" width="12" style="15" customWidth="1"/>
    <col min="10990" max="10990" width="10.375" style="15" customWidth="1"/>
    <col min="10991" max="10991" width="10.5" style="15" customWidth="1"/>
    <col min="10992" max="10992" width="10.25" style="15" customWidth="1"/>
    <col min="10993" max="10993" width="10.125" style="15" customWidth="1"/>
    <col min="10994" max="10995" width="10.25" style="15" customWidth="1"/>
    <col min="10996" max="10996" width="10.125" style="15" customWidth="1"/>
    <col min="10997" max="10998" width="11.75" style="15" customWidth="1"/>
    <col min="10999" max="10999" width="7.875" style="15" customWidth="1"/>
    <col min="11000" max="11001" width="9" style="15"/>
    <col min="11002" max="11002" width="7.125" style="15" customWidth="1"/>
    <col min="11003" max="11008" width="2.375" style="15" customWidth="1"/>
    <col min="11009" max="11242" width="9" style="15"/>
    <col min="11243" max="11243" width="6.375" style="15" customWidth="1"/>
    <col min="11244" max="11244" width="8.375" style="15" customWidth="1"/>
    <col min="11245" max="11245" width="12" style="15" customWidth="1"/>
    <col min="11246" max="11246" width="10.375" style="15" customWidth="1"/>
    <col min="11247" max="11247" width="10.5" style="15" customWidth="1"/>
    <col min="11248" max="11248" width="10.25" style="15" customWidth="1"/>
    <col min="11249" max="11249" width="10.125" style="15" customWidth="1"/>
    <col min="11250" max="11251" width="10.25" style="15" customWidth="1"/>
    <col min="11252" max="11252" width="10.125" style="15" customWidth="1"/>
    <col min="11253" max="11254" width="11.75" style="15" customWidth="1"/>
    <col min="11255" max="11255" width="7.875" style="15" customWidth="1"/>
    <col min="11256" max="11257" width="9" style="15"/>
    <col min="11258" max="11258" width="7.125" style="15" customWidth="1"/>
    <col min="11259" max="11264" width="2.375" style="15" customWidth="1"/>
    <col min="11265" max="11498" width="9" style="15"/>
    <col min="11499" max="11499" width="6.375" style="15" customWidth="1"/>
    <col min="11500" max="11500" width="8.375" style="15" customWidth="1"/>
    <col min="11501" max="11501" width="12" style="15" customWidth="1"/>
    <col min="11502" max="11502" width="10.375" style="15" customWidth="1"/>
    <col min="11503" max="11503" width="10.5" style="15" customWidth="1"/>
    <col min="11504" max="11504" width="10.25" style="15" customWidth="1"/>
    <col min="11505" max="11505" width="10.125" style="15" customWidth="1"/>
    <col min="11506" max="11507" width="10.25" style="15" customWidth="1"/>
    <col min="11508" max="11508" width="10.125" style="15" customWidth="1"/>
    <col min="11509" max="11510" width="11.75" style="15" customWidth="1"/>
    <col min="11511" max="11511" width="7.875" style="15" customWidth="1"/>
    <col min="11512" max="11513" width="9" style="15"/>
    <col min="11514" max="11514" width="7.125" style="15" customWidth="1"/>
    <col min="11515" max="11520" width="2.375" style="15" customWidth="1"/>
    <col min="11521" max="11754" width="9" style="15"/>
    <col min="11755" max="11755" width="6.375" style="15" customWidth="1"/>
    <col min="11756" max="11756" width="8.375" style="15" customWidth="1"/>
    <col min="11757" max="11757" width="12" style="15" customWidth="1"/>
    <col min="11758" max="11758" width="10.375" style="15" customWidth="1"/>
    <col min="11759" max="11759" width="10.5" style="15" customWidth="1"/>
    <col min="11760" max="11760" width="10.25" style="15" customWidth="1"/>
    <col min="11761" max="11761" width="10.125" style="15" customWidth="1"/>
    <col min="11762" max="11763" width="10.25" style="15" customWidth="1"/>
    <col min="11764" max="11764" width="10.125" style="15" customWidth="1"/>
    <col min="11765" max="11766" width="11.75" style="15" customWidth="1"/>
    <col min="11767" max="11767" width="7.875" style="15" customWidth="1"/>
    <col min="11768" max="11769" width="9" style="15"/>
    <col min="11770" max="11770" width="7.125" style="15" customWidth="1"/>
    <col min="11771" max="11776" width="2.375" style="15" customWidth="1"/>
    <col min="11777" max="12010" width="9" style="15"/>
    <col min="12011" max="12011" width="6.375" style="15" customWidth="1"/>
    <col min="12012" max="12012" width="8.375" style="15" customWidth="1"/>
    <col min="12013" max="12013" width="12" style="15" customWidth="1"/>
    <col min="12014" max="12014" width="10.375" style="15" customWidth="1"/>
    <col min="12015" max="12015" width="10.5" style="15" customWidth="1"/>
    <col min="12016" max="12016" width="10.25" style="15" customWidth="1"/>
    <col min="12017" max="12017" width="10.125" style="15" customWidth="1"/>
    <col min="12018" max="12019" width="10.25" style="15" customWidth="1"/>
    <col min="12020" max="12020" width="10.125" style="15" customWidth="1"/>
    <col min="12021" max="12022" width="11.75" style="15" customWidth="1"/>
    <col min="12023" max="12023" width="7.875" style="15" customWidth="1"/>
    <col min="12024" max="12025" width="9" style="15"/>
    <col min="12026" max="12026" width="7.125" style="15" customWidth="1"/>
    <col min="12027" max="12032" width="2.375" style="15" customWidth="1"/>
    <col min="12033" max="12266" width="9" style="15"/>
    <col min="12267" max="12267" width="6.375" style="15" customWidth="1"/>
    <col min="12268" max="12268" width="8.375" style="15" customWidth="1"/>
    <col min="12269" max="12269" width="12" style="15" customWidth="1"/>
    <col min="12270" max="12270" width="10.375" style="15" customWidth="1"/>
    <col min="12271" max="12271" width="10.5" style="15" customWidth="1"/>
    <col min="12272" max="12272" width="10.25" style="15" customWidth="1"/>
    <col min="12273" max="12273" width="10.125" style="15" customWidth="1"/>
    <col min="12274" max="12275" width="10.25" style="15" customWidth="1"/>
    <col min="12276" max="12276" width="10.125" style="15" customWidth="1"/>
    <col min="12277" max="12278" width="11.75" style="15" customWidth="1"/>
    <col min="12279" max="12279" width="7.875" style="15" customWidth="1"/>
    <col min="12280" max="12281" width="9" style="15"/>
    <col min="12282" max="12282" width="7.125" style="15" customWidth="1"/>
    <col min="12283" max="12288" width="2.375" style="15" customWidth="1"/>
    <col min="12289" max="12522" width="9" style="15"/>
    <col min="12523" max="12523" width="6.375" style="15" customWidth="1"/>
    <col min="12524" max="12524" width="8.375" style="15" customWidth="1"/>
    <col min="12525" max="12525" width="12" style="15" customWidth="1"/>
    <col min="12526" max="12526" width="10.375" style="15" customWidth="1"/>
    <col min="12527" max="12527" width="10.5" style="15" customWidth="1"/>
    <col min="12528" max="12528" width="10.25" style="15" customWidth="1"/>
    <col min="12529" max="12529" width="10.125" style="15" customWidth="1"/>
    <col min="12530" max="12531" width="10.25" style="15" customWidth="1"/>
    <col min="12532" max="12532" width="10.125" style="15" customWidth="1"/>
    <col min="12533" max="12534" width="11.75" style="15" customWidth="1"/>
    <col min="12535" max="12535" width="7.875" style="15" customWidth="1"/>
    <col min="12536" max="12537" width="9" style="15"/>
    <col min="12538" max="12538" width="7.125" style="15" customWidth="1"/>
    <col min="12539" max="12544" width="2.375" style="15" customWidth="1"/>
    <col min="12545" max="12778" width="9" style="15"/>
    <col min="12779" max="12779" width="6.375" style="15" customWidth="1"/>
    <col min="12780" max="12780" width="8.375" style="15" customWidth="1"/>
    <col min="12781" max="12781" width="12" style="15" customWidth="1"/>
    <col min="12782" max="12782" width="10.375" style="15" customWidth="1"/>
    <col min="12783" max="12783" width="10.5" style="15" customWidth="1"/>
    <col min="12784" max="12784" width="10.25" style="15" customWidth="1"/>
    <col min="12785" max="12785" width="10.125" style="15" customWidth="1"/>
    <col min="12786" max="12787" width="10.25" style="15" customWidth="1"/>
    <col min="12788" max="12788" width="10.125" style="15" customWidth="1"/>
    <col min="12789" max="12790" width="11.75" style="15" customWidth="1"/>
    <col min="12791" max="12791" width="7.875" style="15" customWidth="1"/>
    <col min="12792" max="12793" width="9" style="15"/>
    <col min="12794" max="12794" width="7.125" style="15" customWidth="1"/>
    <col min="12795" max="12800" width="2.375" style="15" customWidth="1"/>
    <col min="12801" max="13034" width="9" style="15"/>
    <col min="13035" max="13035" width="6.375" style="15" customWidth="1"/>
    <col min="13036" max="13036" width="8.375" style="15" customWidth="1"/>
    <col min="13037" max="13037" width="12" style="15" customWidth="1"/>
    <col min="13038" max="13038" width="10.375" style="15" customWidth="1"/>
    <col min="13039" max="13039" width="10.5" style="15" customWidth="1"/>
    <col min="13040" max="13040" width="10.25" style="15" customWidth="1"/>
    <col min="13041" max="13041" width="10.125" style="15" customWidth="1"/>
    <col min="13042" max="13043" width="10.25" style="15" customWidth="1"/>
    <col min="13044" max="13044" width="10.125" style="15" customWidth="1"/>
    <col min="13045" max="13046" width="11.75" style="15" customWidth="1"/>
    <col min="13047" max="13047" width="7.875" style="15" customWidth="1"/>
    <col min="13048" max="13049" width="9" style="15"/>
    <col min="13050" max="13050" width="7.125" style="15" customWidth="1"/>
    <col min="13051" max="13056" width="2.375" style="15" customWidth="1"/>
    <col min="13057" max="13290" width="9" style="15"/>
    <col min="13291" max="13291" width="6.375" style="15" customWidth="1"/>
    <col min="13292" max="13292" width="8.375" style="15" customWidth="1"/>
    <col min="13293" max="13293" width="12" style="15" customWidth="1"/>
    <col min="13294" max="13294" width="10.375" style="15" customWidth="1"/>
    <col min="13295" max="13295" width="10.5" style="15" customWidth="1"/>
    <col min="13296" max="13296" width="10.25" style="15" customWidth="1"/>
    <col min="13297" max="13297" width="10.125" style="15" customWidth="1"/>
    <col min="13298" max="13299" width="10.25" style="15" customWidth="1"/>
    <col min="13300" max="13300" width="10.125" style="15" customWidth="1"/>
    <col min="13301" max="13302" width="11.75" style="15" customWidth="1"/>
    <col min="13303" max="13303" width="7.875" style="15" customWidth="1"/>
    <col min="13304" max="13305" width="9" style="15"/>
    <col min="13306" max="13306" width="7.125" style="15" customWidth="1"/>
    <col min="13307" max="13312" width="2.375" style="15" customWidth="1"/>
    <col min="13313" max="13546" width="9" style="15"/>
    <col min="13547" max="13547" width="6.375" style="15" customWidth="1"/>
    <col min="13548" max="13548" width="8.375" style="15" customWidth="1"/>
    <col min="13549" max="13549" width="12" style="15" customWidth="1"/>
    <col min="13550" max="13550" width="10.375" style="15" customWidth="1"/>
    <col min="13551" max="13551" width="10.5" style="15" customWidth="1"/>
    <col min="13552" max="13552" width="10.25" style="15" customWidth="1"/>
    <col min="13553" max="13553" width="10.125" style="15" customWidth="1"/>
    <col min="13554" max="13555" width="10.25" style="15" customWidth="1"/>
    <col min="13556" max="13556" width="10.125" style="15" customWidth="1"/>
    <col min="13557" max="13558" width="11.75" style="15" customWidth="1"/>
    <col min="13559" max="13559" width="7.875" style="15" customWidth="1"/>
    <col min="13560" max="13561" width="9" style="15"/>
    <col min="13562" max="13562" width="7.125" style="15" customWidth="1"/>
    <col min="13563" max="13568" width="2.375" style="15" customWidth="1"/>
    <col min="13569" max="13802" width="9" style="15"/>
    <col min="13803" max="13803" width="6.375" style="15" customWidth="1"/>
    <col min="13804" max="13804" width="8.375" style="15" customWidth="1"/>
    <col min="13805" max="13805" width="12" style="15" customWidth="1"/>
    <col min="13806" max="13806" width="10.375" style="15" customWidth="1"/>
    <col min="13807" max="13807" width="10.5" style="15" customWidth="1"/>
    <col min="13808" max="13808" width="10.25" style="15" customWidth="1"/>
    <col min="13809" max="13809" width="10.125" style="15" customWidth="1"/>
    <col min="13810" max="13811" width="10.25" style="15" customWidth="1"/>
    <col min="13812" max="13812" width="10.125" style="15" customWidth="1"/>
    <col min="13813" max="13814" width="11.75" style="15" customWidth="1"/>
    <col min="13815" max="13815" width="7.875" style="15" customWidth="1"/>
    <col min="13816" max="13817" width="9" style="15"/>
    <col min="13818" max="13818" width="7.125" style="15" customWidth="1"/>
    <col min="13819" max="13824" width="2.375" style="15" customWidth="1"/>
    <col min="13825" max="14058" width="9" style="15"/>
    <col min="14059" max="14059" width="6.375" style="15" customWidth="1"/>
    <col min="14060" max="14060" width="8.375" style="15" customWidth="1"/>
    <col min="14061" max="14061" width="12" style="15" customWidth="1"/>
    <col min="14062" max="14062" width="10.375" style="15" customWidth="1"/>
    <col min="14063" max="14063" width="10.5" style="15" customWidth="1"/>
    <col min="14064" max="14064" width="10.25" style="15" customWidth="1"/>
    <col min="14065" max="14065" width="10.125" style="15" customWidth="1"/>
    <col min="14066" max="14067" width="10.25" style="15" customWidth="1"/>
    <col min="14068" max="14068" width="10.125" style="15" customWidth="1"/>
    <col min="14069" max="14070" width="11.75" style="15" customWidth="1"/>
    <col min="14071" max="14071" width="7.875" style="15" customWidth="1"/>
    <col min="14072" max="14073" width="9" style="15"/>
    <col min="14074" max="14074" width="7.125" style="15" customWidth="1"/>
    <col min="14075" max="14080" width="2.375" style="15" customWidth="1"/>
    <col min="14081" max="14314" width="9" style="15"/>
    <col min="14315" max="14315" width="6.375" style="15" customWidth="1"/>
    <col min="14316" max="14316" width="8.375" style="15" customWidth="1"/>
    <col min="14317" max="14317" width="12" style="15" customWidth="1"/>
    <col min="14318" max="14318" width="10.375" style="15" customWidth="1"/>
    <col min="14319" max="14319" width="10.5" style="15" customWidth="1"/>
    <col min="14320" max="14320" width="10.25" style="15" customWidth="1"/>
    <col min="14321" max="14321" width="10.125" style="15" customWidth="1"/>
    <col min="14322" max="14323" width="10.25" style="15" customWidth="1"/>
    <col min="14324" max="14324" width="10.125" style="15" customWidth="1"/>
    <col min="14325" max="14326" width="11.75" style="15" customWidth="1"/>
    <col min="14327" max="14327" width="7.875" style="15" customWidth="1"/>
    <col min="14328" max="14329" width="9" style="15"/>
    <col min="14330" max="14330" width="7.125" style="15" customWidth="1"/>
    <col min="14331" max="14336" width="2.375" style="15" customWidth="1"/>
    <col min="14337" max="14570" width="9" style="15"/>
    <col min="14571" max="14571" width="6.375" style="15" customWidth="1"/>
    <col min="14572" max="14572" width="8.375" style="15" customWidth="1"/>
    <col min="14573" max="14573" width="12" style="15" customWidth="1"/>
    <col min="14574" max="14574" width="10.375" style="15" customWidth="1"/>
    <col min="14575" max="14575" width="10.5" style="15" customWidth="1"/>
    <col min="14576" max="14576" width="10.25" style="15" customWidth="1"/>
    <col min="14577" max="14577" width="10.125" style="15" customWidth="1"/>
    <col min="14578" max="14579" width="10.25" style="15" customWidth="1"/>
    <col min="14580" max="14580" width="10.125" style="15" customWidth="1"/>
    <col min="14581" max="14582" width="11.75" style="15" customWidth="1"/>
    <col min="14583" max="14583" width="7.875" style="15" customWidth="1"/>
    <col min="14584" max="14585" width="9" style="15"/>
    <col min="14586" max="14586" width="7.125" style="15" customWidth="1"/>
    <col min="14587" max="14592" width="2.375" style="15" customWidth="1"/>
    <col min="14593" max="14826" width="9" style="15"/>
    <col min="14827" max="14827" width="6.375" style="15" customWidth="1"/>
    <col min="14828" max="14828" width="8.375" style="15" customWidth="1"/>
    <col min="14829" max="14829" width="12" style="15" customWidth="1"/>
    <col min="14830" max="14830" width="10.375" style="15" customWidth="1"/>
    <col min="14831" max="14831" width="10.5" style="15" customWidth="1"/>
    <col min="14832" max="14832" width="10.25" style="15" customWidth="1"/>
    <col min="14833" max="14833" width="10.125" style="15" customWidth="1"/>
    <col min="14834" max="14835" width="10.25" style="15" customWidth="1"/>
    <col min="14836" max="14836" width="10.125" style="15" customWidth="1"/>
    <col min="14837" max="14838" width="11.75" style="15" customWidth="1"/>
    <col min="14839" max="14839" width="7.875" style="15" customWidth="1"/>
    <col min="14840" max="14841" width="9" style="15"/>
    <col min="14842" max="14842" width="7.125" style="15" customWidth="1"/>
    <col min="14843" max="14848" width="2.375" style="15" customWidth="1"/>
    <col min="14849" max="15082" width="9" style="15"/>
    <col min="15083" max="15083" width="6.375" style="15" customWidth="1"/>
    <col min="15084" max="15084" width="8.375" style="15" customWidth="1"/>
    <col min="15085" max="15085" width="12" style="15" customWidth="1"/>
    <col min="15086" max="15086" width="10.375" style="15" customWidth="1"/>
    <col min="15087" max="15087" width="10.5" style="15" customWidth="1"/>
    <col min="15088" max="15088" width="10.25" style="15" customWidth="1"/>
    <col min="15089" max="15089" width="10.125" style="15" customWidth="1"/>
    <col min="15090" max="15091" width="10.25" style="15" customWidth="1"/>
    <col min="15092" max="15092" width="10.125" style="15" customWidth="1"/>
    <col min="15093" max="15094" width="11.75" style="15" customWidth="1"/>
    <col min="15095" max="15095" width="7.875" style="15" customWidth="1"/>
    <col min="15096" max="15097" width="9" style="15"/>
    <col min="15098" max="15098" width="7.125" style="15" customWidth="1"/>
    <col min="15099" max="15104" width="2.375" style="15" customWidth="1"/>
    <col min="15105" max="15338" width="9" style="15"/>
    <col min="15339" max="15339" width="6.375" style="15" customWidth="1"/>
    <col min="15340" max="15340" width="8.375" style="15" customWidth="1"/>
    <col min="15341" max="15341" width="12" style="15" customWidth="1"/>
    <col min="15342" max="15342" width="10.375" style="15" customWidth="1"/>
    <col min="15343" max="15343" width="10.5" style="15" customWidth="1"/>
    <col min="15344" max="15344" width="10.25" style="15" customWidth="1"/>
    <col min="15345" max="15345" width="10.125" style="15" customWidth="1"/>
    <col min="15346" max="15347" width="10.25" style="15" customWidth="1"/>
    <col min="15348" max="15348" width="10.125" style="15" customWidth="1"/>
    <col min="15349" max="15350" width="11.75" style="15" customWidth="1"/>
    <col min="15351" max="15351" width="7.875" style="15" customWidth="1"/>
    <col min="15352" max="15353" width="9" style="15"/>
    <col min="15354" max="15354" width="7.125" style="15" customWidth="1"/>
    <col min="15355" max="15360" width="2.375" style="15" customWidth="1"/>
    <col min="15361" max="15594" width="9" style="15"/>
    <col min="15595" max="15595" width="6.375" style="15" customWidth="1"/>
    <col min="15596" max="15596" width="8.375" style="15" customWidth="1"/>
    <col min="15597" max="15597" width="12" style="15" customWidth="1"/>
    <col min="15598" max="15598" width="10.375" style="15" customWidth="1"/>
    <col min="15599" max="15599" width="10.5" style="15" customWidth="1"/>
    <col min="15600" max="15600" width="10.25" style="15" customWidth="1"/>
    <col min="15601" max="15601" width="10.125" style="15" customWidth="1"/>
    <col min="15602" max="15603" width="10.25" style="15" customWidth="1"/>
    <col min="15604" max="15604" width="10.125" style="15" customWidth="1"/>
    <col min="15605" max="15606" width="11.75" style="15" customWidth="1"/>
    <col min="15607" max="15607" width="7.875" style="15" customWidth="1"/>
    <col min="15608" max="15609" width="9" style="15"/>
    <col min="15610" max="15610" width="7.125" style="15" customWidth="1"/>
    <col min="15611" max="15616" width="2.375" style="15" customWidth="1"/>
    <col min="15617" max="15850" width="9" style="15"/>
    <col min="15851" max="15851" width="6.375" style="15" customWidth="1"/>
    <col min="15852" max="15852" width="8.375" style="15" customWidth="1"/>
    <col min="15853" max="15853" width="12" style="15" customWidth="1"/>
    <col min="15854" max="15854" width="10.375" style="15" customWidth="1"/>
    <col min="15855" max="15855" width="10.5" style="15" customWidth="1"/>
    <col min="15856" max="15856" width="10.25" style="15" customWidth="1"/>
    <col min="15857" max="15857" width="10.125" style="15" customWidth="1"/>
    <col min="15858" max="15859" width="10.25" style="15" customWidth="1"/>
    <col min="15860" max="15860" width="10.125" style="15" customWidth="1"/>
    <col min="15861" max="15862" width="11.75" style="15" customWidth="1"/>
    <col min="15863" max="15863" width="7.875" style="15" customWidth="1"/>
    <col min="15864" max="15865" width="9" style="15"/>
    <col min="15866" max="15866" width="7.125" style="15" customWidth="1"/>
    <col min="15867" max="15872" width="2.375" style="15" customWidth="1"/>
    <col min="15873" max="16106" width="9" style="15"/>
    <col min="16107" max="16107" width="6.375" style="15" customWidth="1"/>
    <col min="16108" max="16108" width="8.375" style="15" customWidth="1"/>
    <col min="16109" max="16109" width="12" style="15" customWidth="1"/>
    <col min="16110" max="16110" width="10.375" style="15" customWidth="1"/>
    <col min="16111" max="16111" width="10.5" style="15" customWidth="1"/>
    <col min="16112" max="16112" width="10.25" style="15" customWidth="1"/>
    <col min="16113" max="16113" width="10.125" style="15" customWidth="1"/>
    <col min="16114" max="16115" width="10.25" style="15" customWidth="1"/>
    <col min="16116" max="16116" width="10.125" style="15" customWidth="1"/>
    <col min="16117" max="16118" width="11.75" style="15" customWidth="1"/>
    <col min="16119" max="16119" width="7.875" style="15" customWidth="1"/>
    <col min="16120" max="16121" width="9" style="15"/>
    <col min="16122" max="16122" width="7.125" style="15" customWidth="1"/>
    <col min="16123" max="16128" width="2.375" style="15" customWidth="1"/>
    <col min="16129" max="16384" width="9" style="15"/>
  </cols>
  <sheetData>
    <row r="1" spans="1:15" ht="13.5" customHeight="1">
      <c r="A1" s="131" t="s">
        <v>184</v>
      </c>
    </row>
    <row r="2" spans="1:15" ht="13.5" customHeight="1">
      <c r="C2" s="15" t="s">
        <v>25</v>
      </c>
      <c r="F2" s="15" t="s">
        <v>26</v>
      </c>
      <c r="K2" s="15" t="s">
        <v>172</v>
      </c>
      <c r="L2" s="16"/>
      <c r="M2" s="16"/>
      <c r="N2" s="16"/>
      <c r="O2" s="16"/>
    </row>
    <row r="3" spans="1:15" ht="27.75" customHeight="1">
      <c r="D3" s="71" t="s">
        <v>34</v>
      </c>
      <c r="E3" s="71" t="s">
        <v>33</v>
      </c>
      <c r="F3" s="71"/>
      <c r="G3" s="71" t="s">
        <v>32</v>
      </c>
      <c r="H3" s="17" t="s">
        <v>35</v>
      </c>
      <c r="I3" s="71" t="s">
        <v>28</v>
      </c>
      <c r="K3" s="80"/>
      <c r="L3" s="19" t="s">
        <v>173</v>
      </c>
      <c r="M3" s="71" t="s">
        <v>35</v>
      </c>
      <c r="N3" s="17" t="s">
        <v>28</v>
      </c>
      <c r="O3" s="17"/>
    </row>
    <row r="4" spans="1:15" ht="13.5" customHeight="1">
      <c r="B4" s="20"/>
      <c r="C4" s="20" t="s">
        <v>12</v>
      </c>
      <c r="D4" s="20" t="s">
        <v>12</v>
      </c>
      <c r="E4" s="20" t="s">
        <v>12</v>
      </c>
      <c r="F4" s="20" t="s">
        <v>12</v>
      </c>
      <c r="G4" s="20" t="s">
        <v>12</v>
      </c>
      <c r="H4" s="20" t="s">
        <v>12</v>
      </c>
      <c r="I4" s="20" t="s">
        <v>12</v>
      </c>
      <c r="J4" s="20"/>
      <c r="K4" s="20"/>
      <c r="L4" s="20" t="s">
        <v>12</v>
      </c>
      <c r="M4" s="20" t="s">
        <v>12</v>
      </c>
      <c r="N4" s="20" t="s">
        <v>12</v>
      </c>
      <c r="O4" s="20"/>
    </row>
    <row r="5" spans="1:15" ht="13.5" customHeight="1">
      <c r="A5" s="15">
        <v>30</v>
      </c>
      <c r="B5" s="21" t="s">
        <v>14</v>
      </c>
      <c r="C5" s="21">
        <f t="shared" ref="C5:C27" si="0">D5+E5</f>
        <v>12890.061610000002</v>
      </c>
      <c r="D5" s="21">
        <v>12862.24340288157</v>
      </c>
      <c r="E5" s="21">
        <v>27.818207118432557</v>
      </c>
      <c r="F5" s="21">
        <f t="shared" ref="F5" si="1">SUM(G5:I5)</f>
        <v>18238.55862</v>
      </c>
      <c r="G5" s="21">
        <f>L5/2</f>
        <v>14219.151278715</v>
      </c>
      <c r="H5" s="21">
        <f>M5</f>
        <v>3758.0615254600002</v>
      </c>
      <c r="I5" s="21">
        <v>261.34581582499817</v>
      </c>
      <c r="J5" s="21"/>
      <c r="K5" s="21">
        <v>33971.04851832</v>
      </c>
      <c r="L5" s="21">
        <v>28438.302557430001</v>
      </c>
      <c r="M5" s="21">
        <v>3758.0615254600002</v>
      </c>
      <c r="N5" s="21">
        <f>N33*($K$5-$L$5-$M$5)/SUM($N$33,$K$33-SUM($L$33:$N$33))+(K33-SUM(L33:N33))*($K$5-$L$5-$M$5)/SUM($N$33,$K$33-SUM($L$33:$N$33))</f>
        <v>1774.6844354299988</v>
      </c>
      <c r="O5" s="21"/>
    </row>
    <row r="6" spans="1:15" ht="13.5" customHeight="1">
      <c r="A6" s="15">
        <v>31</v>
      </c>
      <c r="B6" s="21" t="s">
        <v>15</v>
      </c>
      <c r="C6" s="21">
        <f t="shared" si="0"/>
        <v>12768.73850790088</v>
      </c>
      <c r="D6" s="21">
        <f>D34*($D$5/$D$33)*(経済前提!L58/経済前提!L17)*(1+人口等補正!C12)</f>
        <v>12741.286977082113</v>
      </c>
      <c r="E6" s="21">
        <f>E34*($D$5/$D$33)*(1+人口等補正!C12)</f>
        <v>27.451530818767029</v>
      </c>
      <c r="F6" s="21">
        <f t="shared" ref="F6:F27" si="2">SUM(G6:I6)</f>
        <v>18283.80371140912</v>
      </c>
      <c r="G6" s="21">
        <f t="shared" ref="G6:G27" si="3">L6/2</f>
        <v>14169.682072964133</v>
      </c>
      <c r="H6" s="21">
        <f t="shared" ref="H6:H27" si="4">M6</f>
        <v>3855.6195503042309</v>
      </c>
      <c r="I6" s="21">
        <f>I34*($I$5/$I$33)</f>
        <v>258.5020881407529</v>
      </c>
      <c r="J6" s="21"/>
      <c r="K6" s="21">
        <f t="shared" ref="K6:K27" si="5">SUM(L6:O6)</f>
        <v>33945.711858709619</v>
      </c>
      <c r="L6" s="21">
        <f>L34*($L$5/$L$33)*基礎年金拠出金の計算!$V17</f>
        <v>28339.364145928266</v>
      </c>
      <c r="M6" s="21">
        <f>M34*($M$5/$M$33)*基礎年金拠出金の計算!$V17</f>
        <v>3855.6195503042309</v>
      </c>
      <c r="N6" s="21">
        <f>N34*($K$5-$L$5-$M$5)/SUM($N$33,$K$33-SUM($L$33:$N$33))+(K34-SUM(L34:N34))*($K$5-$L$5-$M$5)/SUM($N$33,$K$33-SUM($L$33:$N$33))*基礎年金拠出金の計算!$V17</f>
        <v>1750.7281624771229</v>
      </c>
      <c r="O6" s="21"/>
    </row>
    <row r="7" spans="1:15" ht="13.5" customHeight="1">
      <c r="A7" s="15">
        <v>32</v>
      </c>
      <c r="B7" s="21" t="s">
        <v>16</v>
      </c>
      <c r="C7" s="21">
        <f t="shared" si="0"/>
        <v>12662.066146802294</v>
      </c>
      <c r="D7" s="21">
        <f>D35*($D$5/$D$33)*(経済前提!L59/経済前提!L18)*(1+人口等補正!C13)</f>
        <v>12634.901773010153</v>
      </c>
      <c r="E7" s="21">
        <f>E35*($D$5/$D$33)*(1+人口等補正!C13)</f>
        <v>27.164373792141202</v>
      </c>
      <c r="F7" s="21">
        <f t="shared" si="2"/>
        <v>18573.837554257778</v>
      </c>
      <c r="G7" s="21">
        <f t="shared" si="3"/>
        <v>14306.539898988842</v>
      </c>
      <c r="H7" s="21">
        <f t="shared" si="4"/>
        <v>4012.3790430398963</v>
      </c>
      <c r="I7" s="21">
        <f t="shared" ref="I7:I23" si="6">I35*($I$5/$I$33)</f>
        <v>254.91861222904217</v>
      </c>
      <c r="J7" s="21"/>
      <c r="K7" s="21">
        <f t="shared" si="5"/>
        <v>34350.59470495319</v>
      </c>
      <c r="L7" s="21">
        <f>L35*($L$5/$L$33)*基礎年金拠出金の計算!$V18</f>
        <v>28613.079797977683</v>
      </c>
      <c r="M7" s="21">
        <f>M35*($M$5/$M$33)*基礎年金拠出金の計算!$V18</f>
        <v>4012.3790430398963</v>
      </c>
      <c r="N7" s="21">
        <f>N35*($K$5-$L$5-$M$5)/SUM($N$33,$K$33-SUM($L$33:$N$33))+(K35-SUM(L35:N35))*($K$5-$L$5-$M$5)/SUM($N$33,$K$33-SUM($L$33:$N$33))*基礎年金拠出金の計算!$V18</f>
        <v>1725.1358639356083</v>
      </c>
      <c r="O7" s="21"/>
    </row>
    <row r="8" spans="1:15" ht="13.5" customHeight="1">
      <c r="A8" s="15">
        <v>33</v>
      </c>
      <c r="B8" s="21" t="s">
        <v>17</v>
      </c>
      <c r="C8" s="21">
        <f t="shared" si="0"/>
        <v>12720.976121938507</v>
      </c>
      <c r="D8" s="21">
        <f>D36*($D$5/$D$33)*(経済前提!L60/経済前提!L19)*(1+人口等補正!C14)</f>
        <v>12694.000667415521</v>
      </c>
      <c r="E8" s="21">
        <f>E36*($D$5/$D$33)*(1+人口等補正!C14)</f>
        <v>26.975454522986325</v>
      </c>
      <c r="F8" s="21">
        <f t="shared" si="2"/>
        <v>18951.138281255415</v>
      </c>
      <c r="G8" s="21">
        <f t="shared" si="3"/>
        <v>14507.526642396664</v>
      </c>
      <c r="H8" s="21">
        <f t="shared" si="4"/>
        <v>4193.2554987000503</v>
      </c>
      <c r="I8" s="21">
        <f t="shared" si="6"/>
        <v>250.35614015869891</v>
      </c>
      <c r="J8" s="21"/>
      <c r="K8" s="21">
        <f t="shared" si="5"/>
        <v>34903.140206557917</v>
      </c>
      <c r="L8" s="21">
        <f>L36*($L$5/$L$33)*基礎年金拠出金の計算!$V19</f>
        <v>29015.053284793328</v>
      </c>
      <c r="M8" s="21">
        <f>M36*($M$5/$M$33)*基礎年金拠出金の計算!$V19</f>
        <v>4193.2554987000503</v>
      </c>
      <c r="N8" s="21">
        <f>N36*($K$5-$L$5-$M$5)/SUM($N$33,$K$33-SUM($L$33:$N$33))+(K36-SUM(L36:N36))*($K$5-$L$5-$M$5)/SUM($N$33,$K$33-SUM($L$33:$N$33))*基礎年金拠出金の計算!$V19</f>
        <v>1694.8314230645437</v>
      </c>
      <c r="O8" s="21"/>
    </row>
    <row r="9" spans="1:15" ht="13.5" customHeight="1">
      <c r="A9" s="15">
        <v>34</v>
      </c>
      <c r="B9" s="21" t="s">
        <v>18</v>
      </c>
      <c r="C9" s="21">
        <f t="shared" si="0"/>
        <v>12906.429144546652</v>
      </c>
      <c r="D9" s="21">
        <f>D37*($D$5/$D$33)*(経済前提!L61/経済前提!L20)*(1+人口等補正!C15)</f>
        <v>12879.575083700833</v>
      </c>
      <c r="E9" s="21">
        <f>E37*($D$5/$D$33)*(1+人口等補正!C15)</f>
        <v>26.854060845819141</v>
      </c>
      <c r="F9" s="21">
        <f t="shared" si="2"/>
        <v>19305.183485772792</v>
      </c>
      <c r="G9" s="21">
        <f t="shared" si="3"/>
        <v>14682.559865493076</v>
      </c>
      <c r="H9" s="21">
        <f t="shared" si="4"/>
        <v>4377.09030115116</v>
      </c>
      <c r="I9" s="21">
        <f t="shared" si="6"/>
        <v>245.53331912855816</v>
      </c>
      <c r="J9" s="21"/>
      <c r="K9" s="21">
        <f t="shared" si="5"/>
        <v>35405.311568610887</v>
      </c>
      <c r="L9" s="21">
        <f>L37*($L$5/$L$33)*基礎年金拠出金の計算!$V20</f>
        <v>29365.119730986153</v>
      </c>
      <c r="M9" s="21">
        <f>M37*($M$5/$M$33)*基礎年金拠出金の計算!$V20</f>
        <v>4377.09030115116</v>
      </c>
      <c r="N9" s="21">
        <f>N37*($K$5-$L$5-$M$5)/SUM($N$33,$K$33-SUM($L$33:$N$33))+(K37-SUM(L37:N37))*($K$5-$L$5-$M$5)/SUM($N$33,$K$33-SUM($L$33:$N$33))*基礎年金拠出金の計算!$V20</f>
        <v>1663.101536473569</v>
      </c>
      <c r="O9" s="21"/>
    </row>
    <row r="10" spans="1:15" ht="13.5" customHeight="1">
      <c r="A10" s="15">
        <v>35</v>
      </c>
      <c r="B10" s="21" t="s">
        <v>19</v>
      </c>
      <c r="C10" s="21">
        <f t="shared" si="0"/>
        <v>13112.410072528546</v>
      </c>
      <c r="D10" s="21">
        <f>D38*($D$5/$D$33)*(経済前提!L62/経済前提!L21)*(1+人口等補正!C16)</f>
        <v>13085.683629023722</v>
      </c>
      <c r="E10" s="21">
        <f>E38*($D$5/$D$33)*(1+人口等補正!C16)</f>
        <v>26.726443504823997</v>
      </c>
      <c r="F10" s="21">
        <f t="shared" si="2"/>
        <v>19649.072260970548</v>
      </c>
      <c r="G10" s="21">
        <f t="shared" si="3"/>
        <v>14841.602844103958</v>
      </c>
      <c r="H10" s="21">
        <f t="shared" si="4"/>
        <v>4567.1940641506653</v>
      </c>
      <c r="I10" s="21">
        <f t="shared" si="6"/>
        <v>240.27535271592626</v>
      </c>
      <c r="J10" s="21"/>
      <c r="K10" s="21">
        <f t="shared" si="5"/>
        <v>35878.832974202116</v>
      </c>
      <c r="L10" s="21">
        <f>L38*($L$5/$L$33)*基礎年金拠出金の計算!$V21</f>
        <v>29683.205688207916</v>
      </c>
      <c r="M10" s="21">
        <f>M38*($M$5/$M$33)*基礎年金拠出金の計算!$V21</f>
        <v>4567.1940641506653</v>
      </c>
      <c r="N10" s="21">
        <f>N38*($K$5-$L$5-$M$5)/SUM($N$33,$K$33-SUM($L$33:$N$33))+(K38-SUM(L38:N38))*($K$5-$L$5-$M$5)/SUM($N$33,$K$33-SUM($L$33:$N$33))*基礎年金拠出金の計算!$V21</f>
        <v>1628.4332218435368</v>
      </c>
      <c r="O10" s="21"/>
    </row>
    <row r="11" spans="1:15" ht="13.5" customHeight="1">
      <c r="A11" s="15">
        <v>36</v>
      </c>
      <c r="B11" s="21" t="s">
        <v>20</v>
      </c>
      <c r="C11" s="21">
        <f t="shared" si="0"/>
        <v>13286.90469241008</v>
      </c>
      <c r="D11" s="21">
        <f>D39*($D$5/$D$33)*(経済前提!L63/経済前提!L22)*(1+人口等補正!C17)</f>
        <v>13260.331683183733</v>
      </c>
      <c r="E11" s="21">
        <f>E39*($D$5/$D$33)*(1+人口等補正!C17)</f>
        <v>26.573009226348145</v>
      </c>
      <c r="F11" s="21">
        <f t="shared" si="2"/>
        <v>20000.557587706055</v>
      </c>
      <c r="G11" s="21">
        <f t="shared" si="3"/>
        <v>14997.45656331083</v>
      </c>
      <c r="H11" s="21">
        <f t="shared" si="4"/>
        <v>4768.3108182001924</v>
      </c>
      <c r="I11" s="21">
        <f t="shared" si="6"/>
        <v>234.79020619503103</v>
      </c>
      <c r="J11" s="21"/>
      <c r="K11" s="21">
        <f t="shared" si="5"/>
        <v>36355.927550415217</v>
      </c>
      <c r="L11" s="21">
        <f>L39*($L$5/$L$33)*基礎年金拠出金の計算!$V22</f>
        <v>29994.913126621661</v>
      </c>
      <c r="M11" s="21">
        <f>M39*($M$5/$M$33)*基礎年金拠出金の計算!$V22</f>
        <v>4768.3108182001924</v>
      </c>
      <c r="N11" s="21">
        <f>N39*($K$5-$L$5-$M$5)/SUM($N$33,$K$33-SUM($L$33:$N$33))+(K39-SUM(L39:N39))*($K$5-$L$5-$M$5)/SUM($N$33,$K$33-SUM($L$33:$N$33))*基礎年金拠出金の計算!$V22</f>
        <v>1592.7036055933661</v>
      </c>
      <c r="O11" s="21"/>
    </row>
    <row r="12" spans="1:15" ht="13.5" customHeight="1">
      <c r="A12" s="15">
        <v>37</v>
      </c>
      <c r="B12" s="21" t="s">
        <v>21</v>
      </c>
      <c r="C12" s="21">
        <f t="shared" si="0"/>
        <v>13459.921975639216</v>
      </c>
      <c r="D12" s="21">
        <f>D40*($D$5/$D$33)*(経済前提!L64/経済前提!L23)*(1+人口等補正!C18)</f>
        <v>13433.502536631613</v>
      </c>
      <c r="E12" s="21">
        <f>E40*($D$5/$D$33)*(1+人口等補正!C18)</f>
        <v>26.419439007603341</v>
      </c>
      <c r="F12" s="21">
        <f t="shared" si="2"/>
        <v>20361.188261651238</v>
      </c>
      <c r="G12" s="21">
        <f t="shared" si="3"/>
        <v>15152.104089698116</v>
      </c>
      <c r="H12" s="21">
        <f t="shared" si="4"/>
        <v>4980.0594245664997</v>
      </c>
      <c r="I12" s="21">
        <f t="shared" si="6"/>
        <v>229.02474738662266</v>
      </c>
      <c r="J12" s="21"/>
      <c r="K12" s="21">
        <f t="shared" si="5"/>
        <v>36841.00210484102</v>
      </c>
      <c r="L12" s="21">
        <f>L40*($L$5/$L$33)*基礎年金拠出金の計算!$V23</f>
        <v>30304.208179396232</v>
      </c>
      <c r="M12" s="21">
        <f>M40*($M$5/$M$33)*基礎年金拠出金の計算!$V23</f>
        <v>4980.0594245664997</v>
      </c>
      <c r="N12" s="21">
        <f>N40*($K$5-$L$5-$M$5)/SUM($N$33,$K$33-SUM($L$33:$N$33))+(K40-SUM(L40:N40))*($K$5-$L$5-$M$5)/SUM($N$33,$K$33-SUM($L$33:$N$33))*基礎年金拠出金の計算!$V23</f>
        <v>1556.7345008782852</v>
      </c>
      <c r="O12" s="21"/>
    </row>
    <row r="13" spans="1:15" ht="13.5" customHeight="1">
      <c r="A13" s="15">
        <v>38</v>
      </c>
      <c r="B13" s="21" t="s">
        <v>22</v>
      </c>
      <c r="C13" s="21">
        <f t="shared" si="0"/>
        <v>13637.091947956778</v>
      </c>
      <c r="D13" s="21">
        <f>D41*($D$5/$D$33)*(経済前提!L65/経済前提!L24)*(1+人口等補正!C19)</f>
        <v>13610.79369023184</v>
      </c>
      <c r="E13" s="21">
        <f>E41*($D$5/$D$33)*(1+人口等補正!C19)</f>
        <v>26.298257724937876</v>
      </c>
      <c r="F13" s="21">
        <f t="shared" si="2"/>
        <v>20716.358805827236</v>
      </c>
      <c r="G13" s="21">
        <f t="shared" si="3"/>
        <v>15304.074939725695</v>
      </c>
      <c r="H13" s="21">
        <f t="shared" si="4"/>
        <v>5189.0794593841701</v>
      </c>
      <c r="I13" s="21">
        <f t="shared" si="6"/>
        <v>223.20440671737137</v>
      </c>
      <c r="J13" s="21"/>
      <c r="K13" s="21">
        <f t="shared" si="5"/>
        <v>37318.0747958465</v>
      </c>
      <c r="L13" s="21">
        <f>L41*($L$5/$L$33)*基礎年金拠出金の計算!$V24</f>
        <v>30608.14987945139</v>
      </c>
      <c r="M13" s="21">
        <f>M41*($M$5/$M$33)*基礎年金拠出金の計算!$V24</f>
        <v>5189.0794593841701</v>
      </c>
      <c r="N13" s="21">
        <f>N41*($K$5-$L$5-$M$5)/SUM($N$33,$K$33-SUM($L$33:$N$33))+(K41-SUM(L41:N41))*($K$5-$L$5-$M$5)/SUM($N$33,$K$33-SUM($L$33:$N$33))*基礎年金拠出金の計算!$V24</f>
        <v>1520.8454570109361</v>
      </c>
      <c r="O13" s="21"/>
    </row>
    <row r="14" spans="1:15" ht="13.5" customHeight="1">
      <c r="A14" s="15">
        <v>39</v>
      </c>
      <c r="B14" s="21" t="s">
        <v>23</v>
      </c>
      <c r="C14" s="21">
        <f t="shared" si="0"/>
        <v>13886.803893619457</v>
      </c>
      <c r="D14" s="21">
        <f>D42*($D$5/$D$33)*(経済前提!L66/経済前提!L25)*(1+人口等補正!C20)</f>
        <v>13860.659608772621</v>
      </c>
      <c r="E14" s="21">
        <f>E42*($D$5/$D$33)*(1+人口等補正!C20)</f>
        <v>26.144284846835475</v>
      </c>
      <c r="F14" s="21">
        <f t="shared" si="2"/>
        <v>21108.796817038194</v>
      </c>
      <c r="G14" s="21">
        <f t="shared" si="3"/>
        <v>15484.707704029712</v>
      </c>
      <c r="H14" s="21">
        <f t="shared" si="4"/>
        <v>5406.7921471409591</v>
      </c>
      <c r="I14" s="21">
        <f t="shared" si="6"/>
        <v>217.29696586751956</v>
      </c>
      <c r="J14" s="21"/>
      <c r="K14" s="21">
        <f t="shared" si="5"/>
        <v>37861.430713106711</v>
      </c>
      <c r="L14" s="21">
        <f>L42*($L$5/$L$33)*基礎年金拠出金の計算!$V25</f>
        <v>30969.415408059423</v>
      </c>
      <c r="M14" s="21">
        <f>M42*($M$5/$M$33)*基礎年金拠出金の計算!$V25</f>
        <v>5406.7921471409591</v>
      </c>
      <c r="N14" s="21">
        <f>N42*($K$5-$L$5-$M$5)/SUM($N$33,$K$33-SUM($L$33:$N$33))+(K42-SUM(L42:N42))*($K$5-$L$5-$M$5)/SUM($N$33,$K$33-SUM($L$33:$N$33))*基礎年金拠出金の計算!$V25</f>
        <v>1485.2231579063321</v>
      </c>
      <c r="O14" s="21"/>
    </row>
    <row r="15" spans="1:15" ht="13.5" customHeight="1">
      <c r="A15" s="15">
        <v>40</v>
      </c>
      <c r="B15" s="21" t="s">
        <v>24</v>
      </c>
      <c r="C15" s="21">
        <f t="shared" si="0"/>
        <v>14087.671405728168</v>
      </c>
      <c r="D15" s="21">
        <f>D43*($D$5/$D$33)*(経済前提!L67/経済前提!L26)*(1+人口等補正!C21)</f>
        <v>14061.76360517542</v>
      </c>
      <c r="E15" s="21">
        <f>E43*($D$5/$D$33)*(1+人口等補正!C21)</f>
        <v>25.907800552747563</v>
      </c>
      <c r="F15" s="21">
        <f t="shared" si="2"/>
        <v>21506.716704507511</v>
      </c>
      <c r="G15" s="21">
        <f t="shared" si="3"/>
        <v>15661.646175888558</v>
      </c>
      <c r="H15" s="21">
        <f t="shared" si="4"/>
        <v>5633.6924749410518</v>
      </c>
      <c r="I15" s="21">
        <f t="shared" si="6"/>
        <v>211.37805367790153</v>
      </c>
      <c r="J15" s="21"/>
      <c r="K15" s="21">
        <f t="shared" si="5"/>
        <v>38408.481233528953</v>
      </c>
      <c r="L15" s="21">
        <f>L43*($L$5/$L$33)*基礎年金拠出金の計算!$V26</f>
        <v>31323.292351777116</v>
      </c>
      <c r="M15" s="21">
        <f>M43*($M$5/$M$33)*基礎年金拠出金の計算!$V26</f>
        <v>5633.6924749410518</v>
      </c>
      <c r="N15" s="21">
        <f>N43*($K$5-$L$5-$M$5)/SUM($N$33,$K$33-SUM($L$33:$N$33))+(K43-SUM(L43:N43))*($K$5-$L$5-$M$5)/SUM($N$33,$K$33-SUM($L$33:$N$33))*基礎年金拠出金の計算!$V26</f>
        <v>1451.4964068107856</v>
      </c>
      <c r="O15" s="21"/>
    </row>
    <row r="16" spans="1:15" ht="13.5" customHeight="1">
      <c r="A16" s="15">
        <v>41</v>
      </c>
      <c r="B16" s="21" t="s">
        <v>43</v>
      </c>
      <c r="C16" s="21">
        <f t="shared" si="0"/>
        <v>14278.748079210372</v>
      </c>
      <c r="D16" s="21">
        <f>D44*($D$5/$D$33)*(経済前提!L68/経済前提!L27)*(1+人口等補正!C22)</f>
        <v>14253.141658477092</v>
      </c>
      <c r="E16" s="21">
        <f>E44*($D$5/$D$33)*(1+人口等補正!C22)</f>
        <v>25.6064207332793</v>
      </c>
      <c r="F16" s="21">
        <f t="shared" si="2"/>
        <v>21751.254831249713</v>
      </c>
      <c r="G16" s="21">
        <f t="shared" si="3"/>
        <v>15715.200471948736</v>
      </c>
      <c r="H16" s="21">
        <f t="shared" si="4"/>
        <v>5830.3865064052416</v>
      </c>
      <c r="I16" s="21">
        <f t="shared" si="6"/>
        <v>205.66785289573511</v>
      </c>
      <c r="J16" s="21"/>
      <c r="K16" s="21">
        <f t="shared" si="5"/>
        <v>38679.050501909835</v>
      </c>
      <c r="L16" s="21">
        <f>L44*($L$5/$L$33)*基礎年金拠出金の計算!$V27</f>
        <v>31430.400943897472</v>
      </c>
      <c r="M16" s="21">
        <f>M44*($M$5/$M$33)*基礎年金拠出金の計算!$V27</f>
        <v>5830.3865064052416</v>
      </c>
      <c r="N16" s="21">
        <f>N44*($K$5-$L$5-$M$5)/SUM($N$33,$K$33-SUM($L$33:$N$33))+(K44-SUM(L44:N44))*($K$5-$L$5-$M$5)/SUM($N$33,$K$33-SUM($L$33:$N$33))*基礎年金拠出金の計算!$V27</f>
        <v>1418.2630516071251</v>
      </c>
      <c r="O16" s="21"/>
    </row>
    <row r="17" spans="1:16" ht="13.5" customHeight="1">
      <c r="A17" s="15">
        <v>42</v>
      </c>
      <c r="B17" s="21" t="s">
        <v>44</v>
      </c>
      <c r="C17" s="21">
        <f t="shared" si="0"/>
        <v>14432.401054561704</v>
      </c>
      <c r="D17" s="21">
        <f>D45*($D$5/$D$33)*(経済前提!L69/経済前提!L28)*(1+人口等補正!C23)</f>
        <v>14407.117044897572</v>
      </c>
      <c r="E17" s="21">
        <f>E45*($D$5/$D$33)*(1+人口等補正!C23)</f>
        <v>25.284009664132633</v>
      </c>
      <c r="F17" s="21">
        <f t="shared" si="2"/>
        <v>22045.160729309511</v>
      </c>
      <c r="G17" s="21">
        <f t="shared" si="3"/>
        <v>15805.707092561093</v>
      </c>
      <c r="H17" s="21">
        <f t="shared" si="4"/>
        <v>6039.2458851104593</v>
      </c>
      <c r="I17" s="21">
        <f t="shared" si="6"/>
        <v>200.20775163795619</v>
      </c>
      <c r="J17" s="21"/>
      <c r="K17" s="21">
        <f t="shared" si="5"/>
        <v>39037.65987560511</v>
      </c>
      <c r="L17" s="21">
        <f>L45*($L$5/$L$33)*基礎年金拠出金の計算!$V28</f>
        <v>31611.414185122187</v>
      </c>
      <c r="M17" s="21">
        <f>M45*($M$5/$M$33)*基礎年金拠出金の計算!$V28</f>
        <v>6039.2458851104593</v>
      </c>
      <c r="N17" s="21">
        <f>N45*($K$5-$L$5-$M$5)/SUM($N$33,$K$33-SUM($L$33:$N$33))+(K45-SUM(L45:N45))*($K$5-$L$5-$M$5)/SUM($N$33,$K$33-SUM($L$33:$N$33))*基礎年金拠出金の計算!$V28</f>
        <v>1386.9998053724605</v>
      </c>
      <c r="O17" s="21"/>
    </row>
    <row r="18" spans="1:16" ht="13.5" customHeight="1">
      <c r="A18" s="15">
        <v>43</v>
      </c>
      <c r="B18" s="21" t="s">
        <v>45</v>
      </c>
      <c r="C18" s="21">
        <f t="shared" si="0"/>
        <v>14569.985659030957</v>
      </c>
      <c r="D18" s="21">
        <f>D46*($D$5/$D$33)*(経済前提!L70/経済前提!L29)*(1+人口等補正!C24)</f>
        <v>14544.955140202801</v>
      </c>
      <c r="E18" s="21">
        <f>E46*($D$5/$D$33)*(1+人口等補正!C24)</f>
        <v>25.030518828156794</v>
      </c>
      <c r="F18" s="21">
        <f t="shared" si="2"/>
        <v>22370.039082256411</v>
      </c>
      <c r="G18" s="21">
        <f t="shared" si="3"/>
        <v>15933.186360973752</v>
      </c>
      <c r="H18" s="21">
        <f t="shared" si="4"/>
        <v>6242.0760322049127</v>
      </c>
      <c r="I18" s="21">
        <f t="shared" si="6"/>
        <v>194.77668907774543</v>
      </c>
      <c r="J18" s="21"/>
      <c r="K18" s="21">
        <f t="shared" si="5"/>
        <v>39466.521273274244</v>
      </c>
      <c r="L18" s="21">
        <f>L46*($L$5/$L$33)*基礎年金拠出金の計算!$V29</f>
        <v>31866.372721947504</v>
      </c>
      <c r="M18" s="21">
        <f>M46*($M$5/$M$33)*基礎年金拠出金の計算!$V29</f>
        <v>6242.0760322049127</v>
      </c>
      <c r="N18" s="21">
        <f>N46*($K$5-$L$5-$M$5)/SUM($N$33,$K$33-SUM($L$33:$N$33))+(K46-SUM(L46:N46))*($K$5-$L$5-$M$5)/SUM($N$33,$K$33-SUM($L$33:$N$33))*基礎年金拠出金の計算!$V29</f>
        <v>1358.0725191218273</v>
      </c>
      <c r="O18" s="21"/>
    </row>
    <row r="19" spans="1:16" ht="13.5" customHeight="1">
      <c r="A19" s="15">
        <v>44</v>
      </c>
      <c r="B19" s="21" t="s">
        <v>46</v>
      </c>
      <c r="C19" s="21">
        <f t="shared" si="0"/>
        <v>14706.205988310636</v>
      </c>
      <c r="D19" s="21">
        <f>D47*($D$5/$D$33)*(経済前提!L71/経済前提!L30)*(1+人口等補正!C25)</f>
        <v>14681.46247381684</v>
      </c>
      <c r="E19" s="21">
        <f>E47*($D$5/$D$33)*(1+人口等補正!C25)</f>
        <v>24.743514493795686</v>
      </c>
      <c r="F19" s="21">
        <f t="shared" si="2"/>
        <v>22720.93249218044</v>
      </c>
      <c r="G19" s="21">
        <f t="shared" si="3"/>
        <v>16086.455275403236</v>
      </c>
      <c r="H19" s="21">
        <f t="shared" si="4"/>
        <v>6444.9168860141917</v>
      </c>
      <c r="I19" s="21">
        <f t="shared" si="6"/>
        <v>189.56033076301242</v>
      </c>
      <c r="J19" s="21"/>
      <c r="K19" s="21">
        <f t="shared" si="5"/>
        <v>39948.66103168617</v>
      </c>
      <c r="L19" s="21">
        <f>L47*($L$5/$L$33)*基礎年金拠出金の計算!$V30</f>
        <v>32172.910550806471</v>
      </c>
      <c r="M19" s="21">
        <f>M47*($M$5/$M$33)*基礎年金拠出金の計算!$V30</f>
        <v>6444.9168860141917</v>
      </c>
      <c r="N19" s="21">
        <f>N47*($K$5-$L$5-$M$5)/SUM($N$33,$K$33-SUM($L$33:$N$33))+(K47-SUM(L47:N47))*($K$5-$L$5-$M$5)/SUM($N$33,$K$33-SUM($L$33:$N$33))*基礎年金拠出金の計算!$V30</f>
        <v>1330.8335948655097</v>
      </c>
      <c r="O19" s="21"/>
    </row>
    <row r="20" spans="1:16" ht="13.5" customHeight="1">
      <c r="A20" s="15">
        <v>45</v>
      </c>
      <c r="B20" s="21" t="s">
        <v>47</v>
      </c>
      <c r="C20" s="21">
        <f t="shared" si="0"/>
        <v>14798.997967138479</v>
      </c>
      <c r="D20" s="21">
        <f>D48*($D$5/$D$33)*(経済前提!L72/経済前提!L31)*(1+人口等補正!C26)</f>
        <v>14774.658019315557</v>
      </c>
      <c r="E20" s="21">
        <f>E48*($D$5/$D$33)*(1+人口等補正!C26)</f>
        <v>24.339947822921264</v>
      </c>
      <c r="F20" s="21">
        <f t="shared" si="2"/>
        <v>23162.161976398187</v>
      </c>
      <c r="G20" s="21">
        <f t="shared" si="3"/>
        <v>16296.340314589199</v>
      </c>
      <c r="H20" s="21">
        <f t="shared" si="4"/>
        <v>6680.7116412998685</v>
      </c>
      <c r="I20" s="21">
        <f t="shared" si="6"/>
        <v>185.11002050911924</v>
      </c>
      <c r="J20" s="21"/>
      <c r="K20" s="21">
        <f t="shared" si="5"/>
        <v>40580.299356371455</v>
      </c>
      <c r="L20" s="21">
        <f>L48*($L$5/$L$33)*基礎年金拠出金の計算!$V31</f>
        <v>32592.680629178398</v>
      </c>
      <c r="M20" s="21">
        <f>M48*($M$5/$M$33)*基礎年金拠出金の計算!$V31</f>
        <v>6680.7116412998685</v>
      </c>
      <c r="N20" s="21">
        <f>N48*($K$5-$L$5-$M$5)/SUM($N$33,$K$33-SUM($L$33:$N$33))+(K48-SUM(L48:N48))*($K$5-$L$5-$M$5)/SUM($N$33,$K$33-SUM($L$33:$N$33))*基礎年金拠出金の計算!$V31</f>
        <v>1306.9070858931859</v>
      </c>
      <c r="O20" s="21"/>
    </row>
    <row r="21" spans="1:16" ht="13.5" customHeight="1">
      <c r="A21" s="15">
        <v>46</v>
      </c>
      <c r="B21" s="21" t="s">
        <v>48</v>
      </c>
      <c r="C21" s="21">
        <f t="shared" si="0"/>
        <v>14866.217709344735</v>
      </c>
      <c r="D21" s="21">
        <f>D49*($D$5/$D$33)*(経済前提!L73/経済前提!L32)*(1+人口等補正!C27)</f>
        <v>14842.335607587569</v>
      </c>
      <c r="E21" s="21">
        <f>E49*($D$5/$D$33)*(1+人口等補正!C27)</f>
        <v>23.882101757165522</v>
      </c>
      <c r="F21" s="21">
        <f t="shared" si="2"/>
        <v>23606.710138996281</v>
      </c>
      <c r="G21" s="21">
        <f t="shared" si="3"/>
        <v>16498.145519591788</v>
      </c>
      <c r="H21" s="21">
        <f t="shared" si="4"/>
        <v>6927.6368650605436</v>
      </c>
      <c r="I21" s="21">
        <f t="shared" si="6"/>
        <v>180.92775434395114</v>
      </c>
      <c r="J21" s="21"/>
      <c r="K21" s="21">
        <f t="shared" si="5"/>
        <v>41208.740466958261</v>
      </c>
      <c r="L21" s="21">
        <f>L49*($L$5/$L$33)*基礎年金拠出金の計算!$V32</f>
        <v>32996.291039183576</v>
      </c>
      <c r="M21" s="21">
        <f>M49*($M$5/$M$33)*基礎年金拠出金の計算!$V32</f>
        <v>6927.6368650605436</v>
      </c>
      <c r="N21" s="21">
        <f>N49*($K$5-$L$5-$M$5)/SUM($N$33,$K$33-SUM($L$33:$N$33))+(K49-SUM(L49:N49))*($K$5-$L$5-$M$5)/SUM($N$33,$K$33-SUM($L$33:$N$33))*基礎年金拠出金の計算!$V32</f>
        <v>1284.8125627141392</v>
      </c>
      <c r="O21" s="21"/>
    </row>
    <row r="22" spans="1:16" ht="13.5" customHeight="1">
      <c r="A22" s="15">
        <v>47</v>
      </c>
      <c r="B22" s="21" t="s">
        <v>49</v>
      </c>
      <c r="C22" s="21">
        <f t="shared" si="0"/>
        <v>14935.358150197831</v>
      </c>
      <c r="D22" s="21">
        <f>D50*($D$5/$D$33)*(経済前提!L74/経済前提!L33)*(1+人口等補正!C28)</f>
        <v>14911.945875472402</v>
      </c>
      <c r="E22" s="21">
        <f>E50*($D$5/$D$33)*(1+人口等補正!C28)</f>
        <v>23.412274725429572</v>
      </c>
      <c r="F22" s="21">
        <f t="shared" si="2"/>
        <v>24099.548938345222</v>
      </c>
      <c r="G22" s="21">
        <f t="shared" si="3"/>
        <v>16729.300840142652</v>
      </c>
      <c r="H22" s="21">
        <f t="shared" si="4"/>
        <v>7193.2457614973937</v>
      </c>
      <c r="I22" s="21">
        <f t="shared" si="6"/>
        <v>177.00233670517497</v>
      </c>
      <c r="J22" s="21"/>
      <c r="K22" s="21">
        <f t="shared" si="5"/>
        <v>41915.537143565984</v>
      </c>
      <c r="L22" s="21">
        <f>L50*($L$5/$L$33)*基礎年金拠出金の計算!$V33</f>
        <v>33458.601680285305</v>
      </c>
      <c r="M22" s="21">
        <f>M50*($M$5/$M$33)*基礎年金拠出金の計算!$V33</f>
        <v>7193.2457614973937</v>
      </c>
      <c r="N22" s="21">
        <f>N50*($K$5-$L$5-$M$5)/SUM($N$33,$K$33-SUM($L$33:$N$33))+(K50-SUM(L50:N50))*($K$5-$L$5-$M$5)/SUM($N$33,$K$33-SUM($L$33:$N$33))*基礎年金拠出金の計算!$V33</f>
        <v>1263.6897017832857</v>
      </c>
      <c r="O22" s="21"/>
    </row>
    <row r="23" spans="1:16" ht="13.5" customHeight="1">
      <c r="A23" s="15">
        <v>48</v>
      </c>
      <c r="B23" s="21" t="s">
        <v>50</v>
      </c>
      <c r="C23" s="21">
        <f t="shared" si="0"/>
        <v>15027.864925714644</v>
      </c>
      <c r="D23" s="21">
        <f>D51*($D$5/$D$33)*(経済前提!L75/経済前提!L34)*(1+人口等補正!C29)</f>
        <v>15004.933511947047</v>
      </c>
      <c r="E23" s="21">
        <f>E51*($D$5/$D$33)*(1+人口等補正!C29)</f>
        <v>22.93141376759791</v>
      </c>
      <c r="F23" s="21">
        <f t="shared" si="2"/>
        <v>24606.780508061587</v>
      </c>
      <c r="G23" s="21">
        <f t="shared" si="3"/>
        <v>16960.103831093118</v>
      </c>
      <c r="H23" s="21">
        <f t="shared" si="4"/>
        <v>7473.2226420057532</v>
      </c>
      <c r="I23" s="21">
        <f t="shared" si="6"/>
        <v>173.45403496271777</v>
      </c>
      <c r="J23" s="21"/>
      <c r="K23" s="21">
        <f t="shared" si="5"/>
        <v>42635.286455365931</v>
      </c>
      <c r="L23" s="21">
        <f>L51*($L$5/$L$33)*基礎年金拠出金の計算!$V34</f>
        <v>33920.207662186236</v>
      </c>
      <c r="M23" s="21">
        <f>M51*($M$5/$M$33)*基礎年金拠出金の計算!$V34</f>
        <v>7473.2226420057532</v>
      </c>
      <c r="N23" s="21">
        <f>N51*($K$5-$L$5-$M$5)/SUM($N$33,$K$33-SUM($L$33:$N$33))+(K51-SUM(L51:N51))*($K$5-$L$5-$M$5)/SUM($N$33,$K$33-SUM($L$33:$N$33))*基礎年金拠出金の計算!$V34</f>
        <v>1241.8561511739388</v>
      </c>
      <c r="O23" s="21"/>
    </row>
    <row r="24" spans="1:16" ht="13.5" customHeight="1">
      <c r="A24" s="15">
        <v>49</v>
      </c>
      <c r="B24" s="21" t="s">
        <v>51</v>
      </c>
      <c r="C24" s="21">
        <f t="shared" si="0"/>
        <v>15111.529446229253</v>
      </c>
      <c r="D24" s="21">
        <f>D52*($D$5/$D$33)*(経済前提!L76/経済前提!L35)*(1+人口等補正!C30)</f>
        <v>15089.119713564891</v>
      </c>
      <c r="E24" s="21">
        <f>E52*($D$5/$D$33)*(1+人口等補正!C30)</f>
        <v>22.409732664362281</v>
      </c>
      <c r="F24" s="21">
        <f t="shared" si="2"/>
        <v>25125.364280151371</v>
      </c>
      <c r="G24" s="21">
        <f t="shared" si="3"/>
        <v>17192.532035944889</v>
      </c>
      <c r="H24" s="21">
        <f t="shared" si="4"/>
        <v>7762.489649760957</v>
      </c>
      <c r="I24" s="21">
        <f>I52*($I$5/$I$33)</f>
        <v>170.34259444552274</v>
      </c>
      <c r="J24" s="21"/>
      <c r="K24" s="21">
        <f t="shared" si="5"/>
        <v>43368.374666960211</v>
      </c>
      <c r="L24" s="21">
        <f>L52*($L$5/$L$33)*基礎年金拠出金の計算!$V35</f>
        <v>34385.064071889778</v>
      </c>
      <c r="M24" s="21">
        <f>M52*($M$5/$M$33)*基礎年金拠出金の計算!$V35</f>
        <v>7762.489649760957</v>
      </c>
      <c r="N24" s="21">
        <f>N52*($K$5-$L$5-$M$5)/SUM($N$33,$K$33-SUM($L$33:$N$33))+(K52-SUM(L52:N52))*($K$5-$L$5-$M$5)/SUM($N$33,$K$33-SUM($L$33:$N$33))*基礎年金拠出金の計算!$V35</f>
        <v>1220.8209453094719</v>
      </c>
      <c r="O24" s="21"/>
    </row>
    <row r="25" spans="1:16" ht="13.5" customHeight="1">
      <c r="A25" s="15">
        <v>50</v>
      </c>
      <c r="B25" s="21" t="s">
        <v>52</v>
      </c>
      <c r="C25" s="21">
        <f t="shared" si="0"/>
        <v>15199.887161334234</v>
      </c>
      <c r="D25" s="21">
        <f>D53*($D$5/$D$33)*(経済前提!L77/経済前提!L36)*(1+人口等補正!C31)</f>
        <v>15178.006643851177</v>
      </c>
      <c r="E25" s="21">
        <f>E53*($D$5/$D$33)*(1+人口等補正!C31)</f>
        <v>21.880517483058107</v>
      </c>
      <c r="F25" s="21">
        <f t="shared" si="2"/>
        <v>25657.949555360847</v>
      </c>
      <c r="G25" s="21">
        <f t="shared" si="3"/>
        <v>17430.984009345189</v>
      </c>
      <c r="H25" s="21">
        <f t="shared" si="4"/>
        <v>8059.313757713493</v>
      </c>
      <c r="I25" s="21">
        <f>I53*($I$5/$I$33)</f>
        <v>167.65178830216362</v>
      </c>
      <c r="J25" s="21"/>
      <c r="K25" s="21">
        <f t="shared" si="5"/>
        <v>44121.780869276285</v>
      </c>
      <c r="L25" s="21">
        <f>L53*($L$5/$L$33)*基礎年金拠出金の計算!$V36</f>
        <v>34861.968018690379</v>
      </c>
      <c r="M25" s="21">
        <f>M53*($M$5/$M$33)*基礎年金拠出金の計算!$V36</f>
        <v>8059.313757713493</v>
      </c>
      <c r="N25" s="21">
        <f>N53*($K$5-$L$5-$M$5)/SUM($N$33,$K$33-SUM($L$33:$N$33))+(K53-SUM(L53:N53))*($K$5-$L$5-$M$5)/SUM($N$33,$K$33-SUM($L$33:$N$33))*基礎年金拠出金の計算!$V36</f>
        <v>1200.499092872418</v>
      </c>
      <c r="O25" s="21"/>
    </row>
    <row r="26" spans="1:16" ht="13.5" customHeight="1">
      <c r="A26" s="15">
        <v>51</v>
      </c>
      <c r="B26" s="21" t="s">
        <v>53</v>
      </c>
      <c r="C26" s="21">
        <f t="shared" si="0"/>
        <v>15296.437815270008</v>
      </c>
      <c r="D26" s="21">
        <f>D54*($D$5/$D$33)*(経済前提!L78/経済前提!L37)*(1+人口等補正!C32)</f>
        <v>15275.063031761245</v>
      </c>
      <c r="E26" s="21">
        <f>E54*($D$5/$D$33)*(1+人口等補正!C32)</f>
        <v>21.374783508763382</v>
      </c>
      <c r="F26" s="21">
        <f t="shared" si="2"/>
        <v>26184.169376956579</v>
      </c>
      <c r="G26" s="21">
        <f t="shared" si="3"/>
        <v>17662.461762289979</v>
      </c>
      <c r="H26" s="21">
        <f t="shared" si="4"/>
        <v>8356.5811967969203</v>
      </c>
      <c r="I26" s="21">
        <f>I54*($I$5/$I$33)</f>
        <v>165.1264178696818</v>
      </c>
      <c r="J26" s="21"/>
      <c r="K26" s="21">
        <f t="shared" si="5"/>
        <v>44860.279460299556</v>
      </c>
      <c r="L26" s="21">
        <f>L54*($L$5/$L$33)*基礎年金拠出金の計算!$V37</f>
        <v>35324.923524579957</v>
      </c>
      <c r="M26" s="21">
        <f>M54*($M$5/$M$33)*基礎年金拠出金の計算!$V37</f>
        <v>8356.5811967969203</v>
      </c>
      <c r="N26" s="21">
        <f>N54*($K$5-$L$5-$M$5)/SUM($N$33,$K$33-SUM($L$33:$N$33))+(K54-SUM(L54:N54))*($K$5-$L$5-$M$5)/SUM($N$33,$K$33-SUM($L$33:$N$33))*基礎年金拠出金の計算!$V37</f>
        <v>1178.7747389226772</v>
      </c>
      <c r="O26" s="21"/>
    </row>
    <row r="27" spans="1:16" ht="13.5" customHeight="1">
      <c r="A27" s="15">
        <v>52</v>
      </c>
      <c r="B27" s="21" t="s">
        <v>54</v>
      </c>
      <c r="C27" s="21">
        <f t="shared" si="0"/>
        <v>15419.418281266533</v>
      </c>
      <c r="D27" s="21">
        <f>D55*($D$5/$D$33)*(経済前提!L79/経済前提!L38)*(1+人口等補正!C33)</f>
        <v>15398.492656730752</v>
      </c>
      <c r="E27" s="21">
        <f>E55*($D$5/$D$33)*(1+人口等補正!C33)</f>
        <v>20.925624535780447</v>
      </c>
      <c r="F27" s="21">
        <f t="shared" si="2"/>
        <v>26670.091942121839</v>
      </c>
      <c r="G27" s="21">
        <f t="shared" si="3"/>
        <v>17865.873551340577</v>
      </c>
      <c r="H27" s="21">
        <f t="shared" si="4"/>
        <v>8641.6629907714414</v>
      </c>
      <c r="I27" s="21">
        <f>I55*($I$5/$I$33)</f>
        <v>162.55540000982026</v>
      </c>
      <c r="J27" s="21"/>
      <c r="K27" s="21">
        <f t="shared" si="5"/>
        <v>45528.189963309378</v>
      </c>
      <c r="L27" s="21">
        <f>L55*($L$5/$L$33)*基礎年金拠出金の計算!$V38</f>
        <v>35731.747102681155</v>
      </c>
      <c r="M27" s="21">
        <f>M55*($M$5/$M$33)*基礎年金拠出金の計算!$V38</f>
        <v>8641.6629907714414</v>
      </c>
      <c r="N27" s="21">
        <f>N55*($K$5-$L$5-$M$5)/SUM($N$33,$K$33-SUM($L$33:$N$33))+(K55-SUM(L55:N55))*($K$5-$L$5-$M$5)/SUM($N$33,$K$33-SUM($L$33:$N$33))*基礎年金拠出金の計算!$V38</f>
        <v>1154.7798698567844</v>
      </c>
      <c r="O27" s="21"/>
    </row>
    <row r="28" spans="1:16" ht="13.5" customHeight="1">
      <c r="D28" s="21"/>
      <c r="E28" s="21"/>
    </row>
    <row r="29" spans="1:16" ht="13.5" customHeight="1">
      <c r="A29" s="131" t="s">
        <v>165</v>
      </c>
    </row>
    <row r="30" spans="1:16" ht="13.5" customHeight="1">
      <c r="C30" s="15" t="s">
        <v>25</v>
      </c>
      <c r="F30" s="15" t="s">
        <v>26</v>
      </c>
      <c r="K30" s="15" t="s">
        <v>172</v>
      </c>
      <c r="L30" s="16"/>
      <c r="M30" s="16"/>
      <c r="N30" s="16"/>
      <c r="O30" s="16"/>
      <c r="P30" s="16"/>
    </row>
    <row r="31" spans="1:16" ht="27" customHeight="1">
      <c r="D31" s="71" t="s">
        <v>34</v>
      </c>
      <c r="E31" s="71" t="s">
        <v>33</v>
      </c>
      <c r="F31" s="71"/>
      <c r="G31" s="71" t="s">
        <v>32</v>
      </c>
      <c r="H31" s="17" t="s">
        <v>35</v>
      </c>
      <c r="I31" s="71" t="s">
        <v>28</v>
      </c>
      <c r="K31" s="80"/>
      <c r="L31" s="19" t="s">
        <v>173</v>
      </c>
      <c r="M31" s="71" t="s">
        <v>35</v>
      </c>
      <c r="N31" s="17" t="s">
        <v>28</v>
      </c>
      <c r="O31" s="197"/>
      <c r="P31" s="18"/>
    </row>
    <row r="32" spans="1:16" ht="13.5" customHeight="1">
      <c r="B32" s="20"/>
      <c r="C32" s="20" t="s">
        <v>12</v>
      </c>
      <c r="D32" s="20" t="s">
        <v>12</v>
      </c>
      <c r="E32" s="20" t="s">
        <v>12</v>
      </c>
      <c r="F32" s="20" t="s">
        <v>12</v>
      </c>
      <c r="G32" s="20" t="s">
        <v>12</v>
      </c>
      <c r="H32" s="20" t="s">
        <v>12</v>
      </c>
      <c r="I32" s="20" t="s">
        <v>12</v>
      </c>
      <c r="J32" s="20"/>
      <c r="K32" s="20"/>
      <c r="L32" s="20" t="s">
        <v>12</v>
      </c>
      <c r="M32" s="20" t="s">
        <v>12</v>
      </c>
      <c r="N32" s="20" t="s">
        <v>12</v>
      </c>
      <c r="O32" s="20"/>
      <c r="P32" s="20"/>
    </row>
    <row r="33" spans="1:16" ht="13.5" customHeight="1">
      <c r="A33" s="15">
        <v>30</v>
      </c>
      <c r="B33" s="21" t="s">
        <v>14</v>
      </c>
      <c r="C33" s="21">
        <f t="shared" ref="C33:C54" si="7">D33+E33</f>
        <v>16438.415354941717</v>
      </c>
      <c r="D33" s="21">
        <v>16402.93940014195</v>
      </c>
      <c r="E33" s="21">
        <v>35.475954799768459</v>
      </c>
      <c r="F33" s="21">
        <f t="shared" ref="F33:F46" si="8">SUM(G33:I33)</f>
        <v>22464.180470039275</v>
      </c>
      <c r="G33" s="21">
        <f t="shared" ref="G33:G55" si="9">L33/2</f>
        <v>18170.2887779542</v>
      </c>
      <c r="H33" s="21">
        <f t="shared" ref="H33:H55" si="10">M33</f>
        <v>4069.764534191992</v>
      </c>
      <c r="I33" s="21">
        <v>224.12715789308172</v>
      </c>
      <c r="J33" s="21"/>
      <c r="K33" s="21">
        <v>41397.687330738292</v>
      </c>
      <c r="L33" s="21">
        <v>36340.5775559084</v>
      </c>
      <c r="M33" s="21">
        <v>4069.764534191992</v>
      </c>
      <c r="N33" s="21">
        <v>896.50863157232686</v>
      </c>
      <c r="O33" s="21"/>
      <c r="P33" s="21"/>
    </row>
    <row r="34" spans="1:16" ht="13.5" customHeight="1">
      <c r="A34" s="15">
        <v>31</v>
      </c>
      <c r="B34" s="21" t="s">
        <v>15</v>
      </c>
      <c r="C34" s="21">
        <f t="shared" si="7"/>
        <v>16409.305713654041</v>
      </c>
      <c r="D34" s="21">
        <v>16374.325570580422</v>
      </c>
      <c r="E34" s="21">
        <v>34.980143073617178</v>
      </c>
      <c r="F34" s="21">
        <f t="shared" si="8"/>
        <v>22740.788718205979</v>
      </c>
      <c r="G34" s="21">
        <f t="shared" si="9"/>
        <v>18299.348263712902</v>
      </c>
      <c r="H34" s="21">
        <f t="shared" si="10"/>
        <v>4219.7520446690232</v>
      </c>
      <c r="I34" s="21">
        <v>221.68840982405368</v>
      </c>
      <c r="J34" s="21"/>
      <c r="K34" s="21">
        <v>41793.392378016317</v>
      </c>
      <c r="L34" s="21">
        <v>36598.696527425804</v>
      </c>
      <c r="M34" s="21">
        <v>4219.7520446690232</v>
      </c>
      <c r="N34" s="21">
        <v>886.75363929621471</v>
      </c>
      <c r="O34" s="21"/>
      <c r="P34" s="21"/>
    </row>
    <row r="35" spans="1:16" ht="13.5" customHeight="1">
      <c r="A35" s="15">
        <v>32</v>
      </c>
      <c r="B35" s="21" t="s">
        <v>16</v>
      </c>
      <c r="C35" s="21">
        <f t="shared" si="7"/>
        <v>16515.444451491821</v>
      </c>
      <c r="D35" s="21">
        <v>16480.857790814523</v>
      </c>
      <c r="E35" s="21">
        <v>34.586660677299612</v>
      </c>
      <c r="F35" s="21">
        <f t="shared" si="8"/>
        <v>23091.414630181393</v>
      </c>
      <c r="G35" s="21">
        <f t="shared" si="9"/>
        <v>18480.447952518702</v>
      </c>
      <c r="H35" s="21">
        <f t="shared" si="10"/>
        <v>4392.3514154569921</v>
      </c>
      <c r="I35" s="21">
        <v>218.61526220569712</v>
      </c>
      <c r="J35" s="21"/>
      <c r="K35" s="21">
        <v>42313.952522955013</v>
      </c>
      <c r="L35" s="21">
        <v>36960.895905037403</v>
      </c>
      <c r="M35" s="21">
        <v>4392.3514154569921</v>
      </c>
      <c r="N35" s="21">
        <v>874.46104882278848</v>
      </c>
      <c r="O35" s="21"/>
      <c r="P35" s="21"/>
    </row>
    <row r="36" spans="1:16" ht="13.5" customHeight="1">
      <c r="A36" s="15">
        <v>33</v>
      </c>
      <c r="B36" s="21" t="s">
        <v>17</v>
      </c>
      <c r="C36" s="21">
        <f t="shared" si="7"/>
        <v>16767.859205305671</v>
      </c>
      <c r="D36" s="21">
        <v>16733.532795496896</v>
      </c>
      <c r="E36" s="21">
        <v>34.326409808776404</v>
      </c>
      <c r="F36" s="21">
        <f t="shared" si="8"/>
        <v>23503.92124098551</v>
      </c>
      <c r="G36" s="21">
        <f t="shared" si="9"/>
        <v>18706.97014126035</v>
      </c>
      <c r="H36" s="21">
        <f t="shared" si="10"/>
        <v>4582.2485609539845</v>
      </c>
      <c r="I36" s="21">
        <v>214.70253877117565</v>
      </c>
      <c r="J36" s="21"/>
      <c r="K36" s="21">
        <v>42939.870870760715</v>
      </c>
      <c r="L36" s="21">
        <v>37413.9402825207</v>
      </c>
      <c r="M36" s="21">
        <v>4582.2485609539845</v>
      </c>
      <c r="N36" s="21">
        <v>858.81015508470261</v>
      </c>
      <c r="O36" s="21"/>
      <c r="P36" s="21"/>
    </row>
    <row r="37" spans="1:16" ht="13.5" customHeight="1">
      <c r="A37" s="15">
        <v>34</v>
      </c>
      <c r="B37" s="21" t="s">
        <v>18</v>
      </c>
      <c r="C37" s="21">
        <f t="shared" si="7"/>
        <v>17135.093872178782</v>
      </c>
      <c r="D37" s="21">
        <v>17100.942279076109</v>
      </c>
      <c r="E37" s="21">
        <v>34.151593102672379</v>
      </c>
      <c r="F37" s="21">
        <f t="shared" si="8"/>
        <v>23930.649229986353</v>
      </c>
      <c r="G37" s="21">
        <f t="shared" si="9"/>
        <v>18936.08322733235</v>
      </c>
      <c r="H37" s="21">
        <f t="shared" si="10"/>
        <v>4783.9994595830076</v>
      </c>
      <c r="I37" s="21">
        <v>210.5665430709949</v>
      </c>
      <c r="J37" s="21"/>
      <c r="K37" s="21">
        <v>43582.200068289065</v>
      </c>
      <c r="L37" s="21">
        <v>37872.166454664701</v>
      </c>
      <c r="M37" s="21">
        <v>4783.9994595830076</v>
      </c>
      <c r="N37" s="21">
        <v>842.26617228397959</v>
      </c>
      <c r="O37" s="21"/>
      <c r="P37" s="21"/>
    </row>
    <row r="38" spans="1:16" ht="13.5" customHeight="1">
      <c r="A38" s="15">
        <v>35</v>
      </c>
      <c r="B38" s="21" t="s">
        <v>19</v>
      </c>
      <c r="C38" s="21">
        <f t="shared" si="7"/>
        <v>17543.06843477963</v>
      </c>
      <c r="D38" s="21">
        <v>17509.098168640066</v>
      </c>
      <c r="E38" s="21">
        <v>33.970266139565489</v>
      </c>
      <c r="F38" s="21">
        <f t="shared" si="8"/>
        <v>24374.232185399273</v>
      </c>
      <c r="G38" s="21">
        <f t="shared" si="9"/>
        <v>19169.118364121499</v>
      </c>
      <c r="H38" s="21">
        <f t="shared" si="10"/>
        <v>4999.0564495690232</v>
      </c>
      <c r="I38" s="21">
        <v>206.05737170875054</v>
      </c>
      <c r="J38" s="21"/>
      <c r="K38" s="21">
        <v>44244.148382114472</v>
      </c>
      <c r="L38" s="21">
        <v>38338.236728242999</v>
      </c>
      <c r="M38" s="21">
        <v>4999.0564495690232</v>
      </c>
      <c r="N38" s="21">
        <v>824.22948683500215</v>
      </c>
      <c r="O38" s="21"/>
      <c r="P38" s="21"/>
    </row>
    <row r="39" spans="1:16" ht="13.5" customHeight="1">
      <c r="A39" s="15">
        <v>36</v>
      </c>
      <c r="B39" s="21" t="s">
        <v>20</v>
      </c>
      <c r="C39" s="21">
        <f t="shared" si="7"/>
        <v>17926.786632564803</v>
      </c>
      <c r="D39" s="21">
        <v>17893.029673193712</v>
      </c>
      <c r="E39" s="21">
        <v>33.756959371089316</v>
      </c>
      <c r="F39" s="21">
        <f t="shared" si="8"/>
        <v>24835.623712008095</v>
      </c>
      <c r="G39" s="21">
        <f t="shared" si="9"/>
        <v>19405.599996931651</v>
      </c>
      <c r="H39" s="21">
        <f t="shared" si="10"/>
        <v>5228.670341771016</v>
      </c>
      <c r="I39" s="21">
        <v>201.3533733054297</v>
      </c>
      <c r="J39" s="21"/>
      <c r="K39" s="21">
        <v>44926.984114580227</v>
      </c>
      <c r="L39" s="21">
        <v>38811.199993863302</v>
      </c>
      <c r="M39" s="21">
        <v>5228.670341771016</v>
      </c>
      <c r="N39" s="21">
        <v>805.4134932217188</v>
      </c>
      <c r="O39" s="21"/>
      <c r="P39" s="21"/>
    </row>
    <row r="40" spans="1:16" ht="13.5" customHeight="1">
      <c r="A40" s="15">
        <v>37</v>
      </c>
      <c r="B40" s="21" t="s">
        <v>21</v>
      </c>
      <c r="C40" s="21">
        <f t="shared" si="7"/>
        <v>18310.419437551358</v>
      </c>
      <c r="D40" s="21">
        <v>18276.878880545912</v>
      </c>
      <c r="E40" s="21">
        <v>33.540557005446949</v>
      </c>
      <c r="F40" s="21">
        <f t="shared" si="8"/>
        <v>25115.645596318893</v>
      </c>
      <c r="G40" s="21">
        <f t="shared" si="9"/>
        <v>19490.4703667781</v>
      </c>
      <c r="H40" s="21">
        <f t="shared" si="10"/>
        <v>5428.7662472239845</v>
      </c>
      <c r="I40" s="21">
        <v>196.40898231681146</v>
      </c>
      <c r="J40" s="21"/>
      <c r="K40" s="21">
        <v>45276.327619998687</v>
      </c>
      <c r="L40" s="21">
        <v>38980.940733556199</v>
      </c>
      <c r="M40" s="21">
        <v>5428.7662472239845</v>
      </c>
      <c r="N40" s="21">
        <v>785.63592926724584</v>
      </c>
      <c r="O40" s="21"/>
      <c r="P40" s="21"/>
    </row>
    <row r="41" spans="1:16" ht="13.5" customHeight="1">
      <c r="A41" s="15">
        <v>38</v>
      </c>
      <c r="B41" s="21" t="s">
        <v>22</v>
      </c>
      <c r="C41" s="21">
        <f t="shared" si="7"/>
        <v>18615.090868395469</v>
      </c>
      <c r="D41" s="21">
        <v>18581.722697058671</v>
      </c>
      <c r="E41" s="21">
        <v>33.368171336799172</v>
      </c>
      <c r="F41" s="21">
        <f t="shared" si="8"/>
        <v>25376.630967480756</v>
      </c>
      <c r="G41" s="21">
        <f t="shared" si="9"/>
        <v>19563.71789272155</v>
      </c>
      <c r="H41" s="21">
        <f t="shared" si="10"/>
        <v>5621.4955494819924</v>
      </c>
      <c r="I41" s="21">
        <v>191.41752527721485</v>
      </c>
      <c r="J41" s="21"/>
      <c r="K41" s="21">
        <v>45595.082255742942</v>
      </c>
      <c r="L41" s="21">
        <v>39127.4357854431</v>
      </c>
      <c r="M41" s="21">
        <v>5621.4955494819924</v>
      </c>
      <c r="N41" s="21">
        <v>765.6701011088594</v>
      </c>
      <c r="O41" s="21"/>
      <c r="P41" s="21"/>
    </row>
    <row r="42" spans="1:16" ht="13.5" customHeight="1">
      <c r="A42" s="15">
        <v>39</v>
      </c>
      <c r="B42" s="21" t="s">
        <v>23</v>
      </c>
      <c r="C42" s="21">
        <f t="shared" si="7"/>
        <v>18904.06850915571</v>
      </c>
      <c r="D42" s="21">
        <v>18870.915180360309</v>
      </c>
      <c r="E42" s="21">
        <v>33.153328795402004</v>
      </c>
      <c r="F42" s="21">
        <f t="shared" si="8"/>
        <v>25667.80831300114</v>
      </c>
      <c r="G42" s="21">
        <f t="shared" si="9"/>
        <v>19663.042809521998</v>
      </c>
      <c r="H42" s="21">
        <f t="shared" si="10"/>
        <v>5818.4141313519922</v>
      </c>
      <c r="I42" s="21">
        <v>186.35137212714733</v>
      </c>
      <c r="J42" s="21"/>
      <c r="K42" s="21">
        <v>45970.294414262869</v>
      </c>
      <c r="L42" s="21">
        <v>39326.085619043995</v>
      </c>
      <c r="M42" s="21">
        <v>5818.4141313519922</v>
      </c>
      <c r="N42" s="21">
        <v>745.40548850858931</v>
      </c>
      <c r="O42" s="21"/>
      <c r="P42" s="21"/>
    </row>
    <row r="43" spans="1:16" ht="13.5" customHeight="1">
      <c r="A43" s="15">
        <v>40</v>
      </c>
      <c r="B43" s="21" t="s">
        <v>24</v>
      </c>
      <c r="C43" s="21">
        <f t="shared" si="7"/>
        <v>19064.12939175767</v>
      </c>
      <c r="D43" s="21">
        <v>19031.2976583731</v>
      </c>
      <c r="E43" s="21">
        <v>32.831733384570938</v>
      </c>
      <c r="F43" s="21">
        <f t="shared" si="8"/>
        <v>25945.131176367104</v>
      </c>
      <c r="G43" s="21">
        <f t="shared" si="9"/>
        <v>19744.828250259699</v>
      </c>
      <c r="H43" s="21">
        <f t="shared" si="10"/>
        <v>6019.0275448190232</v>
      </c>
      <c r="I43" s="21">
        <v>181.27538128838023</v>
      </c>
      <c r="J43" s="21"/>
      <c r="K43" s="21">
        <v>46315.116542927048</v>
      </c>
      <c r="L43" s="21">
        <v>39489.656500519399</v>
      </c>
      <c r="M43" s="21">
        <v>6019.0275448190232</v>
      </c>
      <c r="N43" s="21">
        <v>725.10152515352092</v>
      </c>
      <c r="O43" s="21"/>
      <c r="P43" s="21"/>
    </row>
    <row r="44" spans="1:16" ht="13.5" customHeight="1">
      <c r="A44" s="15">
        <v>41</v>
      </c>
      <c r="B44" s="21" t="s">
        <v>43</v>
      </c>
      <c r="C44" s="21">
        <f t="shared" si="7"/>
        <v>19148.401660280018</v>
      </c>
      <c r="D44" s="21">
        <v>19115.977685131034</v>
      </c>
      <c r="E44" s="21">
        <v>32.42397514898429</v>
      </c>
      <c r="F44" s="21">
        <f t="shared" si="8"/>
        <v>26233.695771442752</v>
      </c>
      <c r="G44" s="21">
        <f t="shared" si="9"/>
        <v>19824.3634942969</v>
      </c>
      <c r="H44" s="21">
        <f t="shared" si="10"/>
        <v>6232.9538982000004</v>
      </c>
      <c r="I44" s="21">
        <v>176.37837894584877</v>
      </c>
      <c r="J44" s="21"/>
      <c r="K44" s="21">
        <v>46669.659255560298</v>
      </c>
      <c r="L44" s="21">
        <v>39648.7269885938</v>
      </c>
      <c r="M44" s="21">
        <v>6232.9538982000004</v>
      </c>
      <c r="N44" s="21">
        <v>705.51351578339506</v>
      </c>
      <c r="O44" s="21"/>
      <c r="P44" s="21"/>
    </row>
    <row r="45" spans="1:16" ht="13.5" customHeight="1">
      <c r="A45" s="15">
        <v>42</v>
      </c>
      <c r="B45" s="21" t="s">
        <v>44</v>
      </c>
      <c r="C45" s="21">
        <f t="shared" si="7"/>
        <v>19230.545374882164</v>
      </c>
      <c r="D45" s="21">
        <v>19198.552782316678</v>
      </c>
      <c r="E45" s="21">
        <v>31.992592565486536</v>
      </c>
      <c r="F45" s="21">
        <f t="shared" si="8"/>
        <v>26585.235276717613</v>
      </c>
      <c r="G45" s="21">
        <f t="shared" si="9"/>
        <v>19952.71404090125</v>
      </c>
      <c r="H45" s="21">
        <f t="shared" si="10"/>
        <v>6460.8253767449996</v>
      </c>
      <c r="I45" s="21">
        <v>171.69585907136232</v>
      </c>
      <c r="J45" s="21"/>
      <c r="K45" s="21">
        <v>47136.880954996159</v>
      </c>
      <c r="L45" s="21">
        <v>39905.4280818025</v>
      </c>
      <c r="M45" s="21">
        <v>6460.8253767449996</v>
      </c>
      <c r="N45" s="21">
        <v>686.78343628544928</v>
      </c>
      <c r="O45" s="21"/>
      <c r="P45" s="21"/>
    </row>
    <row r="46" spans="1:16" ht="13.5" customHeight="1">
      <c r="A46" s="15">
        <v>43</v>
      </c>
      <c r="B46" s="21" t="s">
        <v>45</v>
      </c>
      <c r="C46" s="21">
        <f t="shared" si="7"/>
        <v>19375.171660790966</v>
      </c>
      <c r="D46" s="21">
        <v>19343.51484592475</v>
      </c>
      <c r="E46" s="21">
        <v>31.656814866216678</v>
      </c>
      <c r="F46" s="21">
        <f t="shared" si="8"/>
        <v>26976.043793372584</v>
      </c>
      <c r="G46" s="21">
        <f t="shared" si="9"/>
        <v>20126.816624681549</v>
      </c>
      <c r="H46" s="21">
        <f t="shared" si="10"/>
        <v>6682.1889262419918</v>
      </c>
      <c r="I46" s="21">
        <v>167.0382424490451</v>
      </c>
      <c r="J46" s="21"/>
      <c r="K46" s="21">
        <v>47690.381779347947</v>
      </c>
      <c r="L46" s="21">
        <v>40253.633249363098</v>
      </c>
      <c r="M46" s="21">
        <v>6682.1889262419918</v>
      </c>
      <c r="N46" s="21">
        <v>668.1529697961804</v>
      </c>
      <c r="O46" s="21"/>
      <c r="P46" s="21"/>
    </row>
    <row r="47" spans="1:16" ht="13.5" customHeight="1">
      <c r="A47" s="15">
        <v>44</v>
      </c>
      <c r="B47" s="21" t="s">
        <v>46</v>
      </c>
      <c r="C47" s="21">
        <f t="shared" si="7"/>
        <v>19527.218028971281</v>
      </c>
      <c r="D47" s="21">
        <v>19495.942305185927</v>
      </c>
      <c r="E47" s="21">
        <v>31.275723785353886</v>
      </c>
      <c r="F47" s="21">
        <f t="shared" ref="F47:F55" si="11">SUM(G47:I47)</f>
        <v>27414.27214943814</v>
      </c>
      <c r="G47" s="21">
        <f t="shared" si="9"/>
        <v>20344.277589634399</v>
      </c>
      <c r="H47" s="21">
        <f t="shared" si="10"/>
        <v>6907.4298060919918</v>
      </c>
      <c r="I47" s="21">
        <v>162.56475371174722</v>
      </c>
      <c r="J47" s="21"/>
      <c r="K47" s="21">
        <v>48335.463363034418</v>
      </c>
      <c r="L47" s="21">
        <v>40688.555179268798</v>
      </c>
      <c r="M47" s="21">
        <v>6907.4298060919918</v>
      </c>
      <c r="N47" s="21">
        <v>650.25901484698886</v>
      </c>
      <c r="O47" s="21"/>
      <c r="P47" s="21"/>
    </row>
    <row r="48" spans="1:16" ht="13.5" customHeight="1">
      <c r="A48" s="15">
        <v>45</v>
      </c>
      <c r="B48" s="21" t="s">
        <v>47</v>
      </c>
      <c r="C48" s="21">
        <f t="shared" si="7"/>
        <v>19628.809076803755</v>
      </c>
      <c r="D48" s="21">
        <v>19598.068098516498</v>
      </c>
      <c r="E48" s="21">
        <v>30.740978287258049</v>
      </c>
      <c r="F48" s="21">
        <f t="shared" si="11"/>
        <v>27964.421908788361</v>
      </c>
      <c r="G48" s="21">
        <f t="shared" si="9"/>
        <v>20636.29389246475</v>
      </c>
      <c r="H48" s="21">
        <f t="shared" si="10"/>
        <v>7169.3797973660157</v>
      </c>
      <c r="I48" s="21">
        <v>158.74821895759828</v>
      </c>
      <c r="J48" s="21"/>
      <c r="K48" s="21">
        <v>49168.231827510303</v>
      </c>
      <c r="L48" s="21">
        <v>41272.587784929499</v>
      </c>
      <c r="M48" s="21">
        <v>7169.3797973660157</v>
      </c>
      <c r="N48" s="21">
        <v>634.99287583039313</v>
      </c>
      <c r="O48" s="21"/>
      <c r="P48" s="21"/>
    </row>
    <row r="49" spans="1:16" ht="13.5" customHeight="1">
      <c r="A49" s="15">
        <v>46</v>
      </c>
      <c r="B49" s="21" t="s">
        <v>48</v>
      </c>
      <c r="C49" s="21">
        <f t="shared" si="7"/>
        <v>19706.94109975508</v>
      </c>
      <c r="D49" s="21">
        <v>19676.795295090265</v>
      </c>
      <c r="E49" s="21">
        <v>30.145804664816698</v>
      </c>
      <c r="F49" s="21">
        <f t="shared" si="11"/>
        <v>28515.290490463794</v>
      </c>
      <c r="G49" s="21">
        <f t="shared" si="9"/>
        <v>20916.859930087849</v>
      </c>
      <c r="H49" s="21">
        <f t="shared" si="10"/>
        <v>7443.2690046530079</v>
      </c>
      <c r="I49" s="21">
        <v>155.16155572293911</v>
      </c>
      <c r="J49" s="21"/>
      <c r="K49" s="21">
        <v>49991.053975269795</v>
      </c>
      <c r="L49" s="21">
        <v>41833.719860175697</v>
      </c>
      <c r="M49" s="21">
        <v>7443.2690046530079</v>
      </c>
      <c r="N49" s="21">
        <v>620.64622289175645</v>
      </c>
      <c r="O49" s="21"/>
      <c r="P49" s="21"/>
    </row>
    <row r="50" spans="1:16" ht="13.5" customHeight="1">
      <c r="A50" s="15">
        <v>47</v>
      </c>
      <c r="B50" s="21" t="s">
        <v>49</v>
      </c>
      <c r="C50" s="21">
        <f t="shared" si="7"/>
        <v>19783.189666582733</v>
      </c>
      <c r="D50" s="21">
        <v>19753.659963332178</v>
      </c>
      <c r="E50" s="21">
        <v>29.529703250554419</v>
      </c>
      <c r="F50" s="21">
        <f t="shared" si="11"/>
        <v>29119.689794879348</v>
      </c>
      <c r="G50" s="21">
        <f t="shared" si="9"/>
        <v>21231.416274954699</v>
      </c>
      <c r="H50" s="21">
        <f t="shared" si="10"/>
        <v>7736.4783571020316</v>
      </c>
      <c r="I50" s="21">
        <v>151.79516282261659</v>
      </c>
      <c r="J50" s="21"/>
      <c r="K50" s="21">
        <v>50901.707226414961</v>
      </c>
      <c r="L50" s="21">
        <v>42462.832549909399</v>
      </c>
      <c r="M50" s="21">
        <v>7736.4783571020316</v>
      </c>
      <c r="N50" s="21">
        <v>607.18065129046636</v>
      </c>
      <c r="O50" s="21"/>
      <c r="P50" s="21"/>
    </row>
    <row r="51" spans="1:16" ht="13.5" customHeight="1">
      <c r="A51" s="15">
        <v>48</v>
      </c>
      <c r="B51" s="21" t="s">
        <v>50</v>
      </c>
      <c r="C51" s="21">
        <f t="shared" si="7"/>
        <v>19869.696371024755</v>
      </c>
      <c r="D51" s="21">
        <v>19840.825578171211</v>
      </c>
      <c r="E51" s="21">
        <v>28.870792853544064</v>
      </c>
      <c r="F51" s="21">
        <f t="shared" si="11"/>
        <v>29735.567810459641</v>
      </c>
      <c r="G51" s="21">
        <f t="shared" si="9"/>
        <v>21542.450699508448</v>
      </c>
      <c r="H51" s="21">
        <f t="shared" si="10"/>
        <v>8044.3649307850001</v>
      </c>
      <c r="I51" s="21">
        <v>148.75218016619431</v>
      </c>
      <c r="J51" s="21"/>
      <c r="K51" s="21">
        <v>51819.595559958216</v>
      </c>
      <c r="L51" s="21">
        <v>43084.901399016897</v>
      </c>
      <c r="M51" s="21">
        <v>8044.3649307850001</v>
      </c>
      <c r="N51" s="21">
        <v>595.00872066477723</v>
      </c>
      <c r="O51" s="21"/>
      <c r="P51" s="21"/>
    </row>
    <row r="52" spans="1:16" ht="13.5" customHeight="1">
      <c r="A52" s="15">
        <v>49</v>
      </c>
      <c r="B52" s="21" t="s">
        <v>51</v>
      </c>
      <c r="C52" s="21">
        <f t="shared" si="7"/>
        <v>19943.735259451088</v>
      </c>
      <c r="D52" s="21">
        <v>19915.572980657584</v>
      </c>
      <c r="E52" s="21">
        <v>28.162278793505234</v>
      </c>
      <c r="F52" s="21">
        <f t="shared" si="11"/>
        <v>30360.399859820478</v>
      </c>
      <c r="G52" s="21">
        <f t="shared" si="9"/>
        <v>21852.793050603701</v>
      </c>
      <c r="H52" s="21">
        <f t="shared" si="10"/>
        <v>8361.5229645579693</v>
      </c>
      <c r="I52" s="21">
        <v>146.08384465880945</v>
      </c>
      <c r="J52" s="21"/>
      <c r="K52" s="21">
        <v>52745.806832036549</v>
      </c>
      <c r="L52" s="21">
        <v>43705.586101207402</v>
      </c>
      <c r="M52" s="21">
        <v>8361.5229645579693</v>
      </c>
      <c r="N52" s="21">
        <v>584.33537863523782</v>
      </c>
      <c r="O52" s="21"/>
      <c r="P52" s="21"/>
    </row>
    <row r="53" spans="1:16" ht="13.5" customHeight="1">
      <c r="A53" s="15">
        <v>50</v>
      </c>
      <c r="B53" s="21" t="s">
        <v>52</v>
      </c>
      <c r="C53" s="21">
        <f t="shared" si="7"/>
        <v>20022.066628750668</v>
      </c>
      <c r="D53" s="21">
        <v>19994.621942925423</v>
      </c>
      <c r="E53" s="21">
        <v>27.444685825244775</v>
      </c>
      <c r="F53" s="21">
        <f t="shared" si="11"/>
        <v>30998.49084122678</v>
      </c>
      <c r="G53" s="21">
        <f t="shared" si="9"/>
        <v>22168.512147721001</v>
      </c>
      <c r="H53" s="21">
        <f t="shared" si="10"/>
        <v>8686.2024531659772</v>
      </c>
      <c r="I53" s="21">
        <v>143.77624033980189</v>
      </c>
      <c r="J53" s="21"/>
      <c r="K53" s="21">
        <v>53690.682142006961</v>
      </c>
      <c r="L53" s="21">
        <v>44337.024295442003</v>
      </c>
      <c r="M53" s="21">
        <v>8686.2024531659772</v>
      </c>
      <c r="N53" s="21">
        <v>575.10496135920755</v>
      </c>
      <c r="O53" s="21"/>
      <c r="P53" s="21"/>
    </row>
    <row r="54" spans="1:16" ht="13.5" customHeight="1">
      <c r="A54" s="15">
        <v>51</v>
      </c>
      <c r="B54" s="21" t="s">
        <v>53</v>
      </c>
      <c r="C54" s="21">
        <f t="shared" si="7"/>
        <v>20110.638106310013</v>
      </c>
      <c r="D54" s="21">
        <v>20083.879189450407</v>
      </c>
      <c r="E54" s="21">
        <v>26.758916859607325</v>
      </c>
      <c r="F54" s="21">
        <f t="shared" si="11"/>
        <v>31622.121176468132</v>
      </c>
      <c r="G54" s="21">
        <f t="shared" si="9"/>
        <v>22470.765426287449</v>
      </c>
      <c r="H54" s="21">
        <f t="shared" si="10"/>
        <v>9009.7452384019925</v>
      </c>
      <c r="I54" s="21">
        <v>141.61051177868967</v>
      </c>
      <c r="J54" s="21"/>
      <c r="K54" s="21">
        <v>54606.692584371893</v>
      </c>
      <c r="L54" s="21">
        <v>44941.530852574899</v>
      </c>
      <c r="M54" s="21">
        <v>9009.7452384019925</v>
      </c>
      <c r="N54" s="21">
        <v>566.44204711475868</v>
      </c>
      <c r="O54" s="21"/>
      <c r="P54" s="21"/>
    </row>
    <row r="55" spans="1:16" ht="13.5" customHeight="1">
      <c r="A55" s="15">
        <v>52</v>
      </c>
      <c r="B55" s="21" t="s">
        <v>54</v>
      </c>
      <c r="C55" s="21">
        <f>D55+E55</f>
        <v>20231.974830942276</v>
      </c>
      <c r="D55" s="21">
        <v>20205.830403341144</v>
      </c>
      <c r="E55" s="21">
        <v>26.144427601131724</v>
      </c>
      <c r="F55" s="21">
        <f t="shared" si="11"/>
        <v>32192.745220833291</v>
      </c>
      <c r="G55" s="21">
        <f t="shared" si="9"/>
        <v>22734.288707901051</v>
      </c>
      <c r="H55" s="21">
        <f t="shared" si="10"/>
        <v>9319.0508764219921</v>
      </c>
      <c r="I55" s="21">
        <v>139.40563651024848</v>
      </c>
      <c r="J55" s="21"/>
      <c r="K55" s="21">
        <v>55429.73284463834</v>
      </c>
      <c r="L55" s="21">
        <v>45468.577415802101</v>
      </c>
      <c r="M55" s="21">
        <v>9319.0508764219921</v>
      </c>
      <c r="N55" s="21">
        <v>557.62254604099394</v>
      </c>
      <c r="O55" s="21"/>
      <c r="P55" s="21"/>
    </row>
  </sheetData>
  <phoneticPr fontId="1"/>
  <printOptions horizontalCentered="1"/>
  <pageMargins left="0.39370078740157483" right="0" top="0.78740157480314965" bottom="0.19685039370078741" header="0.51181102362204722" footer="0.51181102362204722"/>
  <pageSetup paperSize="9" scale="1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Normal="100" workbookViewId="0"/>
  </sheetViews>
  <sheetFormatPr defaultRowHeight="13.5"/>
  <cols>
    <col min="1" max="2" width="7.625" style="1" customWidth="1"/>
    <col min="3" max="5" width="11.25" style="1" customWidth="1"/>
    <col min="6" max="6" width="11.25" style="10" customWidth="1"/>
    <col min="7" max="7" width="9" style="1"/>
    <col min="8" max="8" width="9.25" style="1" bestFit="1" customWidth="1"/>
    <col min="9" max="16384" width="9" style="1"/>
  </cols>
  <sheetData>
    <row r="1" spans="1:16">
      <c r="A1" s="35" t="s">
        <v>168</v>
      </c>
    </row>
    <row r="2" spans="1:16">
      <c r="F2" s="10" t="s">
        <v>171</v>
      </c>
    </row>
    <row r="3" spans="1:16">
      <c r="A3" s="3" t="s">
        <v>55</v>
      </c>
      <c r="B3" s="3"/>
      <c r="C3" s="3" t="s">
        <v>56</v>
      </c>
      <c r="D3" s="4" t="s">
        <v>57</v>
      </c>
      <c r="E3" s="6" t="s">
        <v>13</v>
      </c>
      <c r="F3" s="11" t="s">
        <v>58</v>
      </c>
    </row>
    <row r="4" spans="1:16">
      <c r="A4" s="82"/>
      <c r="B4" s="82"/>
      <c r="C4" s="82" t="s">
        <v>59</v>
      </c>
      <c r="D4" s="82"/>
      <c r="E4" s="83"/>
      <c r="F4" s="84"/>
    </row>
    <row r="5" spans="1:16">
      <c r="A5" s="87">
        <v>30</v>
      </c>
      <c r="B5" s="88">
        <v>2018</v>
      </c>
      <c r="C5" s="89">
        <f>SUM(厚生年金!I5:K5)</f>
        <v>502535.77962218528</v>
      </c>
      <c r="D5" s="89">
        <f>厚生年金!C5</f>
        <v>364292.81280378974</v>
      </c>
      <c r="E5" s="89">
        <f>厚生年金!D5-F5</f>
        <v>102082.84309999997</v>
      </c>
      <c r="F5" s="90">
        <f>厚生年金!Q5+厚生年金!M5/2</f>
        <v>7057.6702875178935</v>
      </c>
      <c r="H5" s="12"/>
      <c r="M5" s="30"/>
      <c r="N5" s="30"/>
      <c r="O5" s="30"/>
      <c r="P5" s="30"/>
    </row>
    <row r="6" spans="1:16">
      <c r="A6" s="8">
        <f t="shared" ref="A6:A27" si="0">A5+1</f>
        <v>31</v>
      </c>
      <c r="B6" s="81">
        <f t="shared" ref="B6:B27" si="1">B5+1</f>
        <v>2019</v>
      </c>
      <c r="C6" s="85">
        <f>SUM(厚生年金!I6:K6)</f>
        <v>504392.59227645322</v>
      </c>
      <c r="D6" s="85">
        <f>厚生年金!C6</f>
        <v>372881.43577945157</v>
      </c>
      <c r="E6" s="85">
        <f>厚生年金!D6-F6</f>
        <v>103070.92128711814</v>
      </c>
      <c r="F6" s="14">
        <f>厚生年金!Q6+厚生年金!M6/2</f>
        <v>7106.0936461777219</v>
      </c>
      <c r="H6" s="12"/>
      <c r="M6" s="30"/>
      <c r="N6" s="30"/>
      <c r="O6" s="30"/>
      <c r="P6" s="30"/>
    </row>
    <row r="7" spans="1:16">
      <c r="A7" s="8">
        <f t="shared" si="0"/>
        <v>32</v>
      </c>
      <c r="B7" s="81">
        <f t="shared" si="1"/>
        <v>2020</v>
      </c>
      <c r="C7" s="85">
        <f>SUM(厚生年金!I7:K7)</f>
        <v>512817.31297699362</v>
      </c>
      <c r="D7" s="85">
        <f>厚生年金!C7</f>
        <v>384829.52234950243</v>
      </c>
      <c r="E7" s="85">
        <f>厚生年金!D7-F7</f>
        <v>105171.99397463776</v>
      </c>
      <c r="F7" s="14">
        <f>厚生年金!Q7+厚生年金!M7/2</f>
        <v>7233.4659101393436</v>
      </c>
      <c r="H7" s="12"/>
      <c r="M7" s="30"/>
      <c r="N7" s="30"/>
      <c r="O7" s="30"/>
      <c r="P7" s="30"/>
    </row>
    <row r="8" spans="1:16">
      <c r="A8" s="8">
        <f t="shared" si="0"/>
        <v>33</v>
      </c>
      <c r="B8" s="81">
        <f t="shared" si="1"/>
        <v>2021</v>
      </c>
      <c r="C8" s="85">
        <f>SUM(厚生年金!I8:K8)</f>
        <v>525921.35359255516</v>
      </c>
      <c r="D8" s="85">
        <f>厚生年金!C8</f>
        <v>397565.49118411483</v>
      </c>
      <c r="E8" s="85">
        <f>厚生年金!D8-F8</f>
        <v>107426.76138230292</v>
      </c>
      <c r="F8" s="14">
        <f>厚生年金!Q8+厚生年金!M8/2</f>
        <v>7377.6512757078262</v>
      </c>
      <c r="H8" s="13"/>
      <c r="M8" s="30"/>
      <c r="N8" s="30"/>
      <c r="O8" s="30"/>
      <c r="P8" s="30"/>
    </row>
    <row r="9" spans="1:16">
      <c r="A9" s="8">
        <f t="shared" si="0"/>
        <v>34</v>
      </c>
      <c r="B9" s="81">
        <f t="shared" si="1"/>
        <v>2022</v>
      </c>
      <c r="C9" s="85">
        <f>SUM(厚生年金!I9:K9)</f>
        <v>536198.65612124559</v>
      </c>
      <c r="D9" s="85">
        <f>厚生年金!C9</f>
        <v>411356.00037600147</v>
      </c>
      <c r="E9" s="85">
        <f>厚生年金!D9-F9</f>
        <v>109385.68982946627</v>
      </c>
      <c r="F9" s="14">
        <f>厚生年金!Q9+厚生年金!M9/2</f>
        <v>7509.3270527620971</v>
      </c>
      <c r="H9" s="13"/>
      <c r="M9" s="30"/>
      <c r="N9" s="30"/>
      <c r="O9" s="30"/>
      <c r="P9" s="30"/>
    </row>
    <row r="10" spans="1:16">
      <c r="A10" s="8">
        <f t="shared" si="0"/>
        <v>35</v>
      </c>
      <c r="B10" s="81">
        <f t="shared" si="1"/>
        <v>2023</v>
      </c>
      <c r="C10" s="85">
        <f>SUM(厚生年金!I10:K10)</f>
        <v>545240.06463669788</v>
      </c>
      <c r="D10" s="85">
        <f>厚生年金!C10</f>
        <v>425974.34016356419</v>
      </c>
      <c r="E10" s="85">
        <f>厚生年金!D10-F10</f>
        <v>111268.2789050445</v>
      </c>
      <c r="F10" s="14">
        <f>厚生年金!Q10+厚生年金!M10/2</f>
        <v>7642.1656659343535</v>
      </c>
      <c r="H10" s="13"/>
      <c r="M10" s="30"/>
      <c r="N10" s="30"/>
      <c r="O10" s="30"/>
      <c r="P10" s="30"/>
    </row>
    <row r="11" spans="1:16">
      <c r="A11" s="8">
        <f t="shared" si="0"/>
        <v>36</v>
      </c>
      <c r="B11" s="81">
        <f t="shared" si="1"/>
        <v>2024</v>
      </c>
      <c r="C11" s="85">
        <f>SUM(厚生年金!I11:K11)</f>
        <v>557453.04096419504</v>
      </c>
      <c r="D11" s="85">
        <f>厚生年金!C11</f>
        <v>439070.88966003439</v>
      </c>
      <c r="E11" s="85">
        <f>厚生年金!D11-F11</f>
        <v>113276.50413527979</v>
      </c>
      <c r="F11" s="14">
        <f>厚生年金!Q11+厚生年金!M11/2</f>
        <v>7787.8806560759804</v>
      </c>
      <c r="H11" s="13"/>
      <c r="M11" s="30"/>
      <c r="N11" s="30"/>
      <c r="O11" s="30"/>
      <c r="P11" s="30"/>
    </row>
    <row r="12" spans="1:16">
      <c r="A12" s="8">
        <f t="shared" si="0"/>
        <v>37</v>
      </c>
      <c r="B12" s="81">
        <f t="shared" si="1"/>
        <v>2025</v>
      </c>
      <c r="C12" s="85">
        <f>SUM(厚生年金!I12:K12)</f>
        <v>567755.34704093914</v>
      </c>
      <c r="D12" s="85">
        <f>厚生年金!C12</f>
        <v>452885.52340188716</v>
      </c>
      <c r="E12" s="85">
        <f>厚生年金!D12-F12</f>
        <v>115417.40727579067</v>
      </c>
      <c r="F12" s="14">
        <f>厚生年金!Q12+厚生年金!M12/2</f>
        <v>7947.9845957383823</v>
      </c>
      <c r="H12" s="13"/>
      <c r="M12" s="30"/>
      <c r="N12" s="30"/>
      <c r="O12" s="30"/>
      <c r="P12" s="30"/>
    </row>
    <row r="13" spans="1:16">
      <c r="A13" s="8">
        <f t="shared" si="0"/>
        <v>38</v>
      </c>
      <c r="B13" s="81">
        <f t="shared" si="1"/>
        <v>2026</v>
      </c>
      <c r="C13" s="85">
        <f>SUM(厚生年金!I13:K13)</f>
        <v>576978.95047842036</v>
      </c>
      <c r="D13" s="85">
        <f>厚生年金!C13</f>
        <v>468841.06864703569</v>
      </c>
      <c r="E13" s="85">
        <f>厚生年金!D13-F13</f>
        <v>117420.17724630158</v>
      </c>
      <c r="F13" s="14">
        <f>厚生年金!Q13+厚生年金!M13/2</f>
        <v>8103.3515162123585</v>
      </c>
      <c r="H13" s="13"/>
      <c r="M13" s="30"/>
      <c r="N13" s="30"/>
      <c r="O13" s="30"/>
      <c r="P13" s="30"/>
    </row>
    <row r="14" spans="1:16">
      <c r="A14" s="8">
        <f t="shared" si="0"/>
        <v>39</v>
      </c>
      <c r="B14" s="81">
        <f t="shared" si="1"/>
        <v>2027</v>
      </c>
      <c r="C14" s="85">
        <f>SUM(厚生年金!I14:K14)</f>
        <v>589580.45498608868</v>
      </c>
      <c r="D14" s="85">
        <f>厚生年金!C14</f>
        <v>485077.18898214254</v>
      </c>
      <c r="E14" s="85">
        <f>厚生年金!D14-F14</f>
        <v>119421.86974550005</v>
      </c>
      <c r="F14" s="14">
        <f>厚生年金!Q14+厚生年金!M14/2</f>
        <v>8256.4164292969217</v>
      </c>
      <c r="H14" s="13"/>
      <c r="M14" s="30"/>
      <c r="N14" s="30"/>
      <c r="O14" s="30"/>
      <c r="P14" s="30"/>
    </row>
    <row r="15" spans="1:16">
      <c r="A15" s="8">
        <f t="shared" si="0"/>
        <v>40</v>
      </c>
      <c r="B15" s="81">
        <f t="shared" si="1"/>
        <v>2028</v>
      </c>
      <c r="C15" s="85">
        <f>SUM(厚生年金!I15:K15)</f>
        <v>602259.52762258402</v>
      </c>
      <c r="D15" s="85">
        <f>厚生年金!C15</f>
        <v>498564.08602979511</v>
      </c>
      <c r="E15" s="85">
        <f>厚生年金!D15-F15</f>
        <v>121574.8947054146</v>
      </c>
      <c r="F15" s="14">
        <f>厚生年金!Q15+厚生年金!M15/2</f>
        <v>8432.046327827431</v>
      </c>
      <c r="H15" s="13"/>
      <c r="M15" s="30"/>
      <c r="N15" s="30"/>
      <c r="O15" s="30"/>
      <c r="P15" s="30"/>
    </row>
    <row r="16" spans="1:16">
      <c r="A16" s="8">
        <f t="shared" si="0"/>
        <v>41</v>
      </c>
      <c r="B16" s="81">
        <f t="shared" si="1"/>
        <v>2029</v>
      </c>
      <c r="C16" s="85">
        <f>SUM(厚生年金!I16:K16)</f>
        <v>612755.13117978652</v>
      </c>
      <c r="D16" s="85">
        <f>厚生年金!C16</f>
        <v>509855.37090078753</v>
      </c>
      <c r="E16" s="85">
        <f>厚生年金!D16-F16</f>
        <v>122963.42855478232</v>
      </c>
      <c r="F16" s="14">
        <f>厚生年金!Q16+厚生年金!M16/2</f>
        <v>8566.544584892923</v>
      </c>
      <c r="H16" s="13"/>
      <c r="M16" s="30"/>
      <c r="N16" s="30"/>
      <c r="O16" s="30"/>
      <c r="P16" s="30"/>
    </row>
    <row r="17" spans="1:16">
      <c r="A17" s="8">
        <f t="shared" si="0"/>
        <v>42</v>
      </c>
      <c r="B17" s="81">
        <f t="shared" si="1"/>
        <v>2030</v>
      </c>
      <c r="C17" s="85">
        <f>SUM(厚生年金!I17:K17)</f>
        <v>622567.94608784642</v>
      </c>
      <c r="D17" s="85">
        <f>厚生年金!C17</f>
        <v>520584.10236771486</v>
      </c>
      <c r="E17" s="85">
        <f>厚生年金!D17-F17</f>
        <v>124428.86460410862</v>
      </c>
      <c r="F17" s="14">
        <f>厚生年金!Q17+厚生年金!M17/2</f>
        <v>8715.6187555494853</v>
      </c>
      <c r="H17" s="13"/>
      <c r="M17" s="30"/>
      <c r="N17" s="30"/>
      <c r="O17" s="30"/>
      <c r="P17" s="30"/>
    </row>
    <row r="18" spans="1:16">
      <c r="A18" s="8">
        <f t="shared" si="0"/>
        <v>43</v>
      </c>
      <c r="B18" s="81">
        <f t="shared" si="1"/>
        <v>2031</v>
      </c>
      <c r="C18" s="86">
        <f>SUM(厚生年金!I18:K18)</f>
        <v>630390.29222856695</v>
      </c>
      <c r="D18" s="86">
        <f>厚生年金!C18</f>
        <v>529598.50083386572</v>
      </c>
      <c r="E18" s="86">
        <f>厚生年金!D18-F18</f>
        <v>125515.46318847057</v>
      </c>
      <c r="F18" s="14">
        <f>厚生年金!Q18+厚生年金!M18/2</f>
        <v>8861.0745210215027</v>
      </c>
      <c r="M18" s="30"/>
      <c r="N18" s="30"/>
      <c r="O18" s="30"/>
      <c r="P18" s="30"/>
    </row>
    <row r="19" spans="1:16">
      <c r="A19" s="8">
        <f t="shared" si="0"/>
        <v>44</v>
      </c>
      <c r="B19" s="81">
        <f t="shared" si="1"/>
        <v>2032</v>
      </c>
      <c r="C19" s="86">
        <f>SUM(厚生年金!I19:K19)</f>
        <v>639785.28244702832</v>
      </c>
      <c r="D19" s="86">
        <f>厚生年金!C19</f>
        <v>537523.17793194915</v>
      </c>
      <c r="E19" s="86">
        <f>厚生年金!D19-F19</f>
        <v>126518.11521952561</v>
      </c>
      <c r="F19" s="14">
        <f>厚生年金!Q19+厚生年金!M19/2</f>
        <v>9020.7202269705813</v>
      </c>
      <c r="M19" s="30"/>
      <c r="N19" s="30"/>
      <c r="O19" s="30"/>
      <c r="P19" s="30"/>
    </row>
    <row r="20" spans="1:16">
      <c r="A20" s="8">
        <f t="shared" si="0"/>
        <v>45</v>
      </c>
      <c r="B20" s="81">
        <f t="shared" si="1"/>
        <v>2033</v>
      </c>
      <c r="C20" s="86">
        <f>SUM(厚生年金!I20:K20)</f>
        <v>652435.95080475288</v>
      </c>
      <c r="D20" s="86">
        <f>厚生年金!C20</f>
        <v>545212.05421640805</v>
      </c>
      <c r="E20" s="86">
        <f>厚生年金!D20-F20</f>
        <v>128209.08172388551</v>
      </c>
      <c r="F20" s="14">
        <f>厚生年金!Q20+厚生年金!M20/2</f>
        <v>9243.3265736568046</v>
      </c>
      <c r="M20" s="30"/>
      <c r="N20" s="30"/>
      <c r="O20" s="30"/>
      <c r="P20" s="30"/>
    </row>
    <row r="21" spans="1:16">
      <c r="A21" s="8">
        <f t="shared" si="0"/>
        <v>46</v>
      </c>
      <c r="B21" s="81">
        <f t="shared" si="1"/>
        <v>2034</v>
      </c>
      <c r="C21" s="86">
        <f>SUM(厚生年金!I21:K21)</f>
        <v>665803.05266984692</v>
      </c>
      <c r="D21" s="86">
        <f>厚生年金!C21</f>
        <v>552493.8160638907</v>
      </c>
      <c r="E21" s="86">
        <f>厚生年金!D21-F21</f>
        <v>130023.55290187302</v>
      </c>
      <c r="F21" s="14">
        <f>厚生年金!Q21+厚生年金!M21/2</f>
        <v>9480.5442337652476</v>
      </c>
      <c r="M21" s="30"/>
      <c r="N21" s="30"/>
      <c r="O21" s="30"/>
      <c r="P21" s="30"/>
    </row>
    <row r="22" spans="1:16">
      <c r="A22" s="8">
        <f t="shared" si="0"/>
        <v>47</v>
      </c>
      <c r="B22" s="81">
        <f t="shared" si="1"/>
        <v>2035</v>
      </c>
      <c r="C22" s="86">
        <f>SUM(厚生年金!I22:K22)</f>
        <v>681634.8559186171</v>
      </c>
      <c r="D22" s="86">
        <f>厚生年金!C22</f>
        <v>559687.23499543243</v>
      </c>
      <c r="E22" s="86">
        <f>厚生年金!D22-F22</f>
        <v>132200.74332165558</v>
      </c>
      <c r="F22" s="14">
        <f>厚生年金!Q22+厚生年金!M22/2</f>
        <v>9743.0677601376301</v>
      </c>
      <c r="M22" s="30"/>
      <c r="N22" s="30"/>
      <c r="O22" s="30"/>
      <c r="P22" s="30"/>
    </row>
    <row r="23" spans="1:16">
      <c r="A23" s="8">
        <f t="shared" si="0"/>
        <v>48</v>
      </c>
      <c r="B23" s="81">
        <f t="shared" si="1"/>
        <v>2036</v>
      </c>
      <c r="C23" s="86">
        <f>SUM(厚生年金!I23:K23)</f>
        <v>698687.90071098914</v>
      </c>
      <c r="D23" s="86">
        <f>厚生年金!C23</f>
        <v>567383.15774695273</v>
      </c>
      <c r="E23" s="86">
        <f>厚生年金!D23-F23</f>
        <v>134563.27681227712</v>
      </c>
      <c r="F23" s="14">
        <f>厚生年金!Q23+厚生年金!M23/2</f>
        <v>10010.74800018743</v>
      </c>
      <c r="M23" s="30"/>
      <c r="N23" s="30"/>
      <c r="O23" s="30"/>
      <c r="P23" s="30"/>
    </row>
    <row r="24" spans="1:16">
      <c r="A24" s="8">
        <f t="shared" si="0"/>
        <v>49</v>
      </c>
      <c r="B24" s="81">
        <f t="shared" si="1"/>
        <v>2037</v>
      </c>
      <c r="C24" s="86">
        <f>SUM(厚生年金!I24:K24)</f>
        <v>716820.65635276167</v>
      </c>
      <c r="D24" s="86">
        <f>厚生年金!C24</f>
        <v>574775.25180842611</v>
      </c>
      <c r="E24" s="86">
        <f>厚生年金!D24-F24</f>
        <v>137117.70728044424</v>
      </c>
      <c r="F24" s="14">
        <f>厚生年金!Q24+厚生年金!M24/2</f>
        <v>10283.82253892008</v>
      </c>
      <c r="M24" s="30"/>
      <c r="N24" s="30"/>
      <c r="O24" s="30"/>
      <c r="P24" s="30"/>
    </row>
    <row r="25" spans="1:16">
      <c r="A25" s="8">
        <f t="shared" si="0"/>
        <v>50</v>
      </c>
      <c r="B25" s="81">
        <f t="shared" si="1"/>
        <v>2038</v>
      </c>
      <c r="C25" s="86">
        <f>SUM(厚生年金!I25:K25)</f>
        <v>735471.08454859396</v>
      </c>
      <c r="D25" s="86">
        <f>厚生年金!C25</f>
        <v>581789.08423240948</v>
      </c>
      <c r="E25" s="86">
        <f>厚生年金!D25-F25</f>
        <v>139746.72331328373</v>
      </c>
      <c r="F25" s="14">
        <f>厚生年金!Q25+厚生年金!M25/2</f>
        <v>10559.407038000129</v>
      </c>
      <c r="M25" s="30"/>
      <c r="N25" s="30"/>
      <c r="O25" s="30"/>
      <c r="P25" s="30"/>
    </row>
    <row r="26" spans="1:16">
      <c r="A26" s="8">
        <f t="shared" si="0"/>
        <v>51</v>
      </c>
      <c r="B26" s="81">
        <f t="shared" si="1"/>
        <v>2039</v>
      </c>
      <c r="C26" s="86">
        <f>SUM(厚生年金!I26:K26)</f>
        <v>753797.32996847318</v>
      </c>
      <c r="D26" s="86">
        <f>厚生年金!C26</f>
        <v>588692.4485141139</v>
      </c>
      <c r="E26" s="86">
        <f>厚生年金!D26-F26</f>
        <v>142288.48160548927</v>
      </c>
      <c r="F26" s="14">
        <f>厚生年金!Q26+厚生年金!M26/2</f>
        <v>10823.428535237614</v>
      </c>
      <c r="M26" s="30"/>
      <c r="N26" s="30"/>
      <c r="O26" s="30"/>
      <c r="P26" s="30"/>
    </row>
    <row r="27" spans="1:16">
      <c r="A27" s="45">
        <f t="shared" si="0"/>
        <v>52</v>
      </c>
      <c r="B27" s="91">
        <f t="shared" si="1"/>
        <v>2040</v>
      </c>
      <c r="C27" s="92">
        <f>SUM(厚生年金!I27:K27)</f>
        <v>770696.32420521136</v>
      </c>
      <c r="D27" s="92">
        <f>厚生年金!C27</f>
        <v>595668.90885866596</v>
      </c>
      <c r="E27" s="92">
        <f>厚生年金!D27-F27</f>
        <v>144524.44018903773</v>
      </c>
      <c r="F27" s="93">
        <f>厚生年金!Q27+厚生年金!M27/2</f>
        <v>11056.957285577042</v>
      </c>
      <c r="M27" s="30"/>
      <c r="N27" s="30"/>
      <c r="O27" s="30"/>
      <c r="P27" s="30"/>
    </row>
  </sheetData>
  <phoneticPr fontId="1"/>
  <pageMargins left="0.7" right="0.7" top="0.75" bottom="0.75" header="0.3" footer="0.3"/>
  <pageSetup paperSize="9" scale="94" orientation="portrait" r:id="rId1"/>
  <ignoredErrors>
    <ignoredError sqref="C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5"/>
  <sheetViews>
    <sheetView zoomScaleNormal="100" zoomScaleSheetLayoutView="75" workbookViewId="0"/>
  </sheetViews>
  <sheetFormatPr defaultRowHeight="18" customHeight="1"/>
  <cols>
    <col min="1" max="1" width="4.25" style="15" bestFit="1" customWidth="1"/>
    <col min="2" max="2" width="9" style="15"/>
    <col min="3" max="5" width="9.25" style="15" customWidth="1"/>
    <col min="6" max="6" width="7.25" style="15" customWidth="1"/>
    <col min="7" max="9" width="10.25" style="15" customWidth="1"/>
    <col min="10" max="10" width="7.25" style="15" customWidth="1"/>
    <col min="11" max="11" width="10.25" style="15" customWidth="1"/>
    <col min="12" max="12" width="2.125" style="15" customWidth="1"/>
    <col min="13" max="13" width="7.25" style="15" customWidth="1"/>
    <col min="14" max="14" width="3.5" style="15" customWidth="1"/>
    <col min="15" max="18" width="7.25" style="15" customWidth="1"/>
    <col min="19" max="16384" width="9" style="15"/>
  </cols>
  <sheetData>
    <row r="1" spans="1:26" s="74" customFormat="1" ht="18" customHeight="1">
      <c r="A1" s="131" t="s">
        <v>162</v>
      </c>
      <c r="B1" s="131"/>
      <c r="C1" s="131"/>
      <c r="D1" s="141"/>
      <c r="E1" s="131"/>
      <c r="F1" s="141"/>
      <c r="G1" s="131" t="s">
        <v>29</v>
      </c>
      <c r="H1" s="131"/>
      <c r="I1" s="131"/>
      <c r="J1" s="131"/>
      <c r="K1" s="131"/>
      <c r="L1" s="131"/>
      <c r="M1" s="131" t="s">
        <v>138</v>
      </c>
      <c r="N1" s="131"/>
      <c r="O1" s="131"/>
      <c r="P1" s="131"/>
      <c r="Q1" s="131"/>
      <c r="R1" s="131"/>
    </row>
    <row r="2" spans="1:26" s="74" customFormat="1" ht="18" customHeight="1">
      <c r="A2" s="131"/>
      <c r="B2" s="131"/>
      <c r="C2" s="131" t="s">
        <v>25</v>
      </c>
      <c r="D2" s="131" t="s">
        <v>26</v>
      </c>
      <c r="E2" s="131"/>
      <c r="F2" s="131"/>
      <c r="G2" s="131"/>
      <c r="H2" s="131" t="s">
        <v>37</v>
      </c>
      <c r="I2" s="131" t="s">
        <v>30</v>
      </c>
      <c r="J2" s="131"/>
      <c r="K2" s="131" t="s">
        <v>32</v>
      </c>
      <c r="L2" s="131"/>
      <c r="M2" s="131" t="s">
        <v>132</v>
      </c>
      <c r="N2" s="131"/>
      <c r="O2" s="131" t="s">
        <v>139</v>
      </c>
      <c r="P2" s="131"/>
      <c r="Q2" s="131"/>
      <c r="R2" s="131"/>
    </row>
    <row r="3" spans="1:26" s="74" customFormat="1" ht="18" customHeight="1">
      <c r="A3" s="131"/>
      <c r="B3" s="131"/>
      <c r="C3" s="131"/>
      <c r="D3" s="131"/>
      <c r="E3" s="131" t="s">
        <v>27</v>
      </c>
      <c r="F3" s="131" t="s">
        <v>28</v>
      </c>
      <c r="G3" s="131"/>
      <c r="H3" s="131"/>
      <c r="I3" s="131" t="s">
        <v>0</v>
      </c>
      <c r="J3" s="131" t="s">
        <v>28</v>
      </c>
      <c r="K3" s="131" t="s">
        <v>31</v>
      </c>
      <c r="L3" s="131"/>
      <c r="M3" s="131" t="s">
        <v>135</v>
      </c>
      <c r="N3" s="131"/>
      <c r="O3" s="131" t="s">
        <v>133</v>
      </c>
      <c r="P3" s="131" t="s">
        <v>134</v>
      </c>
      <c r="Q3" s="131" t="s">
        <v>135</v>
      </c>
      <c r="R3" s="131" t="s">
        <v>136</v>
      </c>
    </row>
    <row r="4" spans="1:26" s="75" customFormat="1" ht="18" customHeight="1">
      <c r="C4" s="76" t="s">
        <v>12</v>
      </c>
      <c r="D4" s="76" t="s">
        <v>12</v>
      </c>
      <c r="E4" s="76" t="s">
        <v>12</v>
      </c>
      <c r="F4" s="76" t="s">
        <v>12</v>
      </c>
      <c r="G4" s="76" t="s">
        <v>12</v>
      </c>
      <c r="H4" s="76"/>
      <c r="I4" s="76" t="s">
        <v>12</v>
      </c>
      <c r="J4" s="76" t="s">
        <v>12</v>
      </c>
      <c r="K4" s="76" t="s">
        <v>12</v>
      </c>
      <c r="L4" s="76"/>
      <c r="M4" s="75" t="s">
        <v>185</v>
      </c>
      <c r="O4" s="75" t="s">
        <v>137</v>
      </c>
    </row>
    <row r="5" spans="1:26" s="37" customFormat="1" ht="18" customHeight="1">
      <c r="A5" s="73">
        <v>30</v>
      </c>
      <c r="B5" s="36" t="s">
        <v>14</v>
      </c>
      <c r="C5" s="77">
        <v>364292.81280378974</v>
      </c>
      <c r="D5" s="77">
        <v>109140.51338751786</v>
      </c>
      <c r="E5" s="77">
        <v>105195.91883552498</v>
      </c>
      <c r="F5" s="77">
        <v>3944.5945519928787</v>
      </c>
      <c r="G5" s="77">
        <v>503447.01522291108</v>
      </c>
      <c r="H5" s="77">
        <v>502535.77962218528</v>
      </c>
      <c r="I5" s="77">
        <v>239831.89313219249</v>
      </c>
      <c r="J5" s="77">
        <v>52312.0488189428</v>
      </c>
      <c r="K5" s="77">
        <v>210391.83767104996</v>
      </c>
      <c r="L5" s="78"/>
      <c r="M5" s="79">
        <v>14080.2556</v>
      </c>
      <c r="N5" s="79"/>
      <c r="O5" s="79">
        <v>3849.2323144749857</v>
      </c>
      <c r="P5" s="79">
        <v>64.633809999999997</v>
      </c>
      <c r="Q5" s="79">
        <v>17.542487517893381</v>
      </c>
      <c r="R5" s="79">
        <v>13.18594</v>
      </c>
      <c r="T5" s="151"/>
      <c r="W5" s="151"/>
      <c r="X5" s="151"/>
      <c r="Y5" s="151"/>
      <c r="Z5" s="151"/>
    </row>
    <row r="6" spans="1:26" s="37" customFormat="1" ht="18" customHeight="1">
      <c r="A6" s="73">
        <v>31</v>
      </c>
      <c r="B6" s="36" t="s">
        <v>15</v>
      </c>
      <c r="C6" s="77">
        <f>C34*($C$5/$C$33)*(経済前提!V58/経済前提!V17)*(1+人口等補正!B12)</f>
        <v>372881.43577945157</v>
      </c>
      <c r="D6" s="77">
        <f t="shared" ref="D6:D27" si="0">E6+F6</f>
        <v>110177.01493329585</v>
      </c>
      <c r="E6" s="77">
        <f t="shared" ref="E6:E27" si="1">K6/2</f>
        <v>106508.84127546451</v>
      </c>
      <c r="F6" s="77">
        <f t="shared" ref="F6:F27" si="2">SUM(O6:R6)</f>
        <v>3668.1736578313494</v>
      </c>
      <c r="G6" s="77">
        <f>I6+J6+K6+G34-H34</f>
        <v>505304.72257316153</v>
      </c>
      <c r="H6" s="77">
        <f t="shared" ref="H6:H27" si="3">I6+J6+K6</f>
        <v>504392.59227645322</v>
      </c>
      <c r="I6" s="77">
        <f>I34*SUM($I$5:$J$5)/SUM($I$33:$J$33)*厚年比例の計算!W17</f>
        <v>241244.6271641796</v>
      </c>
      <c r="J6" s="77">
        <f>J34*SUM($I$5:$J$5)/SUM($I$33:$J$33)*厚年定額の計算!S17</f>
        <v>50130.282561344582</v>
      </c>
      <c r="K6" s="77">
        <f>K34*($K$5/$K$33)*基礎年金拠出金の計算!$V17</f>
        <v>213017.68255092902</v>
      </c>
      <c r="L6" s="78"/>
      <c r="M6" s="79">
        <f>M34*(M$5/M$33)*基礎年金拠出金の計算!$V17</f>
        <v>14180.770778608015</v>
      </c>
      <c r="N6" s="79"/>
      <c r="O6" s="79">
        <f>O34*(O$5/O$33)*SUM(厚生年金!$I6:$J6)/SUM($I34*SUM($I$5:$J$5)/SUM($I$33:$J$33),$J34*SUM($I$5:$J$5)/SUM($I$33:$J$33))</f>
        <v>3579.5446041997734</v>
      </c>
      <c r="P6" s="79">
        <f>P34*(P$5/P$33)*SUM(厚生年金!$I6:$J6)/SUM($I34*SUM($I$5:$J$5)/SUM($I$33:$J$33),$J34*SUM($I$5:$J$5)/SUM($I$33:$J$33))</f>
        <v>60.80964322997378</v>
      </c>
      <c r="Q6" s="79">
        <f>Q34*(Q$5/Q$33)*SUM(厚生年金!$I6:$J6)/SUM($I34*SUM($I$5:$J$5)/SUM($I$33:$J$33),$J34*SUM($I$5:$J$5)/SUM($I$33:$J$33))</f>
        <v>15.708256873714358</v>
      </c>
      <c r="R6" s="79">
        <f>R34*(R$5/R$33)*SUM(厚生年金!$I6:$J6)/SUM($I34*SUM($I$5:$J$5)/SUM($I$33:$J$33),$J34*SUM($I$5:$J$5)/SUM($I$33:$J$33))</f>
        <v>12.111153527887835</v>
      </c>
      <c r="T6" s="151"/>
      <c r="W6" s="151"/>
      <c r="X6" s="151"/>
      <c r="Y6" s="151"/>
      <c r="Z6" s="151"/>
    </row>
    <row r="7" spans="1:26" s="37" customFormat="1" ht="18" customHeight="1">
      <c r="A7" s="73">
        <v>32</v>
      </c>
      <c r="B7" s="36" t="s">
        <v>16</v>
      </c>
      <c r="C7" s="77">
        <f>C35*($C$5/$C$33)*(経済前提!V59/経済前提!V18)*(1+人口等補正!B13)</f>
        <v>384829.52234950243</v>
      </c>
      <c r="D7" s="77">
        <f t="shared" si="0"/>
        <v>112405.45988477711</v>
      </c>
      <c r="E7" s="77">
        <f t="shared" si="1"/>
        <v>108967.22037634987</v>
      </c>
      <c r="F7" s="77">
        <f t="shared" si="2"/>
        <v>3438.2395084272362</v>
      </c>
      <c r="G7" s="77">
        <f t="shared" ref="G7:G27" si="4">I7+J7+K7+G35-H35</f>
        <v>513730.14191538066</v>
      </c>
      <c r="H7" s="77">
        <f t="shared" si="3"/>
        <v>512817.31297699362</v>
      </c>
      <c r="I7" s="77">
        <f>I35*SUM($I$5:$J$5)/SUM($I$33:$J$33)*厚年比例の計算!W18</f>
        <v>245305.71523151806</v>
      </c>
      <c r="J7" s="77">
        <f>J35*SUM($I$5:$J$5)/SUM($I$33:$J$33)*厚年定額の計算!S18</f>
        <v>49577.156992775803</v>
      </c>
      <c r="K7" s="77">
        <f>K35*($K$5/$K$33)*基礎年金拠出金の計算!$V18</f>
        <v>217934.44075269974</v>
      </c>
      <c r="L7" s="78"/>
      <c r="M7" s="79">
        <f>M35*(M$5/M$33)*基礎年金拠出金の計算!$V18</f>
        <v>14438.468253382825</v>
      </c>
      <c r="N7" s="79"/>
      <c r="O7" s="79">
        <f>O35*(O$5/O$33)*SUM(厚生年金!$I7:$J7)/SUM($I35*SUM($I$5:$J$5)/SUM($I$33:$J$33),$J35*SUM($I$5:$J$5)/SUM($I$33:$J$33))</f>
        <v>3355.1428904473014</v>
      </c>
      <c r="P7" s="79">
        <f>P35*(P$5/P$33)*SUM(厚生年金!$I7:$J7)/SUM($I35*SUM($I$5:$J$5)/SUM($I$33:$J$33),$J35*SUM($I$5:$J$5)/SUM($I$33:$J$33))</f>
        <v>57.662794360579667</v>
      </c>
      <c r="Q7" s="79">
        <f>Q35*(Q$5/Q$33)*SUM(厚生年金!$I7:$J7)/SUM($I35*SUM($I$5:$J$5)/SUM($I$33:$J$33),$J35*SUM($I$5:$J$5)/SUM($I$33:$J$33))</f>
        <v>14.231783447930788</v>
      </c>
      <c r="R7" s="79">
        <f>R35*(R$5/R$33)*SUM(厚生年金!$I7:$J7)/SUM($I35*SUM($I$5:$J$5)/SUM($I$33:$J$33),$J35*SUM($I$5:$J$5)/SUM($I$33:$J$33))</f>
        <v>11.202040171424267</v>
      </c>
      <c r="T7" s="151"/>
      <c r="W7" s="151"/>
      <c r="X7" s="151"/>
      <c r="Y7" s="151"/>
      <c r="Z7" s="151"/>
    </row>
    <row r="8" spans="1:26" s="37" customFormat="1" ht="18" customHeight="1">
      <c r="A8" s="73">
        <v>33</v>
      </c>
      <c r="B8" s="36" t="s">
        <v>17</v>
      </c>
      <c r="C8" s="77">
        <f>C36*($C$5/$C$33)*(経済前提!V60/経済前提!V19)*(1+人口等補正!B14)</f>
        <v>397565.49118411483</v>
      </c>
      <c r="D8" s="77">
        <f t="shared" si="0"/>
        <v>114804.41265801075</v>
      </c>
      <c r="E8" s="77">
        <f t="shared" si="1"/>
        <v>111579.97184085281</v>
      </c>
      <c r="F8" s="77">
        <f t="shared" si="2"/>
        <v>3224.4408171579385</v>
      </c>
      <c r="G8" s="77">
        <f t="shared" si="4"/>
        <v>526834.13290299964</v>
      </c>
      <c r="H8" s="77">
        <f t="shared" si="3"/>
        <v>525921.35359255516</v>
      </c>
      <c r="I8" s="77">
        <f>I36*SUM($I$5:$J$5)/SUM($I$33:$J$33)*厚年比例の計算!W19</f>
        <v>253605.19189933641</v>
      </c>
      <c r="J8" s="77">
        <f>J36*SUM($I$5:$J$5)/SUM($I$33:$J$33)*厚年定額の計算!S19</f>
        <v>49156.21801151312</v>
      </c>
      <c r="K8" s="77">
        <f>K36*($K$5/$K$33)*基礎年金拠出金の計算!$V19</f>
        <v>223159.94368170563</v>
      </c>
      <c r="L8" s="78"/>
      <c r="M8" s="79">
        <f>M36*(M$5/M$33)*基礎年金拠出金の計算!$V19</f>
        <v>14729.442816660785</v>
      </c>
      <c r="N8" s="79"/>
      <c r="O8" s="79">
        <f>O36*(O$5/O$33)*SUM(厚生年金!$I8:$J8)/SUM($I36*SUM($I$5:$J$5)/SUM($I$33:$J$33),$J36*SUM($I$5:$J$5)/SUM($I$33:$J$33))</f>
        <v>3146.4562207508561</v>
      </c>
      <c r="P8" s="79">
        <f>P36*(P$5/P$33)*SUM(厚生年金!$I8:$J8)/SUM($I36*SUM($I$5:$J$5)/SUM($I$33:$J$33),$J36*SUM($I$5:$J$5)/SUM($I$33:$J$33))</f>
        <v>54.698489918735831</v>
      </c>
      <c r="Q8" s="79">
        <f>Q36*(Q$5/Q$33)*SUM(厚生年金!$I8:$J8)/SUM($I36*SUM($I$5:$J$5)/SUM($I$33:$J$33),$J36*SUM($I$5:$J$5)/SUM($I$33:$J$33))</f>
        <v>12.929867377433773</v>
      </c>
      <c r="R8" s="79">
        <f>R36*(R$5/R$33)*SUM(厚生年金!$I8:$J8)/SUM($I36*SUM($I$5:$J$5)/SUM($I$33:$J$33),$J36*SUM($I$5:$J$5)/SUM($I$33:$J$33))</f>
        <v>10.356239110912625</v>
      </c>
      <c r="T8" s="151"/>
      <c r="W8" s="151"/>
      <c r="X8" s="151"/>
      <c r="Y8" s="151"/>
      <c r="Z8" s="151"/>
    </row>
    <row r="9" spans="1:26" s="37" customFormat="1" ht="18" customHeight="1">
      <c r="A9" s="73">
        <v>34</v>
      </c>
      <c r="B9" s="36" t="s">
        <v>18</v>
      </c>
      <c r="C9" s="77">
        <f>C37*($C$5/$C$33)*(経済前提!V61/経済前提!V20)*(1+人口等補正!B15)</f>
        <v>411356.00037600147</v>
      </c>
      <c r="D9" s="77">
        <f t="shared" si="0"/>
        <v>116895.01688222836</v>
      </c>
      <c r="E9" s="77">
        <f t="shared" si="1"/>
        <v>113888.64815067568</v>
      </c>
      <c r="F9" s="77">
        <f t="shared" si="2"/>
        <v>3006.3687315526831</v>
      </c>
      <c r="G9" s="77">
        <f t="shared" si="4"/>
        <v>537111.0297774208</v>
      </c>
      <c r="H9" s="77">
        <f t="shared" si="3"/>
        <v>536198.65612124559</v>
      </c>
      <c r="I9" s="77">
        <f>I37*SUM($I$5:$J$5)/SUM($I$33:$J$33)*厚年比例の計算!W20</f>
        <v>259828.28405268214</v>
      </c>
      <c r="J9" s="77">
        <f>J37*SUM($I$5:$J$5)/SUM($I$33:$J$33)*厚年定額の計算!S20</f>
        <v>48593.07576721206</v>
      </c>
      <c r="K9" s="77">
        <f>K37*($K$5/$K$33)*基礎年金拠出金の計算!$V20</f>
        <v>227777.29630135137</v>
      </c>
      <c r="L9" s="78"/>
      <c r="M9" s="79">
        <f>M37*(M$5/M$33)*基礎年金拠出金の計算!$V20</f>
        <v>14995.267013737983</v>
      </c>
      <c r="N9" s="79"/>
      <c r="O9" s="79">
        <f>O37*(O$5/O$33)*SUM(厚生年金!$I9:$J9)/SUM($I37*SUM($I$5:$J$5)/SUM($I$33:$J$33),$J37*SUM($I$5:$J$5)/SUM($I$33:$J$33))</f>
        <v>2933.5906210609182</v>
      </c>
      <c r="P9" s="79">
        <f>P37*(P$5/P$33)*SUM(厚生年金!$I9:$J9)/SUM($I37*SUM($I$5:$J$5)/SUM($I$33:$J$33),$J37*SUM($I$5:$J$5)/SUM($I$33:$J$33))</f>
        <v>51.57551344143085</v>
      </c>
      <c r="Q9" s="79">
        <f>Q37*(Q$5/Q$33)*SUM(厚生年金!$I9:$J9)/SUM($I37*SUM($I$5:$J$5)/SUM($I$33:$J$33),$J37*SUM($I$5:$J$5)/SUM($I$33:$J$33))</f>
        <v>11.693545893105593</v>
      </c>
      <c r="R9" s="79">
        <f>R37*(R$5/R$33)*SUM(厚生年金!$I9:$J9)/SUM($I37*SUM($I$5:$J$5)/SUM($I$33:$J$33),$J37*SUM($I$5:$J$5)/SUM($I$33:$J$33))</f>
        <v>9.5090511572286509</v>
      </c>
      <c r="T9" s="151"/>
      <c r="W9" s="151"/>
      <c r="X9" s="151"/>
      <c r="Y9" s="151"/>
      <c r="Z9" s="151"/>
    </row>
    <row r="10" spans="1:26" s="37" customFormat="1" ht="18" customHeight="1">
      <c r="A10" s="73">
        <v>35</v>
      </c>
      <c r="B10" s="36" t="s">
        <v>19</v>
      </c>
      <c r="C10" s="77">
        <f>C38*($C$5/$C$33)*(経済前提!V62/経済前提!V21)*(1+人口等補正!B16)</f>
        <v>425974.34016356419</v>
      </c>
      <c r="D10" s="77">
        <f t="shared" si="0"/>
        <v>118910.44457097886</v>
      </c>
      <c r="E10" s="77">
        <f t="shared" si="1"/>
        <v>116123.89893622456</v>
      </c>
      <c r="F10" s="77">
        <f t="shared" si="2"/>
        <v>2786.5456347542977</v>
      </c>
      <c r="G10" s="77">
        <f t="shared" si="4"/>
        <v>546151.93757650279</v>
      </c>
      <c r="H10" s="77">
        <f t="shared" si="3"/>
        <v>545240.06463669788</v>
      </c>
      <c r="I10" s="77">
        <f>I38*SUM($I$5:$J$5)/SUM($I$33:$J$33)*厚年比例の計算!W21</f>
        <v>265002.81699391524</v>
      </c>
      <c r="J10" s="77">
        <f>J38*SUM($I$5:$J$5)/SUM($I$33:$J$33)*厚年定額の計算!S21</f>
        <v>47989.449770333471</v>
      </c>
      <c r="K10" s="77">
        <f>K38*($K$5/$K$33)*基礎年金拠出金の計算!$V21</f>
        <v>232247.79787244913</v>
      </c>
      <c r="L10" s="78"/>
      <c r="M10" s="79">
        <f>M38*(M$5/M$33)*基礎年金拠出金の計算!$V21</f>
        <v>15263.144326136618</v>
      </c>
      <c r="N10" s="79"/>
      <c r="O10" s="79">
        <f>O38*(O$5/O$33)*SUM(厚生年金!$I10:$J10)/SUM($I38*SUM($I$5:$J$5)/SUM($I$33:$J$33),$J38*SUM($I$5:$J$5)/SUM($I$33:$J$33))</f>
        <v>2718.9547125134445</v>
      </c>
      <c r="P10" s="79">
        <f>P38*(P$5/P$33)*SUM(厚生年金!$I10:$J10)/SUM($I38*SUM($I$5:$J$5)/SUM($I$33:$J$33),$J38*SUM($I$5:$J$5)/SUM($I$33:$J$33))</f>
        <v>48.328173550114414</v>
      </c>
      <c r="Q10" s="79">
        <f>Q38*(Q$5/Q$33)*SUM(厚生年金!$I10:$J10)/SUM($I38*SUM($I$5:$J$5)/SUM($I$33:$J$33),$J38*SUM($I$5:$J$5)/SUM($I$33:$J$33))</f>
        <v>10.593502866044048</v>
      </c>
      <c r="R10" s="79">
        <f>R38*(R$5/R$33)*SUM(厚生年金!$I10:$J10)/SUM($I38*SUM($I$5:$J$5)/SUM($I$33:$J$33),$J38*SUM($I$5:$J$5)/SUM($I$33:$J$33))</f>
        <v>8.6692458246944781</v>
      </c>
      <c r="T10" s="151"/>
      <c r="W10" s="151"/>
      <c r="X10" s="151"/>
      <c r="Y10" s="151"/>
      <c r="Z10" s="151"/>
    </row>
    <row r="11" spans="1:26" s="37" customFormat="1" ht="18" customHeight="1">
      <c r="A11" s="73">
        <v>36</v>
      </c>
      <c r="B11" s="36" t="s">
        <v>20</v>
      </c>
      <c r="C11" s="77">
        <f>C39*($C$5/$C$33)*(経済前提!V63/経済前提!V22)*(1+人口等補正!B17)</f>
        <v>439070.88966003439</v>
      </c>
      <c r="D11" s="77">
        <f t="shared" si="0"/>
        <v>121064.38479135577</v>
      </c>
      <c r="E11" s="77">
        <f t="shared" si="1"/>
        <v>118495.67007414516</v>
      </c>
      <c r="F11" s="77">
        <f t="shared" si="2"/>
        <v>2568.7147172106102</v>
      </c>
      <c r="G11" s="77">
        <f t="shared" si="4"/>
        <v>558364.09056700033</v>
      </c>
      <c r="H11" s="77">
        <f t="shared" si="3"/>
        <v>557453.04096419504</v>
      </c>
      <c r="I11" s="77">
        <f>I39*SUM($I$5:$J$5)/SUM($I$33:$J$33)*厚年比例の計算!W22</f>
        <v>272970.61180788663</v>
      </c>
      <c r="J11" s="77">
        <f>J39*SUM($I$5:$J$5)/SUM($I$33:$J$33)*厚年定額の計算!S22</f>
        <v>47491.089008018113</v>
      </c>
      <c r="K11" s="77">
        <f>K39*($K$5/$K$33)*基礎年金拠出金の計算!$V22</f>
        <v>236991.34014829033</v>
      </c>
      <c r="L11" s="78"/>
      <c r="M11" s="79">
        <f>M39*(M$5/M$33)*基礎年金拠出金の計算!$V22</f>
        <v>15556.643936965627</v>
      </c>
      <c r="N11" s="79"/>
      <c r="O11" s="79">
        <f>O39*(O$5/O$33)*SUM(厚生年金!$I11:$J11)/SUM($I39*SUM($I$5:$J$5)/SUM($I$33:$J$33),$J39*SUM($I$5:$J$5)/SUM($I$33:$J$33))</f>
        <v>2506.2947868960987</v>
      </c>
      <c r="P11" s="79">
        <f>P39*(P$5/P$33)*SUM(厚生年金!$I11:$J11)/SUM($I39*SUM($I$5:$J$5)/SUM($I$33:$J$33),$J39*SUM($I$5:$J$5)/SUM($I$33:$J$33))</f>
        <v>45.012865742794837</v>
      </c>
      <c r="Q11" s="79">
        <f>Q39*(Q$5/Q$33)*SUM(厚生年金!$I11:$J11)/SUM($I39*SUM($I$5:$J$5)/SUM($I$33:$J$33),$J39*SUM($I$5:$J$5)/SUM($I$33:$J$33))</f>
        <v>9.5586875931662778</v>
      </c>
      <c r="R11" s="79">
        <f>R39*(R$5/R$33)*SUM(厚生年金!$I11:$J11)/SUM($I39*SUM($I$5:$J$5)/SUM($I$33:$J$33),$J39*SUM($I$5:$J$5)/SUM($I$33:$J$33))</f>
        <v>7.8483769785500863</v>
      </c>
      <c r="T11" s="151"/>
      <c r="W11" s="151"/>
      <c r="X11" s="151"/>
      <c r="Y11" s="151"/>
      <c r="Z11" s="151"/>
    </row>
    <row r="12" spans="1:26" s="37" customFormat="1" ht="18" customHeight="1">
      <c r="A12" s="73">
        <v>37</v>
      </c>
      <c r="B12" s="36" t="s">
        <v>21</v>
      </c>
      <c r="C12" s="77">
        <f>C40*($C$5/$C$33)*(経済前提!V64/経済前提!V23)*(1+人口等補正!B18)</f>
        <v>452885.52340188716</v>
      </c>
      <c r="D12" s="77">
        <f t="shared" si="0"/>
        <v>123365.39187152905</v>
      </c>
      <c r="E12" s="77">
        <f t="shared" si="1"/>
        <v>121009.12962264547</v>
      </c>
      <c r="F12" s="77">
        <f t="shared" si="2"/>
        <v>2356.2622488835805</v>
      </c>
      <c r="G12" s="77">
        <f t="shared" si="4"/>
        <v>568665.24730361928</v>
      </c>
      <c r="H12" s="77">
        <f t="shared" si="3"/>
        <v>567755.34704093914</v>
      </c>
      <c r="I12" s="77">
        <f>I40*SUM($I$5:$J$5)/SUM($I$33:$J$33)*厚年比例の計算!W23</f>
        <v>278719.86093005637</v>
      </c>
      <c r="J12" s="77">
        <f>J40*SUM($I$5:$J$5)/SUM($I$33:$J$33)*厚年定額の計算!S23</f>
        <v>47017.226865591751</v>
      </c>
      <c r="K12" s="77">
        <f>K40*($K$5/$K$33)*基礎年金拠出金の計算!$V23</f>
        <v>242018.25924529094</v>
      </c>
      <c r="L12" s="78"/>
      <c r="M12" s="79">
        <f>M40*(M$5/M$33)*基礎年金拠出金の計算!$V23</f>
        <v>15878.734832674718</v>
      </c>
      <c r="N12" s="79"/>
      <c r="O12" s="79">
        <f>O40*(O$5/O$33)*SUM(厚生年金!$I12:$J12)/SUM($I40*SUM($I$5:$J$5)/SUM($I$33:$J$33),$J40*SUM($I$5:$J$5)/SUM($I$33:$J$33))</f>
        <v>2298.8953620260377</v>
      </c>
      <c r="P12" s="79">
        <f>P40*(P$5/P$33)*SUM(厚生年金!$I12:$J12)/SUM($I40*SUM($I$5:$J$5)/SUM($I$33:$J$33),$J40*SUM($I$5:$J$5)/SUM($I$33:$J$33))</f>
        <v>41.69051789073184</v>
      </c>
      <c r="Q12" s="79">
        <f>Q40*(Q$5/Q$33)*SUM(厚生年金!$I12:$J12)/SUM($I40*SUM($I$5:$J$5)/SUM($I$33:$J$33),$J40*SUM($I$5:$J$5)/SUM($I$33:$J$33))</f>
        <v>8.6171794010233445</v>
      </c>
      <c r="R12" s="79">
        <f>R40*(R$5/R$33)*SUM(厚生年金!$I12:$J12)/SUM($I40*SUM($I$5:$J$5)/SUM($I$33:$J$33),$J40*SUM($I$5:$J$5)/SUM($I$33:$J$33))</f>
        <v>7.0591895657877304</v>
      </c>
      <c r="T12" s="151"/>
      <c r="W12" s="151"/>
      <c r="X12" s="151"/>
      <c r="Y12" s="151"/>
      <c r="Z12" s="151"/>
    </row>
    <row r="13" spans="1:26" s="37" customFormat="1" ht="18" customHeight="1">
      <c r="A13" s="73">
        <v>38</v>
      </c>
      <c r="B13" s="36" t="s">
        <v>22</v>
      </c>
      <c r="C13" s="77">
        <f>C41*($C$5/$C$33)*(経済前提!V65/経済前提!V24)*(1+人口等補正!B19)</f>
        <v>468841.06864703569</v>
      </c>
      <c r="D13" s="77">
        <f t="shared" si="0"/>
        <v>125523.52876251395</v>
      </c>
      <c r="E13" s="77">
        <f t="shared" si="1"/>
        <v>123373.76910606379</v>
      </c>
      <c r="F13" s="77">
        <f t="shared" si="2"/>
        <v>2149.7596564501655</v>
      </c>
      <c r="G13" s="77">
        <f t="shared" si="4"/>
        <v>577887.56024251261</v>
      </c>
      <c r="H13" s="77">
        <f t="shared" si="3"/>
        <v>576978.95047842036</v>
      </c>
      <c r="I13" s="77">
        <f>I41*SUM($I$5:$J$5)/SUM($I$33:$J$33)*厚年比例の計算!W24</f>
        <v>283788.72158065863</v>
      </c>
      <c r="J13" s="77">
        <f>J41*SUM($I$5:$J$5)/SUM($I$33:$J$33)*厚年定額の計算!S24</f>
        <v>46442.690685634218</v>
      </c>
      <c r="K13" s="77">
        <f>K41*($K$5/$K$33)*基礎年金拠出金の計算!$V24</f>
        <v>246747.53821212758</v>
      </c>
      <c r="L13" s="78"/>
      <c r="M13" s="79">
        <f>M41*(M$5/M$33)*基礎年金拠出金の計算!$V24</f>
        <v>16191.17317221044</v>
      </c>
      <c r="N13" s="79"/>
      <c r="O13" s="79">
        <f>O41*(O$5/O$33)*SUM(厚生年金!$I13:$J13)/SUM($I41*SUM($I$5:$J$5)/SUM($I$33:$J$33),$J41*SUM($I$5:$J$5)/SUM($I$33:$J$33))</f>
        <v>2097.3182517455562</v>
      </c>
      <c r="P13" s="79">
        <f>P41*(P$5/P$33)*SUM(厚生年金!$I13:$J13)/SUM($I41*SUM($I$5:$J$5)/SUM($I$33:$J$33),$J41*SUM($I$5:$J$5)/SUM($I$33:$J$33))</f>
        <v>38.37264999706796</v>
      </c>
      <c r="Q13" s="79">
        <f>Q41*(Q$5/Q$33)*SUM(厚生年金!$I13:$J13)/SUM($I41*SUM($I$5:$J$5)/SUM($I$33:$J$33),$J41*SUM($I$5:$J$5)/SUM($I$33:$J$33))</f>
        <v>7.764930107138766</v>
      </c>
      <c r="R13" s="79">
        <f>R41*(R$5/R$33)*SUM(厚生年金!$I13:$J13)/SUM($I41*SUM($I$5:$J$5)/SUM($I$33:$J$33),$J41*SUM($I$5:$J$5)/SUM($I$33:$J$33))</f>
        <v>6.3038246004025078</v>
      </c>
      <c r="T13" s="151"/>
      <c r="W13" s="151"/>
      <c r="X13" s="151"/>
      <c r="Y13" s="151"/>
      <c r="Z13" s="151"/>
    </row>
    <row r="14" spans="1:26" s="37" customFormat="1" ht="18" customHeight="1">
      <c r="A14" s="73">
        <v>39</v>
      </c>
      <c r="B14" s="36" t="s">
        <v>23</v>
      </c>
      <c r="C14" s="77">
        <f>C42*($C$5/$C$33)*(経済前提!V66/経済前提!V25)*(1+人口等補正!B20)</f>
        <v>485077.18898214254</v>
      </c>
      <c r="D14" s="77">
        <f t="shared" si="0"/>
        <v>127678.28617479697</v>
      </c>
      <c r="E14" s="77">
        <f t="shared" si="1"/>
        <v>125728.49249729075</v>
      </c>
      <c r="F14" s="77">
        <f t="shared" si="2"/>
        <v>1949.7936775062331</v>
      </c>
      <c r="G14" s="77">
        <f t="shared" si="4"/>
        <v>590487.43195849203</v>
      </c>
      <c r="H14" s="77">
        <f t="shared" si="3"/>
        <v>589580.45498608868</v>
      </c>
      <c r="I14" s="77">
        <f>I42*SUM($I$5:$J$5)/SUM($I$33:$J$33)*厚年比例の計算!W25</f>
        <v>292143.92799540662</v>
      </c>
      <c r="J14" s="77">
        <f>J42*SUM($I$5:$J$5)/SUM($I$33:$J$33)*厚年定額の計算!S25</f>
        <v>45979.541996100568</v>
      </c>
      <c r="K14" s="77">
        <f>K42*($K$5/$K$33)*基礎年金拠出金の計算!$V25</f>
        <v>251456.98499458149</v>
      </c>
      <c r="L14" s="78"/>
      <c r="M14" s="79">
        <f>M42*(M$5/M$33)*基礎年金拠出金の計算!$V25</f>
        <v>16498.84133740457</v>
      </c>
      <c r="N14" s="79"/>
      <c r="O14" s="79">
        <f>O42*(O$5/O$33)*SUM(厚生年金!$I14:$J14)/SUM($I42*SUM($I$5:$J$5)/SUM($I$33:$J$33),$J42*SUM($I$5:$J$5)/SUM($I$33:$J$33))</f>
        <v>1902.1406890680275</v>
      </c>
      <c r="P14" s="79">
        <f>P42*(P$5/P$33)*SUM(厚生年金!$I14:$J14)/SUM($I42*SUM($I$5:$J$5)/SUM($I$33:$J$33),$J42*SUM($I$5:$J$5)/SUM($I$33:$J$33))</f>
        <v>35.072638475159799</v>
      </c>
      <c r="Q14" s="79">
        <f>Q42*(Q$5/Q$33)*SUM(厚生年金!$I14:$J14)/SUM($I42*SUM($I$5:$J$5)/SUM($I$33:$J$33),$J42*SUM($I$5:$J$5)/SUM($I$33:$J$33))</f>
        <v>6.9957605946360992</v>
      </c>
      <c r="R14" s="79">
        <f>R42*(R$5/R$33)*SUM(厚生年金!$I14:$J14)/SUM($I42*SUM($I$5:$J$5)/SUM($I$33:$J$33),$J42*SUM($I$5:$J$5)/SUM($I$33:$J$33))</f>
        <v>5.5845893684097545</v>
      </c>
      <c r="T14" s="151"/>
      <c r="W14" s="151"/>
      <c r="X14" s="151"/>
      <c r="Y14" s="151"/>
      <c r="Z14" s="151"/>
    </row>
    <row r="15" spans="1:26" s="37" customFormat="1" ht="18" customHeight="1">
      <c r="A15" s="73">
        <v>40</v>
      </c>
      <c r="B15" s="36" t="s">
        <v>24</v>
      </c>
      <c r="C15" s="77">
        <f>C43*($C$5/$C$33)*(経済前提!V67/経済前提!V26)*(1+人口等補正!B21)</f>
        <v>498564.08602979511</v>
      </c>
      <c r="D15" s="77">
        <f t="shared" si="0"/>
        <v>130006.94103324202</v>
      </c>
      <c r="E15" s="77">
        <f t="shared" si="1"/>
        <v>128248.65244929057</v>
      </c>
      <c r="F15" s="77">
        <f t="shared" si="2"/>
        <v>1758.2885839514518</v>
      </c>
      <c r="G15" s="77">
        <f t="shared" si="4"/>
        <v>603164.11661682092</v>
      </c>
      <c r="H15" s="77">
        <f t="shared" si="3"/>
        <v>602259.52762258402</v>
      </c>
      <c r="I15" s="77">
        <f>I43*SUM($I$5:$J$5)/SUM($I$33:$J$33)*厚年比例の計算!W26</f>
        <v>300196.9633060763</v>
      </c>
      <c r="J15" s="77">
        <f>J43*SUM($I$5:$J$5)/SUM($I$33:$J$33)*厚年定額の計算!S26</f>
        <v>45565.259417926543</v>
      </c>
      <c r="K15" s="77">
        <f>K43*($K$5/$K$33)*基礎年金拠出金の計算!$V26</f>
        <v>256497.30489858115</v>
      </c>
      <c r="L15" s="78"/>
      <c r="M15" s="79">
        <f>M43*(M$5/M$33)*基礎年金拠出金の計算!$V26</f>
        <v>16851.471659429102</v>
      </c>
      <c r="N15" s="79"/>
      <c r="O15" s="79">
        <f>O43*(O$5/O$33)*SUM(厚生年金!$I15:$J15)/SUM($I43*SUM($I$5:$J$5)/SUM($I$33:$J$33),$J43*SUM($I$5:$J$5)/SUM($I$33:$J$33))</f>
        <v>1715.2368997692681</v>
      </c>
      <c r="P15" s="79">
        <f>P43*(P$5/P$33)*SUM(厚生年金!$I15:$J15)/SUM($I43*SUM($I$5:$J$5)/SUM($I$33:$J$33),$J43*SUM($I$5:$J$5)/SUM($I$33:$J$33))</f>
        <v>31.832068209842063</v>
      </c>
      <c r="Q15" s="79">
        <f>Q43*(Q$5/Q$33)*SUM(厚生年金!$I15:$J15)/SUM($I43*SUM($I$5:$J$5)/SUM($I$33:$J$33),$J43*SUM($I$5:$J$5)/SUM($I$33:$J$33))</f>
        <v>6.3104981128792366</v>
      </c>
      <c r="R15" s="79">
        <f>R43*(R$5/R$33)*SUM(厚生年金!$I15:$J15)/SUM($I43*SUM($I$5:$J$5)/SUM($I$33:$J$33),$J43*SUM($I$5:$J$5)/SUM($I$33:$J$33))</f>
        <v>4.9091178594623246</v>
      </c>
      <c r="T15" s="151"/>
      <c r="W15" s="151"/>
      <c r="X15" s="151"/>
      <c r="Y15" s="151"/>
      <c r="Z15" s="151"/>
    </row>
    <row r="16" spans="1:26" s="37" customFormat="1" ht="18" customHeight="1">
      <c r="A16" s="73">
        <v>41</v>
      </c>
      <c r="B16" s="36" t="s">
        <v>43</v>
      </c>
      <c r="C16" s="77">
        <f>C44*($C$5/$C$33)*(経済前提!V68/経済前提!V27)*(1+人口等補正!B22)</f>
        <v>509855.37090078753</v>
      </c>
      <c r="D16" s="77">
        <f t="shared" si="0"/>
        <v>131529.97313967525</v>
      </c>
      <c r="E16" s="77">
        <f t="shared" si="1"/>
        <v>129965.86087684344</v>
      </c>
      <c r="F16" s="77">
        <f t="shared" si="2"/>
        <v>1564.1122628318253</v>
      </c>
      <c r="G16" s="77">
        <f t="shared" si="4"/>
        <v>613656.92230074888</v>
      </c>
      <c r="H16" s="77">
        <f t="shared" si="3"/>
        <v>612755.13117978652</v>
      </c>
      <c r="I16" s="77">
        <f>I44*SUM($I$5:$J$5)/SUM($I$33:$J$33)*厚年比例の計算!W27</f>
        <v>307942.24521855882</v>
      </c>
      <c r="J16" s="77">
        <f>J44*SUM($I$5:$J$5)/SUM($I$33:$J$33)*厚年定額の計算!S27</f>
        <v>44881.164207540874</v>
      </c>
      <c r="K16" s="77">
        <f>K44*($K$5/$K$33)*基礎年金拠出金の計算!$V27</f>
        <v>259931.72175368687</v>
      </c>
      <c r="L16" s="78"/>
      <c r="M16" s="79">
        <f>M44*(M$5/M$33)*基礎年金拠出金の計算!$V27</f>
        <v>17121.769539082565</v>
      </c>
      <c r="N16" s="79"/>
      <c r="O16" s="79">
        <f>O44*(O$5/O$33)*SUM(厚生年金!$I16:$J16)/SUM($I44*SUM($I$5:$J$5)/SUM($I$33:$J$33),$J44*SUM($I$5:$J$5)/SUM($I$33:$J$33))</f>
        <v>1525.7430214041919</v>
      </c>
      <c r="P16" s="79">
        <f>P44*(P$5/P$33)*SUM(厚生年金!$I16:$J16)/SUM($I44*SUM($I$5:$J$5)/SUM($I$33:$J$33),$J44*SUM($I$5:$J$5)/SUM($I$33:$J$33))</f>
        <v>28.460502278173792</v>
      </c>
      <c r="Q16" s="79">
        <f>Q44*(Q$5/Q$33)*SUM(厚生年金!$I16:$J16)/SUM($I44*SUM($I$5:$J$5)/SUM($I$33:$J$33),$J44*SUM($I$5:$J$5)/SUM($I$33:$J$33))</f>
        <v>5.6598153516412788</v>
      </c>
      <c r="R16" s="79">
        <f>R44*(R$5/R$33)*SUM(厚生年金!$I16:$J16)/SUM($I44*SUM($I$5:$J$5)/SUM($I$33:$J$33),$J44*SUM($I$5:$J$5)/SUM($I$33:$J$33))</f>
        <v>4.2489237978180938</v>
      </c>
      <c r="T16" s="151"/>
      <c r="W16" s="151"/>
      <c r="X16" s="151"/>
      <c r="Y16" s="151"/>
      <c r="Z16" s="151"/>
    </row>
    <row r="17" spans="1:26" s="37" customFormat="1" ht="18" customHeight="1">
      <c r="A17" s="73">
        <v>42</v>
      </c>
      <c r="B17" s="36" t="s">
        <v>44</v>
      </c>
      <c r="C17" s="77">
        <f>C45*($C$5/$C$33)*(経済前提!V69/経済前提!V28)*(1+人口等補正!B23)</f>
        <v>520584.10236771486</v>
      </c>
      <c r="D17" s="77">
        <f t="shared" si="0"/>
        <v>133144.4833596581</v>
      </c>
      <c r="E17" s="77">
        <f t="shared" si="1"/>
        <v>131764.06369067973</v>
      </c>
      <c r="F17" s="77">
        <f t="shared" si="2"/>
        <v>1380.419668978361</v>
      </c>
      <c r="G17" s="77">
        <f t="shared" si="4"/>
        <v>623465.45014147635</v>
      </c>
      <c r="H17" s="77">
        <f t="shared" si="3"/>
        <v>622567.94608784642</v>
      </c>
      <c r="I17" s="77">
        <f>I45*SUM($I$5:$J$5)/SUM($I$33:$J$33)*厚年比例の計算!W28</f>
        <v>314784.02077407268</v>
      </c>
      <c r="J17" s="77">
        <f>J45*SUM($I$5:$J$5)/SUM($I$33:$J$33)*厚年定額の計算!S28</f>
        <v>44255.797932414294</v>
      </c>
      <c r="K17" s="77">
        <f>K45*($K$5/$K$33)*基礎年金拠出金の計算!$V28</f>
        <v>263528.12738135946</v>
      </c>
      <c r="L17" s="78"/>
      <c r="M17" s="79">
        <f>M45*(M$5/M$33)*基礎年金拠出金の計算!$V28</f>
        <v>17421.084717296046</v>
      </c>
      <c r="N17" s="79"/>
      <c r="O17" s="79">
        <f>O45*(O$5/O$33)*SUM(厚生年金!$I17:$J17)/SUM($I45*SUM($I$5:$J$5)/SUM($I$33:$J$33),$J45*SUM($I$5:$J$5)/SUM($I$33:$J$33))</f>
        <v>1346.4921704201647</v>
      </c>
      <c r="P17" s="79">
        <f>P45*(P$5/P$33)*SUM(厚生年金!$I17:$J17)/SUM($I45*SUM($I$5:$J$5)/SUM($I$33:$J$33),$J45*SUM($I$5:$J$5)/SUM($I$33:$J$33))</f>
        <v>25.211440095577061</v>
      </c>
      <c r="Q17" s="79">
        <f>Q45*(Q$5/Q$33)*SUM(厚生年金!$I17:$J17)/SUM($I45*SUM($I$5:$J$5)/SUM($I$33:$J$33),$J45*SUM($I$5:$J$5)/SUM($I$33:$J$33))</f>
        <v>5.0763969014619095</v>
      </c>
      <c r="R17" s="79">
        <f>R45*(R$5/R$33)*SUM(厚生年金!$I17:$J17)/SUM($I45*SUM($I$5:$J$5)/SUM($I$33:$J$33),$J45*SUM($I$5:$J$5)/SUM($I$33:$J$33))</f>
        <v>3.6396615611571477</v>
      </c>
      <c r="T17" s="151"/>
      <c r="W17" s="151"/>
      <c r="X17" s="151"/>
      <c r="Y17" s="151"/>
      <c r="Z17" s="151"/>
    </row>
    <row r="18" spans="1:26" s="37" customFormat="1" ht="18" customHeight="1">
      <c r="A18" s="73">
        <v>43</v>
      </c>
      <c r="B18" s="36" t="s">
        <v>45</v>
      </c>
      <c r="C18" s="77">
        <f>C46*($C$5/$C$33)*(経済前提!V70/経済前提!V29)*(1+人口等補正!B24)</f>
        <v>529598.50083386572</v>
      </c>
      <c r="D18" s="77">
        <f t="shared" si="0"/>
        <v>134376.53770949208</v>
      </c>
      <c r="E18" s="77">
        <f t="shared" si="1"/>
        <v>133166.92139427073</v>
      </c>
      <c r="F18" s="77">
        <f t="shared" si="2"/>
        <v>1209.616315221368</v>
      </c>
      <c r="G18" s="77">
        <f t="shared" si="4"/>
        <v>631280.29335395712</v>
      </c>
      <c r="H18" s="77">
        <f t="shared" si="3"/>
        <v>630390.29222856695</v>
      </c>
      <c r="I18" s="77">
        <f>I46*SUM($I$5:$J$5)/SUM($I$33:$J$33)*厚年比例の計算!W29</f>
        <v>320541.89482377656</v>
      </c>
      <c r="J18" s="77">
        <f>J46*SUM($I$5:$J$5)/SUM($I$33:$J$33)*厚年定額の計算!S29</f>
        <v>43514.554616249014</v>
      </c>
      <c r="K18" s="77">
        <f>K46*($K$5/$K$33)*基礎年金拠出金の計算!$V29</f>
        <v>266333.84278854146</v>
      </c>
      <c r="L18" s="78"/>
      <c r="M18" s="79">
        <f>M46*(M$5/M$33)*基礎年金拠出金の計算!$V29</f>
        <v>17712.993527033952</v>
      </c>
      <c r="N18" s="79"/>
      <c r="O18" s="79">
        <f>O46*(O$5/O$33)*SUM(厚生年金!$I18:$J18)/SUM($I46*SUM($I$5:$J$5)/SUM($I$33:$J$33),$J46*SUM($I$5:$J$5)/SUM($I$33:$J$33))</f>
        <v>1179.8093727813343</v>
      </c>
      <c r="P18" s="79">
        <f>P46*(P$5/P$33)*SUM(厚生年金!$I18:$J18)/SUM($I46*SUM($I$5:$J$5)/SUM($I$33:$J$33),$J46*SUM($I$5:$J$5)/SUM($I$33:$J$33))</f>
        <v>22.141421743862786</v>
      </c>
      <c r="Q18" s="79">
        <f>Q46*(Q$5/Q$33)*SUM(厚生年金!$I18:$J18)/SUM($I46*SUM($I$5:$J$5)/SUM($I$33:$J$33),$J46*SUM($I$5:$J$5)/SUM($I$33:$J$33))</f>
        <v>4.5777575045275567</v>
      </c>
      <c r="R18" s="79">
        <f>R46*(R$5/R$33)*SUM(厚生年金!$I18:$J18)/SUM($I46*SUM($I$5:$J$5)/SUM($I$33:$J$33),$J46*SUM($I$5:$J$5)/SUM($I$33:$J$33))</f>
        <v>3.0877631916432065</v>
      </c>
      <c r="T18" s="151"/>
      <c r="W18" s="151"/>
      <c r="X18" s="151"/>
      <c r="Y18" s="151"/>
      <c r="Z18" s="151"/>
    </row>
    <row r="19" spans="1:26" s="37" customFormat="1" ht="18" customHeight="1">
      <c r="A19" s="73">
        <v>44</v>
      </c>
      <c r="B19" s="36" t="s">
        <v>46</v>
      </c>
      <c r="C19" s="77">
        <f>C47*($C$5/$C$33)*(経済前提!V71/経済前提!V30)*(1+人口等補正!B25)</f>
        <v>537523.17793194915</v>
      </c>
      <c r="D19" s="77">
        <f t="shared" si="0"/>
        <v>135538.8354464962</v>
      </c>
      <c r="E19" s="77">
        <f t="shared" si="1"/>
        <v>134486.84448455647</v>
      </c>
      <c r="F19" s="77">
        <f t="shared" si="2"/>
        <v>1051.9909619397447</v>
      </c>
      <c r="G19" s="77">
        <f t="shared" si="4"/>
        <v>640665.74881768588</v>
      </c>
      <c r="H19" s="77">
        <f t="shared" si="3"/>
        <v>639785.28244702832</v>
      </c>
      <c r="I19" s="77">
        <f>I47*SUM($I$5:$J$5)/SUM($I$33:$J$33)*厚年比例の計算!W30</f>
        <v>328018.2302391397</v>
      </c>
      <c r="J19" s="77">
        <f>J47*SUM($I$5:$J$5)/SUM($I$33:$J$33)*厚年定額の計算!S30</f>
        <v>42793.363238775673</v>
      </c>
      <c r="K19" s="77">
        <f>K47*($K$5/$K$33)*基礎年金拠出金の計算!$V30</f>
        <v>268973.68896911293</v>
      </c>
      <c r="L19" s="78"/>
      <c r="M19" s="79">
        <f>M47*(M$5/M$33)*基礎年金拠出金の計算!$V30</f>
        <v>18033.151562878171</v>
      </c>
      <c r="N19" s="79"/>
      <c r="O19" s="79">
        <f>O47*(O$5/O$33)*SUM(厚生年金!$I19:$J19)/SUM($I47*SUM($I$5:$J$5)/SUM($I$33:$J$33),$J47*SUM($I$5:$J$5)/SUM($I$33:$J$33))</f>
        <v>1025.983567832448</v>
      </c>
      <c r="P19" s="79">
        <f>P47*(P$5/P$33)*SUM(厚生年金!$I19:$J19)/SUM($I47*SUM($I$5:$J$5)/SUM($I$33:$J$33),$J47*SUM($I$5:$J$5)/SUM($I$33:$J$33))</f>
        <v>19.270010828376471</v>
      </c>
      <c r="Q19" s="79">
        <f>Q47*(Q$5/Q$33)*SUM(厚生年金!$I19:$J19)/SUM($I47*SUM($I$5:$J$5)/SUM($I$33:$J$33),$J47*SUM($I$5:$J$5)/SUM($I$33:$J$33))</f>
        <v>4.1444455314966264</v>
      </c>
      <c r="R19" s="79">
        <f>R47*(R$5/R$33)*SUM(厚生年金!$I19:$J19)/SUM($I47*SUM($I$5:$J$5)/SUM($I$33:$J$33),$J47*SUM($I$5:$J$5)/SUM($I$33:$J$33))</f>
        <v>2.5929377474237327</v>
      </c>
      <c r="T19" s="151"/>
      <c r="W19" s="151"/>
      <c r="X19" s="151"/>
      <c r="Y19" s="151"/>
      <c r="Z19" s="151"/>
    </row>
    <row r="20" spans="1:26" s="37" customFormat="1" ht="18" customHeight="1">
      <c r="A20" s="73">
        <v>45</v>
      </c>
      <c r="B20" s="36" t="s">
        <v>47</v>
      </c>
      <c r="C20" s="77">
        <f>C48*($C$5/$C$33)*(経済前提!V72/経済前提!V31)*(1+人口等補正!B26)</f>
        <v>545212.05421640805</v>
      </c>
      <c r="D20" s="77">
        <f t="shared" si="0"/>
        <v>137452.40829754231</v>
      </c>
      <c r="E20" s="77">
        <f t="shared" si="1"/>
        <v>136544.56679859696</v>
      </c>
      <c r="F20" s="77">
        <f t="shared" si="2"/>
        <v>907.84149894533891</v>
      </c>
      <c r="G20" s="77">
        <f t="shared" si="4"/>
        <v>653306.28001810401</v>
      </c>
      <c r="H20" s="77">
        <f t="shared" si="3"/>
        <v>652435.95080475288</v>
      </c>
      <c r="I20" s="77">
        <f>I48*SUM($I$5:$J$5)/SUM($I$33:$J$33)*厚年比例の計算!W31</f>
        <v>336942.97597091185</v>
      </c>
      <c r="J20" s="77">
        <f>J48*SUM($I$5:$J$5)/SUM($I$33:$J$33)*厚年定額の計算!S31</f>
        <v>42403.84123664708</v>
      </c>
      <c r="K20" s="77">
        <f>K48*($K$5/$K$33)*基礎年金拠出金の計算!$V31</f>
        <v>273089.13359719393</v>
      </c>
      <c r="L20" s="78"/>
      <c r="M20" s="79">
        <f>M48*(M$5/M$33)*基礎年金拠出金の計算!$V31</f>
        <v>18479.147594580343</v>
      </c>
      <c r="N20" s="79"/>
      <c r="O20" s="79">
        <f>O48*(O$5/O$33)*SUM(厚生年金!$I20:$J20)/SUM($I48*SUM($I$5:$J$5)/SUM($I$33:$J$33),$J48*SUM($I$5:$J$5)/SUM($I$33:$J$33))</f>
        <v>885.31904869266896</v>
      </c>
      <c r="P20" s="79">
        <f>P48*(P$5/P$33)*SUM(厚生年金!$I20:$J20)/SUM($I48*SUM($I$5:$J$5)/SUM($I$33:$J$33),$J48*SUM($I$5:$J$5)/SUM($I$33:$J$33))</f>
        <v>16.615410065559335</v>
      </c>
      <c r="Q20" s="79">
        <f>Q48*(Q$5/Q$33)*SUM(厚生年金!$I20:$J20)/SUM($I48*SUM($I$5:$J$5)/SUM($I$33:$J$33),$J48*SUM($I$5:$J$5)/SUM($I$33:$J$33))</f>
        <v>3.7527763666322649</v>
      </c>
      <c r="R20" s="79">
        <f>R48*(R$5/R$33)*SUM(厚生年金!$I20:$J20)/SUM($I48*SUM($I$5:$J$5)/SUM($I$33:$J$33),$J48*SUM($I$5:$J$5)/SUM($I$33:$J$33))</f>
        <v>2.1542638204783322</v>
      </c>
      <c r="T20" s="151"/>
      <c r="W20" s="151"/>
      <c r="X20" s="151"/>
      <c r="Y20" s="151"/>
      <c r="Z20" s="151"/>
    </row>
    <row r="21" spans="1:26" s="37" customFormat="1" ht="18" customHeight="1">
      <c r="A21" s="73">
        <v>46</v>
      </c>
      <c r="B21" s="36" t="s">
        <v>48</v>
      </c>
      <c r="C21" s="77">
        <f>C49*($C$5/$C$33)*(経済前提!V73/経済前提!V32)*(1+人口等補正!B27)</f>
        <v>552493.8160638907</v>
      </c>
      <c r="D21" s="77">
        <f t="shared" si="0"/>
        <v>139504.09713563827</v>
      </c>
      <c r="E21" s="77">
        <f t="shared" si="1"/>
        <v>138725.54430423927</v>
      </c>
      <c r="F21" s="77">
        <f t="shared" si="2"/>
        <v>778.55283139899177</v>
      </c>
      <c r="G21" s="77">
        <f t="shared" si="4"/>
        <v>666662.66710281</v>
      </c>
      <c r="H21" s="77">
        <f t="shared" si="3"/>
        <v>665803.05266984692</v>
      </c>
      <c r="I21" s="77">
        <f>I49*SUM($I$5:$J$5)/SUM($I$33:$J$33)*厚年比例の計算!W32</f>
        <v>346288.28302953782</v>
      </c>
      <c r="J21" s="77">
        <f>J49*SUM($I$5:$J$5)/SUM($I$33:$J$33)*厚年定額の計算!S32</f>
        <v>42063.681031830522</v>
      </c>
      <c r="K21" s="77">
        <f>K49*($K$5/$K$33)*基礎年金拠出金の計算!$V32</f>
        <v>277451.08860847855</v>
      </c>
      <c r="L21" s="78"/>
      <c r="M21" s="79">
        <f>M49*(M$5/M$33)*基礎年金拠出金の計算!$V32</f>
        <v>18954.282874014934</v>
      </c>
      <c r="N21" s="79"/>
      <c r="O21" s="79">
        <f>O49*(O$5/O$33)*SUM(厚生年金!$I21:$J21)/SUM($I49*SUM($I$5:$J$5)/SUM($I$33:$J$33),$J49*SUM($I$5:$J$5)/SUM($I$33:$J$33))</f>
        <v>759.15752510816264</v>
      </c>
      <c r="P21" s="79">
        <f>P49*(P$5/P$33)*SUM(厚生年金!$I21:$J21)/SUM($I49*SUM($I$5:$J$5)/SUM($I$33:$J$33),$J49*SUM($I$5:$J$5)/SUM($I$33:$J$33))</f>
        <v>14.218160757059271</v>
      </c>
      <c r="Q21" s="79">
        <f>Q49*(Q$5/Q$33)*SUM(厚生年金!$I21:$J21)/SUM($I49*SUM($I$5:$J$5)/SUM($I$33:$J$33),$J49*SUM($I$5:$J$5)/SUM($I$33:$J$33))</f>
        <v>3.4027967577796319</v>
      </c>
      <c r="R21" s="79">
        <f>R49*(R$5/R$33)*SUM(厚生年金!$I21:$J21)/SUM($I49*SUM($I$5:$J$5)/SUM($I$33:$J$33),$J49*SUM($I$5:$J$5)/SUM($I$33:$J$33))</f>
        <v>1.7743487759902621</v>
      </c>
      <c r="T21" s="151"/>
      <c r="W21" s="151"/>
      <c r="X21" s="151"/>
      <c r="Y21" s="151"/>
      <c r="Z21" s="151"/>
    </row>
    <row r="22" spans="1:26" s="37" customFormat="1" ht="18" customHeight="1">
      <c r="A22" s="73">
        <v>47</v>
      </c>
      <c r="B22" s="36" t="s">
        <v>49</v>
      </c>
      <c r="C22" s="77">
        <f>C50*($C$5/$C$33)*(経済前提!V74/経済前提!V33)*(1+人口等補正!B28)</f>
        <v>559687.23499543243</v>
      </c>
      <c r="D22" s="77">
        <f t="shared" si="0"/>
        <v>141943.81108179322</v>
      </c>
      <c r="E22" s="77">
        <f t="shared" si="1"/>
        <v>141276.11819753255</v>
      </c>
      <c r="F22" s="77">
        <f t="shared" si="2"/>
        <v>667.69288426067681</v>
      </c>
      <c r="G22" s="77">
        <f t="shared" si="4"/>
        <v>682483.3199839443</v>
      </c>
      <c r="H22" s="77">
        <f t="shared" si="3"/>
        <v>681634.8559186171</v>
      </c>
      <c r="I22" s="77">
        <f>I50*SUM($I$5:$J$5)/SUM($I$33:$J$33)*厚年比例の計算!W33</f>
        <v>357222.15534967225</v>
      </c>
      <c r="J22" s="77">
        <f>J50*SUM($I$5:$J$5)/SUM($I$33:$J$33)*厚年定額の計算!S33</f>
        <v>41860.464173879751</v>
      </c>
      <c r="K22" s="77">
        <f>K50*($K$5/$K$33)*基礎年金拠出金の計算!$V33</f>
        <v>282552.23639506509</v>
      </c>
      <c r="L22" s="78"/>
      <c r="M22" s="79">
        <f>M50*(M$5/M$33)*基礎年金拠出金の計算!$V33</f>
        <v>19479.939645670856</v>
      </c>
      <c r="N22" s="79"/>
      <c r="O22" s="79">
        <f>O50*(O$5/O$33)*SUM(厚生年金!$I22:$J22)/SUM($I50*SUM($I$5:$J$5)/SUM($I$33:$J$33),$J50*SUM($I$5:$J$5)/SUM($I$33:$J$33))</f>
        <v>650.99251571704281</v>
      </c>
      <c r="P22" s="79">
        <f>P50*(P$5/P$33)*SUM(厚生年金!$I22:$J22)/SUM($I50*SUM($I$5:$J$5)/SUM($I$33:$J$33),$J50*SUM($I$5:$J$5)/SUM($I$33:$J$33))</f>
        <v>12.148251719091933</v>
      </c>
      <c r="Q22" s="79">
        <f>Q50*(Q$5/Q$33)*SUM(厚生年金!$I22:$J22)/SUM($I50*SUM($I$5:$J$5)/SUM($I$33:$J$33),$J50*SUM($I$5:$J$5)/SUM($I$33:$J$33))</f>
        <v>3.0979373022015224</v>
      </c>
      <c r="R22" s="79">
        <f>R50*(R$5/R$33)*SUM(厚生年金!$I22:$J22)/SUM($I50*SUM($I$5:$J$5)/SUM($I$33:$J$33),$J50*SUM($I$5:$J$5)/SUM($I$33:$J$33))</f>
        <v>1.4541795223405076</v>
      </c>
      <c r="T22" s="151"/>
      <c r="W22" s="151"/>
      <c r="X22" s="151"/>
      <c r="Y22" s="151"/>
      <c r="Z22" s="151"/>
    </row>
    <row r="23" spans="1:26" s="37" customFormat="1" ht="18" customHeight="1">
      <c r="A23" s="73">
        <v>48</v>
      </c>
      <c r="B23" s="36" t="s">
        <v>50</v>
      </c>
      <c r="C23" s="77">
        <f>C51*($C$5/$C$33)*(経済前提!V75/経済前提!V34)*(1+人口等補正!B29)</f>
        <v>567383.15774695273</v>
      </c>
      <c r="D23" s="77">
        <f t="shared" si="0"/>
        <v>144574.02481246454</v>
      </c>
      <c r="E23" s="77">
        <f t="shared" si="1"/>
        <v>144005.50978074799</v>
      </c>
      <c r="F23" s="77">
        <f t="shared" si="2"/>
        <v>568.51503171654065</v>
      </c>
      <c r="G23" s="77">
        <f t="shared" si="4"/>
        <v>699525.07068856712</v>
      </c>
      <c r="H23" s="77">
        <f t="shared" si="3"/>
        <v>698687.90071098914</v>
      </c>
      <c r="I23" s="77">
        <f>I51*SUM($I$5:$J$5)/SUM($I$33:$J$33)*厚年比例の計算!W34</f>
        <v>368978.97629497241</v>
      </c>
      <c r="J23" s="77">
        <f>J51*SUM($I$5:$J$5)/SUM($I$33:$J$33)*厚年定額の計算!S34</f>
        <v>41697.904854520726</v>
      </c>
      <c r="K23" s="77">
        <f>K51*($K$5/$K$33)*基礎年金拠出金の計算!$V34</f>
        <v>288011.01956149598</v>
      </c>
      <c r="L23" s="78"/>
      <c r="M23" s="79">
        <f>M51*(M$5/M$33)*基礎年金拠出金の計算!$V34</f>
        <v>20015.776862777206</v>
      </c>
      <c r="N23" s="79"/>
      <c r="O23" s="79">
        <f>O51*(O$5/O$33)*SUM(厚生年金!$I23:$J23)/SUM($I51*SUM($I$5:$J$5)/SUM($I$33:$J$33),$J51*SUM($I$5:$J$5)/SUM($I$33:$J$33))</f>
        <v>554.187785352324</v>
      </c>
      <c r="P23" s="79">
        <f>P51*(P$5/P$33)*SUM(厚生年金!$I23:$J23)/SUM($I51*SUM($I$5:$J$5)/SUM($I$33:$J$33),$J51*SUM($I$5:$J$5)/SUM($I$33:$J$33))</f>
        <v>10.286749127893094</v>
      </c>
      <c r="Q23" s="79">
        <f>Q51*(Q$5/Q$33)*SUM(厚生年金!$I23:$J23)/SUM($I51*SUM($I$5:$J$5)/SUM($I$33:$J$33),$J51*SUM($I$5:$J$5)/SUM($I$33:$J$33))</f>
        <v>2.8595687988263454</v>
      </c>
      <c r="R23" s="79">
        <f>R51*(R$5/R$33)*SUM(厚生年金!$I23:$J23)/SUM($I51*SUM($I$5:$J$5)/SUM($I$33:$J$33),$J51*SUM($I$5:$J$5)/SUM($I$33:$J$33))</f>
        <v>1.1809284374971978</v>
      </c>
      <c r="T23" s="151"/>
      <c r="W23" s="151"/>
      <c r="X23" s="151"/>
      <c r="Y23" s="151"/>
      <c r="Z23" s="151"/>
    </row>
    <row r="24" spans="1:26" s="37" customFormat="1" ht="18" customHeight="1">
      <c r="A24" s="73">
        <v>49</v>
      </c>
      <c r="B24" s="36" t="s">
        <v>51</v>
      </c>
      <c r="C24" s="77">
        <f>C52*($C$5/$C$33)*(経済前提!V76/経済前提!V35)*(1+人口等補正!B30)</f>
        <v>574775.25180842611</v>
      </c>
      <c r="D24" s="77">
        <f t="shared" si="0"/>
        <v>147401.52981936431</v>
      </c>
      <c r="E24" s="77">
        <f t="shared" si="1"/>
        <v>146921.8029337466</v>
      </c>
      <c r="F24" s="77">
        <f t="shared" si="2"/>
        <v>479.72688561770315</v>
      </c>
      <c r="G24" s="77">
        <f t="shared" si="4"/>
        <v>717646.04734175466</v>
      </c>
      <c r="H24" s="77">
        <f t="shared" si="3"/>
        <v>716820.65635276167</v>
      </c>
      <c r="I24" s="77">
        <f>I52*SUM($I$5:$J$5)/SUM($I$33:$J$33)*厚年比例の計算!W35</f>
        <v>381388.31595021748</v>
      </c>
      <c r="J24" s="77">
        <f>J52*SUM($I$5:$J$5)/SUM($I$33:$J$33)*厚年定額の計算!S35</f>
        <v>41588.734535050906</v>
      </c>
      <c r="K24" s="77">
        <f>K52*($K$5/$K$33)*基礎年金拠出金の計算!$V35</f>
        <v>293843.6058674932</v>
      </c>
      <c r="L24" s="78"/>
      <c r="M24" s="79">
        <f>M52*(M$5/M$33)*基礎年金拠出金の計算!$V35</f>
        <v>20562.330647118375</v>
      </c>
      <c r="N24" s="79"/>
      <c r="O24" s="79">
        <f>O52*(O$5/O$33)*SUM(厚生年金!$I24:$J24)/SUM($I52*SUM($I$5:$J$5)/SUM($I$33:$J$33),$J52*SUM($I$5:$J$5)/SUM($I$33:$J$33))</f>
        <v>467.50233744157259</v>
      </c>
      <c r="P24" s="79">
        <f>P52*(P$5/P$33)*SUM(厚生年金!$I24:$J24)/SUM($I52*SUM($I$5:$J$5)/SUM($I$33:$J$33),$J52*SUM($I$5:$J$5)/SUM($I$33:$J$33))</f>
        <v>8.6189292639652475</v>
      </c>
      <c r="Q24" s="79">
        <f>Q52*(Q$5/Q$33)*SUM(厚生年金!$I24:$J24)/SUM($I52*SUM($I$5:$J$5)/SUM($I$33:$J$33),$J52*SUM($I$5:$J$5)/SUM($I$33:$J$33))</f>
        <v>2.6572153608922844</v>
      </c>
      <c r="R24" s="79">
        <f>R52*(R$5/R$33)*SUM(厚生年金!$I24:$J24)/SUM($I52*SUM($I$5:$J$5)/SUM($I$33:$J$33),$J52*SUM($I$5:$J$5)/SUM($I$33:$J$33))</f>
        <v>0.94840355127305698</v>
      </c>
      <c r="T24" s="151"/>
      <c r="W24" s="151"/>
      <c r="X24" s="151"/>
      <c r="Y24" s="151"/>
      <c r="Z24" s="151"/>
    </row>
    <row r="25" spans="1:26" s="37" customFormat="1" ht="18" customHeight="1">
      <c r="A25" s="73">
        <v>50</v>
      </c>
      <c r="B25" s="36" t="s">
        <v>52</v>
      </c>
      <c r="C25" s="77">
        <f>C53*($C$5/$C$33)*(経済前提!V77/経済前提!V36)*(1+人口等補正!B31)</f>
        <v>581789.08423240948</v>
      </c>
      <c r="D25" s="77">
        <f t="shared" si="0"/>
        <v>150306.13035128385</v>
      </c>
      <c r="E25" s="77">
        <f t="shared" si="1"/>
        <v>149905.12666512979</v>
      </c>
      <c r="F25" s="77">
        <f t="shared" si="2"/>
        <v>401.00368615405307</v>
      </c>
      <c r="G25" s="77">
        <f t="shared" si="4"/>
        <v>736284.13661171403</v>
      </c>
      <c r="H25" s="77">
        <f t="shared" si="3"/>
        <v>735471.08454859396</v>
      </c>
      <c r="I25" s="77">
        <f>I53*SUM($I$5:$J$5)/SUM($I$33:$J$33)*厚年比例の計算!W36</f>
        <v>394152.16820346768</v>
      </c>
      <c r="J25" s="77">
        <f>J53*SUM($I$5:$J$5)/SUM($I$33:$J$33)*厚年定額の計算!S36</f>
        <v>41508.66301486671</v>
      </c>
      <c r="K25" s="77">
        <f>K53*($K$5/$K$33)*基礎年金拠出金の計算!$V36</f>
        <v>299810.25333025958</v>
      </c>
      <c r="L25" s="78"/>
      <c r="M25" s="79">
        <f>M53*(M$5/M$33)*基礎年金拠出金の計算!$V36</f>
        <v>21113.932997833661</v>
      </c>
      <c r="N25" s="79"/>
      <c r="O25" s="79">
        <f>O53*(O$5/O$33)*SUM(厚生年金!$I25:$J25)/SUM($I53*SUM($I$5:$J$5)/SUM($I$33:$J$33),$J53*SUM($I$5:$J$5)/SUM($I$33:$J$33))</f>
        <v>390.66809368243293</v>
      </c>
      <c r="P25" s="79">
        <f>P53*(P$5/P$33)*SUM(厚生年金!$I25:$J25)/SUM($I53*SUM($I$5:$J$5)/SUM($I$33:$J$33),$J53*SUM($I$5:$J$5)/SUM($I$33:$J$33))</f>
        <v>7.1422364255502631</v>
      </c>
      <c r="Q25" s="79">
        <f>Q53*(Q$5/Q$33)*SUM(厚生年金!$I25:$J25)/SUM($I53*SUM($I$5:$J$5)/SUM($I$33:$J$33),$J53*SUM($I$5:$J$5)/SUM($I$33:$J$33))</f>
        <v>2.4405390832977343</v>
      </c>
      <c r="R25" s="79">
        <f>R53*(R$5/R$33)*SUM(厚生年金!$I25:$J25)/SUM($I53*SUM($I$5:$J$5)/SUM($I$33:$J$33),$J53*SUM($I$5:$J$5)/SUM($I$33:$J$33))</f>
        <v>0.75281696277215582</v>
      </c>
      <c r="T25" s="151"/>
      <c r="W25" s="151"/>
      <c r="X25" s="151"/>
      <c r="Y25" s="151"/>
      <c r="Z25" s="151"/>
    </row>
    <row r="26" spans="1:26" s="37" customFormat="1" ht="18" customHeight="1">
      <c r="A26" s="73">
        <v>51</v>
      </c>
      <c r="B26" s="36" t="s">
        <v>53</v>
      </c>
      <c r="C26" s="77">
        <f>C54*($C$5/$C$33)*(経済前提!V78/経済前提!V37)*(1+人口等補正!B32)</f>
        <v>588692.4485141139</v>
      </c>
      <c r="D26" s="77">
        <f t="shared" si="0"/>
        <v>153111.91014072689</v>
      </c>
      <c r="E26" s="77">
        <f t="shared" si="1"/>
        <v>152779.94993624525</v>
      </c>
      <c r="F26" s="77">
        <f t="shared" si="2"/>
        <v>331.96020448163227</v>
      </c>
      <c r="G26" s="77">
        <f t="shared" si="4"/>
        <v>754598.01808806416</v>
      </c>
      <c r="H26" s="77">
        <f t="shared" si="3"/>
        <v>753797.32996847318</v>
      </c>
      <c r="I26" s="77">
        <f>I54*SUM($I$5:$J$5)/SUM($I$33:$J$33)*厚年比例の計算!W37</f>
        <v>406872.50631291757</v>
      </c>
      <c r="J26" s="77">
        <f>J54*SUM($I$5:$J$5)/SUM($I$33:$J$33)*厚年定額の計算!S37</f>
        <v>41364.923783065104</v>
      </c>
      <c r="K26" s="77">
        <f>K54*($K$5/$K$33)*基礎年金拠出金の計算!$V37</f>
        <v>305559.8998724905</v>
      </c>
      <c r="L26" s="78"/>
      <c r="M26" s="79">
        <f>M54*(M$5/M$33)*基礎年金拠出金の計算!$V37</f>
        <v>21642.431070497973</v>
      </c>
      <c r="N26" s="79"/>
      <c r="O26" s="79">
        <f>O54*(O$5/O$33)*SUM(厚生年金!$I26:$J26)/SUM($I54*SUM($I$5:$J$5)/SUM($I$33:$J$33),$J54*SUM($I$5:$J$5)/SUM($I$33:$J$33))</f>
        <v>323.30429431676833</v>
      </c>
      <c r="P26" s="79">
        <f>P54*(P$5/P$33)*SUM(厚生年金!$I26:$J26)/SUM($I54*SUM($I$5:$J$5)/SUM($I$33:$J$33),$J54*SUM($I$5:$J$5)/SUM($I$33:$J$33))</f>
        <v>5.8519820682168104</v>
      </c>
      <c r="Q26" s="79">
        <f>Q54*(Q$5/Q$33)*SUM(厚生年金!$I26:$J26)/SUM($I54*SUM($I$5:$J$5)/SUM($I$33:$J$33),$J54*SUM($I$5:$J$5)/SUM($I$33:$J$33))</f>
        <v>2.2129999886269602</v>
      </c>
      <c r="R26" s="79">
        <f>R54*(R$5/R$33)*SUM(厚生年金!$I26:$J26)/SUM($I54*SUM($I$5:$J$5)/SUM($I$33:$J$33),$J54*SUM($I$5:$J$5)/SUM($I$33:$J$33))</f>
        <v>0.59092810802020601</v>
      </c>
      <c r="T26" s="151"/>
      <c r="W26" s="151"/>
      <c r="X26" s="151"/>
      <c r="Y26" s="151"/>
      <c r="Z26" s="151"/>
    </row>
    <row r="27" spans="1:26" s="37" customFormat="1" ht="18" customHeight="1">
      <c r="A27" s="73">
        <v>52</v>
      </c>
      <c r="B27" s="36" t="s">
        <v>54</v>
      </c>
      <c r="C27" s="77">
        <f>C55*($C$5/$C$33)*(経済前提!V79/経済前提!V38)*(1+人口等補正!B33)</f>
        <v>595668.90885866596</v>
      </c>
      <c r="D27" s="77">
        <f t="shared" si="0"/>
        <v>155581.39747461479</v>
      </c>
      <c r="E27" s="77">
        <f t="shared" si="1"/>
        <v>155309.30412984954</v>
      </c>
      <c r="F27" s="77">
        <f t="shared" si="2"/>
        <v>272.09334476524327</v>
      </c>
      <c r="G27" s="77">
        <f t="shared" si="4"/>
        <v>771484.75549999322</v>
      </c>
      <c r="H27" s="77">
        <f t="shared" si="3"/>
        <v>770696.32420521136</v>
      </c>
      <c r="I27" s="77">
        <f>I55*SUM($I$5:$J$5)/SUM($I$33:$J$33)*厚年比例の計算!W38</f>
        <v>419025.30685299844</v>
      </c>
      <c r="J27" s="77">
        <f>J55*SUM($I$5:$J$5)/SUM($I$33:$J$33)*厚年定額の計算!S38</f>
        <v>41052.409092513859</v>
      </c>
      <c r="K27" s="77">
        <f>K55*($K$5/$K$33)*基礎年金拠出金の計算!$V38</f>
        <v>310618.60825969907</v>
      </c>
      <c r="L27" s="78"/>
      <c r="M27" s="79">
        <f>M55*(M$5/M$33)*基礎年金拠出金の計算!$V38</f>
        <v>22109.772984714589</v>
      </c>
      <c r="N27" s="79"/>
      <c r="O27" s="79">
        <f>O55*(O$5/O$33)*SUM(厚生年金!$I27:$J27)/SUM($I55*SUM($I$5:$J$5)/SUM($I$33:$J$33),$J55*SUM($I$5:$J$5)/SUM($I$33:$J$33))</f>
        <v>264.82457129101493</v>
      </c>
      <c r="P27" s="79">
        <f>P55*(P$5/P$33)*SUM(厚生年金!$I27:$J27)/SUM($I55*SUM($I$5:$J$5)/SUM($I$33:$J$33),$J55*SUM($I$5:$J$5)/SUM($I$33:$J$33))</f>
        <v>4.7392149424625059</v>
      </c>
      <c r="Q27" s="79">
        <f>Q55*(Q$5/Q$33)*SUM(厚生年金!$I27:$J27)/SUM($I55*SUM($I$5:$J$5)/SUM($I$33:$J$33),$J55*SUM($I$5:$J$5)/SUM($I$33:$J$33))</f>
        <v>2.070793219747411</v>
      </c>
      <c r="R27" s="79">
        <f>R55*(R$5/R$33)*SUM(厚生年金!$I27:$J27)/SUM($I55*SUM($I$5:$J$5)/SUM($I$33:$J$33),$J55*SUM($I$5:$J$5)/SUM($I$33:$J$33))</f>
        <v>0.45876531201836057</v>
      </c>
      <c r="T27" s="151"/>
      <c r="W27" s="151"/>
      <c r="X27" s="151"/>
      <c r="Y27" s="151"/>
      <c r="Z27" s="151"/>
    </row>
    <row r="29" spans="1:26" s="74" customFormat="1" ht="18" customHeight="1">
      <c r="A29" s="131" t="s">
        <v>165</v>
      </c>
      <c r="B29" s="131"/>
      <c r="C29" s="131"/>
      <c r="D29" s="141"/>
      <c r="E29" s="131"/>
      <c r="F29" s="141"/>
      <c r="G29" s="131" t="s">
        <v>29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</row>
    <row r="30" spans="1:26" s="74" customFormat="1" ht="18" customHeight="1">
      <c r="A30" s="131"/>
      <c r="B30" s="131"/>
      <c r="C30" s="131" t="s">
        <v>25</v>
      </c>
      <c r="D30" s="131" t="s">
        <v>26</v>
      </c>
      <c r="E30" s="131"/>
      <c r="F30" s="131"/>
      <c r="G30" s="131"/>
      <c r="H30" s="131" t="s">
        <v>37</v>
      </c>
      <c r="I30" s="131" t="s">
        <v>30</v>
      </c>
      <c r="J30" s="131"/>
      <c r="K30" s="131" t="s">
        <v>32</v>
      </c>
      <c r="L30" s="131"/>
      <c r="M30" s="131"/>
      <c r="N30" s="131"/>
      <c r="O30" s="131" t="s">
        <v>139</v>
      </c>
      <c r="P30" s="131"/>
      <c r="Q30" s="131"/>
      <c r="R30" s="131"/>
    </row>
    <row r="31" spans="1:26" s="74" customFormat="1" ht="18" customHeight="1">
      <c r="A31" s="131"/>
      <c r="B31" s="131"/>
      <c r="C31" s="131"/>
      <c r="D31" s="131"/>
      <c r="E31" s="131" t="s">
        <v>27</v>
      </c>
      <c r="F31" s="131" t="s">
        <v>28</v>
      </c>
      <c r="G31" s="131"/>
      <c r="H31" s="131"/>
      <c r="I31" s="131" t="s">
        <v>0</v>
      </c>
      <c r="J31" s="131" t="s">
        <v>28</v>
      </c>
      <c r="K31" s="131" t="s">
        <v>31</v>
      </c>
      <c r="L31" s="131"/>
      <c r="M31" s="131" t="s">
        <v>135</v>
      </c>
      <c r="N31" s="131"/>
      <c r="O31" s="131" t="s">
        <v>133</v>
      </c>
      <c r="P31" s="131" t="s">
        <v>134</v>
      </c>
      <c r="Q31" s="131" t="s">
        <v>135</v>
      </c>
      <c r="R31" s="131" t="s">
        <v>136</v>
      </c>
    </row>
    <row r="32" spans="1:26" s="75" customFormat="1" ht="18" customHeight="1">
      <c r="C32" s="76" t="s">
        <v>12</v>
      </c>
      <c r="D32" s="76" t="s">
        <v>12</v>
      </c>
      <c r="E32" s="76" t="s">
        <v>12</v>
      </c>
      <c r="F32" s="76" t="s">
        <v>12</v>
      </c>
      <c r="G32" s="76" t="s">
        <v>12</v>
      </c>
      <c r="H32" s="76"/>
      <c r="I32" s="76" t="s">
        <v>12</v>
      </c>
      <c r="J32" s="76" t="s">
        <v>12</v>
      </c>
      <c r="K32" s="76" t="s">
        <v>12</v>
      </c>
      <c r="L32" s="76"/>
      <c r="O32" s="75" t="s">
        <v>137</v>
      </c>
    </row>
    <row r="33" spans="1:18" s="37" customFormat="1" ht="18" customHeight="1">
      <c r="A33" s="73">
        <v>30</v>
      </c>
      <c r="B33" s="36" t="s">
        <v>14</v>
      </c>
      <c r="C33" s="77">
        <v>363223.50578900898</v>
      </c>
      <c r="D33" s="77">
        <f t="shared" ref="D33:D55" si="5">E33+F33</f>
        <v>105513.46881595498</v>
      </c>
      <c r="E33" s="77">
        <f t="shared" ref="E33:E55" si="6">K33/2</f>
        <v>101433.554155412</v>
      </c>
      <c r="F33" s="77">
        <v>4079.9146605429801</v>
      </c>
      <c r="G33" s="77">
        <v>507418.29565087677</v>
      </c>
      <c r="H33" s="77">
        <v>506507.06005015096</v>
      </c>
      <c r="I33" s="77">
        <v>249269.39771488</v>
      </c>
      <c r="J33" s="77">
        <v>54370.554024447003</v>
      </c>
      <c r="K33" s="77">
        <v>202867.108310824</v>
      </c>
      <c r="L33" s="78"/>
      <c r="M33" s="79">
        <v>15178.979624621899</v>
      </c>
      <c r="N33" s="79"/>
      <c r="O33" s="79">
        <v>3981.7301131208601</v>
      </c>
      <c r="P33" s="79">
        <v>66.696801955611605</v>
      </c>
      <c r="Q33" s="79">
        <v>17.354473100720401</v>
      </c>
      <c r="R33" s="79">
        <v>14.133272365790701</v>
      </c>
    </row>
    <row r="34" spans="1:18" s="37" customFormat="1" ht="18" customHeight="1">
      <c r="A34" s="73">
        <v>31</v>
      </c>
      <c r="B34" s="36" t="s">
        <v>15</v>
      </c>
      <c r="C34" s="77">
        <v>377696.44580823497</v>
      </c>
      <c r="D34" s="77">
        <f t="shared" si="5"/>
        <v>107620.08869150108</v>
      </c>
      <c r="E34" s="77">
        <f t="shared" si="6"/>
        <v>103790.062478968</v>
      </c>
      <c r="F34" s="77">
        <v>3830.0262125330801</v>
      </c>
      <c r="G34" s="77">
        <v>514206.06205672759</v>
      </c>
      <c r="H34" s="77">
        <v>513293.93176001922</v>
      </c>
      <c r="I34" s="77">
        <v>253058.61667859001</v>
      </c>
      <c r="J34" s="77">
        <v>52655.190123493201</v>
      </c>
      <c r="K34" s="77">
        <v>207580.124957936</v>
      </c>
      <c r="L34" s="78"/>
      <c r="M34" s="79">
        <v>15449.671086824999</v>
      </c>
      <c r="N34" s="79"/>
      <c r="O34" s="79">
        <v>3737.8885426694501</v>
      </c>
      <c r="P34" s="79">
        <v>63.345910215010498</v>
      </c>
      <c r="Q34" s="79">
        <v>15.6873332784727</v>
      </c>
      <c r="R34" s="79">
        <v>13.104426370148399</v>
      </c>
    </row>
    <row r="35" spans="1:18" s="37" customFormat="1" ht="18" customHeight="1">
      <c r="A35" s="73">
        <v>32</v>
      </c>
      <c r="B35" s="36" t="s">
        <v>16</v>
      </c>
      <c r="C35" s="77">
        <v>392621.78938714601</v>
      </c>
      <c r="D35" s="77">
        <f t="shared" si="5"/>
        <v>109806.72141824916</v>
      </c>
      <c r="E35" s="77">
        <f t="shared" si="6"/>
        <v>106210.7200878165</v>
      </c>
      <c r="F35" s="77">
        <v>3596.0013304326599</v>
      </c>
      <c r="G35" s="77">
        <v>523249.18948480277</v>
      </c>
      <c r="H35" s="77">
        <v>522336.36054641573</v>
      </c>
      <c r="I35" s="77">
        <v>257835.07540363001</v>
      </c>
      <c r="J35" s="77">
        <v>52079.844967152705</v>
      </c>
      <c r="K35" s="77">
        <v>212421.440175633</v>
      </c>
      <c r="L35" s="78"/>
      <c r="M35" s="79">
        <v>15734.1356628994</v>
      </c>
      <c r="N35" s="79"/>
      <c r="O35" s="79">
        <v>3509.4545781239999</v>
      </c>
      <c r="P35" s="79">
        <v>60.1688687429073</v>
      </c>
      <c r="Q35" s="79">
        <v>14.236737964865499</v>
      </c>
      <c r="R35" s="79">
        <v>12.141145600884901</v>
      </c>
    </row>
    <row r="36" spans="1:18" s="37" customFormat="1" ht="18" customHeight="1">
      <c r="A36" s="73">
        <v>33</v>
      </c>
      <c r="B36" s="36" t="s">
        <v>17</v>
      </c>
      <c r="C36" s="77">
        <v>407838.36358393898</v>
      </c>
      <c r="D36" s="77">
        <f t="shared" si="5"/>
        <v>111933.72119760331</v>
      </c>
      <c r="E36" s="77">
        <f t="shared" si="6"/>
        <v>108565.2709781205</v>
      </c>
      <c r="F36" s="77">
        <v>3368.4502194828101</v>
      </c>
      <c r="G36" s="77">
        <v>535865.31026258355</v>
      </c>
      <c r="H36" s="77">
        <v>534952.53095213906</v>
      </c>
      <c r="I36" s="77">
        <v>266285.56330878998</v>
      </c>
      <c r="J36" s="77">
        <v>51536.425687108102</v>
      </c>
      <c r="K36" s="77">
        <v>217130.54195624101</v>
      </c>
      <c r="L36" s="78"/>
      <c r="M36" s="79">
        <v>16022.868908128599</v>
      </c>
      <c r="N36" s="79"/>
      <c r="O36" s="79">
        <v>3287.3109281922998</v>
      </c>
      <c r="P36" s="79">
        <v>57.008811023125702</v>
      </c>
      <c r="Q36" s="79">
        <v>12.9192029352405</v>
      </c>
      <c r="R36" s="79">
        <v>11.2112773321495</v>
      </c>
    </row>
    <row r="37" spans="1:18" s="37" customFormat="1" ht="18" customHeight="1">
      <c r="A37" s="73">
        <v>34</v>
      </c>
      <c r="B37" s="36" t="s">
        <v>18</v>
      </c>
      <c r="C37" s="77">
        <v>423881.57429066702</v>
      </c>
      <c r="D37" s="77">
        <f>E37+F37</f>
        <v>113973.24906138977</v>
      </c>
      <c r="E37" s="77">
        <f t="shared" si="6"/>
        <v>110831.5503549585</v>
      </c>
      <c r="F37" s="77">
        <v>3141.6987064312698</v>
      </c>
      <c r="G37" s="77">
        <v>546447.26411131595</v>
      </c>
      <c r="H37" s="77">
        <v>545534.89045514062</v>
      </c>
      <c r="I37" s="77">
        <v>272928.14796823001</v>
      </c>
      <c r="J37" s="77">
        <v>50943.641776993602</v>
      </c>
      <c r="K37" s="77">
        <v>221663.10070991699</v>
      </c>
      <c r="L37" s="78"/>
      <c r="M37" s="79">
        <v>16314.976832411299</v>
      </c>
      <c r="N37" s="79"/>
      <c r="O37" s="79">
        <v>3065.9414006869301</v>
      </c>
      <c r="P37" s="79">
        <v>53.771909396407501</v>
      </c>
      <c r="Q37" s="79">
        <v>11.6878095354884</v>
      </c>
      <c r="R37" s="79">
        <v>10.297586812445299</v>
      </c>
    </row>
    <row r="38" spans="1:18" s="37" customFormat="1" ht="18" customHeight="1">
      <c r="A38" s="73">
        <v>35</v>
      </c>
      <c r="B38" s="36" t="s">
        <v>19</v>
      </c>
      <c r="C38" s="77">
        <v>440908.97481092002</v>
      </c>
      <c r="D38" s="77">
        <f t="shared" si="5"/>
        <v>116087.89301704032</v>
      </c>
      <c r="E38" s="77">
        <f t="shared" si="6"/>
        <v>113171.621729213</v>
      </c>
      <c r="F38" s="77">
        <v>2916.2712878273101</v>
      </c>
      <c r="G38" s="77">
        <v>556410.60534468677</v>
      </c>
      <c r="H38" s="77">
        <v>555498.73240488186</v>
      </c>
      <c r="I38" s="77">
        <v>278784.70899185998</v>
      </c>
      <c r="J38" s="77">
        <v>50370.779954595899</v>
      </c>
      <c r="K38" s="77">
        <v>226343.243458426</v>
      </c>
      <c r="L38" s="78"/>
      <c r="M38" s="79">
        <v>16630.650186661202</v>
      </c>
      <c r="N38" s="79"/>
      <c r="O38" s="79">
        <v>2845.8049871918001</v>
      </c>
      <c r="P38" s="79">
        <v>50.460447898623102</v>
      </c>
      <c r="Q38" s="79">
        <v>10.603892356547799</v>
      </c>
      <c r="R38" s="79">
        <v>9.4019603803358507</v>
      </c>
    </row>
    <row r="39" spans="1:18" s="37" customFormat="1" ht="18" customHeight="1">
      <c r="A39" s="73">
        <v>36</v>
      </c>
      <c r="B39" s="36" t="s">
        <v>20</v>
      </c>
      <c r="C39" s="77">
        <v>454526.40361919499</v>
      </c>
      <c r="D39" s="77">
        <f t="shared" si="5"/>
        <v>118386.59179182486</v>
      </c>
      <c r="E39" s="77">
        <f t="shared" si="6"/>
        <v>115692.85553865301</v>
      </c>
      <c r="F39" s="77">
        <v>2693.73625317186</v>
      </c>
      <c r="G39" s="77">
        <v>569988.62886664621</v>
      </c>
      <c r="H39" s="77">
        <v>569077.57926384092</v>
      </c>
      <c r="I39" s="77">
        <v>287766.83199983998</v>
      </c>
      <c r="J39" s="77">
        <v>49925.036186694902</v>
      </c>
      <c r="K39" s="77">
        <v>231385.71107730601</v>
      </c>
      <c r="L39" s="78"/>
      <c r="M39" s="79">
        <v>16981.234466642101</v>
      </c>
      <c r="N39" s="79"/>
      <c r="O39" s="79">
        <v>2628.52606533267</v>
      </c>
      <c r="P39" s="79">
        <v>47.093867436725198</v>
      </c>
      <c r="Q39" s="79">
        <v>9.5874025978720905</v>
      </c>
      <c r="R39" s="79">
        <v>8.5289178045886498</v>
      </c>
    </row>
    <row r="40" spans="1:18" s="37" customFormat="1" ht="18" customHeight="1">
      <c r="A40" s="73">
        <v>37</v>
      </c>
      <c r="B40" s="36" t="s">
        <v>21</v>
      </c>
      <c r="C40" s="77">
        <v>464810.17012970202</v>
      </c>
      <c r="D40" s="77">
        <f t="shared" si="5"/>
        <v>119911.40892879337</v>
      </c>
      <c r="E40" s="77">
        <f t="shared" si="6"/>
        <v>117452.457798512</v>
      </c>
      <c r="F40" s="77">
        <v>2458.9511302813798</v>
      </c>
      <c r="G40" s="77">
        <v>577399.70671004767</v>
      </c>
      <c r="H40" s="77">
        <v>576489.80644736742</v>
      </c>
      <c r="I40" s="77">
        <v>292463.51478750998</v>
      </c>
      <c r="J40" s="77">
        <v>49121.376062833398</v>
      </c>
      <c r="K40" s="77">
        <v>234904.915597024</v>
      </c>
      <c r="L40" s="78"/>
      <c r="M40" s="79">
        <v>17230.947365193999</v>
      </c>
      <c r="N40" s="79"/>
      <c r="O40" s="79">
        <v>2399.3097295400898</v>
      </c>
      <c r="P40" s="79">
        <v>43.406219048355901</v>
      </c>
      <c r="Q40" s="79">
        <v>8.6011160120850008</v>
      </c>
      <c r="R40" s="79">
        <v>7.6340656808438396</v>
      </c>
    </row>
    <row r="41" spans="1:18" s="37" customFormat="1" ht="18" customHeight="1">
      <c r="A41" s="73">
        <v>38</v>
      </c>
      <c r="B41" s="36" t="s">
        <v>22</v>
      </c>
      <c r="C41" s="77">
        <v>475273.587523208</v>
      </c>
      <c r="D41" s="77">
        <f t="shared" si="5"/>
        <v>121233.23396092645</v>
      </c>
      <c r="E41" s="77">
        <f t="shared" si="6"/>
        <v>119004.04891589499</v>
      </c>
      <c r="F41" s="77">
        <v>2229.18504503145</v>
      </c>
      <c r="G41" s="77">
        <v>583013.06321112474</v>
      </c>
      <c r="H41" s="77">
        <v>582104.45344703237</v>
      </c>
      <c r="I41" s="77">
        <v>295895.06744205998</v>
      </c>
      <c r="J41" s="77">
        <v>48201.288173182395</v>
      </c>
      <c r="K41" s="77">
        <v>238008.09783178999</v>
      </c>
      <c r="L41" s="78"/>
      <c r="M41" s="79">
        <v>17460.895387394699</v>
      </c>
      <c r="N41" s="79"/>
      <c r="O41" s="79">
        <v>2175.0121894988401</v>
      </c>
      <c r="P41" s="79">
        <v>39.697824549139902</v>
      </c>
      <c r="Q41" s="79">
        <v>7.7011834656392901</v>
      </c>
      <c r="R41" s="79">
        <v>6.7738475178317499</v>
      </c>
    </row>
    <row r="42" spans="1:18" s="37" customFormat="1" ht="18" customHeight="1">
      <c r="A42" s="73">
        <v>39</v>
      </c>
      <c r="B42" s="36" t="s">
        <v>23</v>
      </c>
      <c r="C42" s="77">
        <v>485575.90027491603</v>
      </c>
      <c r="D42" s="77">
        <f t="shared" si="5"/>
        <v>122478.31862417721</v>
      </c>
      <c r="E42" s="77">
        <f t="shared" si="6"/>
        <v>120469.1977454365</v>
      </c>
      <c r="F42" s="77">
        <v>2009.1208787407099</v>
      </c>
      <c r="G42" s="77">
        <v>591950.89808383398</v>
      </c>
      <c r="H42" s="77">
        <v>591043.92111143062</v>
      </c>
      <c r="I42" s="77">
        <v>302718.31658293999</v>
      </c>
      <c r="J42" s="77">
        <v>47387.209037617606</v>
      </c>
      <c r="K42" s="77">
        <v>240938.39549087299</v>
      </c>
      <c r="L42" s="78"/>
      <c r="M42" s="79">
        <v>17674.414813880499</v>
      </c>
      <c r="N42" s="79"/>
      <c r="O42" s="79">
        <v>1960.20707102298</v>
      </c>
      <c r="P42" s="79">
        <v>36.055814519367999</v>
      </c>
      <c r="Q42" s="79">
        <v>6.8947228669239902</v>
      </c>
      <c r="R42" s="79">
        <v>5.9632703314361502</v>
      </c>
    </row>
    <row r="43" spans="1:18" s="37" customFormat="1" ht="18" customHeight="1">
      <c r="A43" s="73">
        <v>40</v>
      </c>
      <c r="B43" s="36" t="s">
        <v>24</v>
      </c>
      <c r="C43" s="77">
        <v>495464.19306148402</v>
      </c>
      <c r="D43" s="77">
        <f t="shared" si="5"/>
        <v>123800.51258349689</v>
      </c>
      <c r="E43" s="77">
        <f t="shared" si="6"/>
        <v>122000.99134156</v>
      </c>
      <c r="F43" s="77">
        <v>1799.52124193689</v>
      </c>
      <c r="G43" s="77">
        <v>600498.48671515787</v>
      </c>
      <c r="H43" s="77">
        <v>599593.89772092085</v>
      </c>
      <c r="I43" s="77">
        <v>308987.55428475002</v>
      </c>
      <c r="J43" s="77">
        <v>46604.360753050903</v>
      </c>
      <c r="K43" s="77">
        <v>244001.98268312</v>
      </c>
      <c r="L43" s="78"/>
      <c r="M43" s="79">
        <v>17922.462112655699</v>
      </c>
      <c r="N43" s="79"/>
      <c r="O43" s="79">
        <v>1755.6345361030601</v>
      </c>
      <c r="P43" s="79">
        <v>32.5029229111516</v>
      </c>
      <c r="Q43" s="79">
        <v>6.1772646136216798</v>
      </c>
      <c r="R43" s="79">
        <v>5.2065183090625098</v>
      </c>
    </row>
    <row r="44" spans="1:18" s="37" customFormat="1" ht="18" customHeight="1">
      <c r="A44" s="73">
        <v>41</v>
      </c>
      <c r="B44" s="36" t="s">
        <v>43</v>
      </c>
      <c r="C44" s="77">
        <v>505234.350941332</v>
      </c>
      <c r="D44" s="77">
        <f t="shared" si="5"/>
        <v>125310.29823737103</v>
      </c>
      <c r="E44" s="77">
        <f t="shared" si="6"/>
        <v>123709.5455571725</v>
      </c>
      <c r="F44" s="77">
        <v>1600.75268019852</v>
      </c>
      <c r="G44" s="77">
        <v>611167.48995203234</v>
      </c>
      <c r="H44" s="77">
        <v>610265.69883106987</v>
      </c>
      <c r="I44" s="77">
        <v>316931.17731887999</v>
      </c>
      <c r="J44" s="77">
        <v>45915.430397844902</v>
      </c>
      <c r="K44" s="77">
        <v>247419.09111434501</v>
      </c>
      <c r="L44" s="78"/>
      <c r="M44" s="79">
        <v>18220.985325024201</v>
      </c>
      <c r="N44" s="79"/>
      <c r="O44" s="79">
        <v>1561.64650969738</v>
      </c>
      <c r="P44" s="79">
        <v>29.059722289760799</v>
      </c>
      <c r="Q44" s="79">
        <v>5.5402092147853699</v>
      </c>
      <c r="R44" s="79">
        <v>4.5062389965888103</v>
      </c>
    </row>
    <row r="45" spans="1:18" s="37" customFormat="1" ht="18" customHeight="1">
      <c r="A45" s="73">
        <v>42</v>
      </c>
      <c r="B45" s="36" t="s">
        <v>44</v>
      </c>
      <c r="C45" s="77">
        <v>514403.09949342703</v>
      </c>
      <c r="D45" s="77">
        <f t="shared" si="5"/>
        <v>126924.71911937719</v>
      </c>
      <c r="E45" s="77">
        <f t="shared" si="6"/>
        <v>125510.374717371</v>
      </c>
      <c r="F45" s="77">
        <v>1414.34440200619</v>
      </c>
      <c r="G45" s="77">
        <v>621574.8439197127</v>
      </c>
      <c r="H45" s="77">
        <v>620677.33986608277</v>
      </c>
      <c r="I45" s="77">
        <v>324363.90359085001</v>
      </c>
      <c r="J45" s="77">
        <v>45292.6868404907</v>
      </c>
      <c r="K45" s="77">
        <v>251020.749434742</v>
      </c>
      <c r="L45" s="78"/>
      <c r="M45" s="79">
        <v>18552.7001758443</v>
      </c>
      <c r="N45" s="79"/>
      <c r="O45" s="79">
        <v>1379.73390864875</v>
      </c>
      <c r="P45" s="79">
        <v>25.7713230836622</v>
      </c>
      <c r="Q45" s="79">
        <v>4.9747313838135296</v>
      </c>
      <c r="R45" s="79">
        <v>3.8644388899632598</v>
      </c>
    </row>
    <row r="46" spans="1:18" s="37" customFormat="1" ht="18" customHeight="1">
      <c r="A46" s="73">
        <v>43</v>
      </c>
      <c r="B46" s="36" t="s">
        <v>45</v>
      </c>
      <c r="C46" s="77">
        <v>522077.04697079299</v>
      </c>
      <c r="D46" s="77">
        <f t="shared" si="5"/>
        <v>128170.44812020227</v>
      </c>
      <c r="E46" s="77">
        <f t="shared" si="6"/>
        <v>126929.7458724725</v>
      </c>
      <c r="F46" s="77">
        <v>1240.7022477297701</v>
      </c>
      <c r="G46" s="77">
        <v>629984.93635192479</v>
      </c>
      <c r="H46" s="77">
        <v>629094.93522653449</v>
      </c>
      <c r="I46" s="77">
        <v>330685.56979128002</v>
      </c>
      <c r="J46" s="77">
        <v>44549.873690309396</v>
      </c>
      <c r="K46" s="77">
        <v>253859.491744945</v>
      </c>
      <c r="L46" s="78"/>
      <c r="M46" s="79">
        <v>18875.927576109101</v>
      </c>
      <c r="N46" s="79"/>
      <c r="O46" s="79">
        <v>1210.27102026943</v>
      </c>
      <c r="P46" s="79">
        <v>22.658118992557601</v>
      </c>
      <c r="Q46" s="79">
        <v>4.4910318533135696</v>
      </c>
      <c r="R46" s="79">
        <v>3.2820766144696099</v>
      </c>
    </row>
    <row r="47" spans="1:18" s="37" customFormat="1" ht="18" customHeight="1">
      <c r="A47" s="73">
        <v>44</v>
      </c>
      <c r="B47" s="36" t="s">
        <v>46</v>
      </c>
      <c r="C47" s="77">
        <v>528734.25439946703</v>
      </c>
      <c r="D47" s="77">
        <f t="shared" si="5"/>
        <v>129418.72842598808</v>
      </c>
      <c r="E47" s="77">
        <f t="shared" si="6"/>
        <v>128338.31051161949</v>
      </c>
      <c r="F47" s="77">
        <v>1080.4179143685899</v>
      </c>
      <c r="G47" s="77">
        <v>640251.920606873</v>
      </c>
      <c r="H47" s="77">
        <v>639371.45423621556</v>
      </c>
      <c r="I47" s="77">
        <v>338842.15546509001</v>
      </c>
      <c r="J47" s="77">
        <v>43852.677747886599</v>
      </c>
      <c r="K47" s="77">
        <v>256676.62102323899</v>
      </c>
      <c r="L47" s="78"/>
      <c r="M47" s="79">
        <v>19239.661837584299</v>
      </c>
      <c r="N47" s="79"/>
      <c r="O47" s="79">
        <v>1053.84167201932</v>
      </c>
      <c r="P47" s="79">
        <v>19.745333709699398</v>
      </c>
      <c r="Q47" s="79">
        <v>4.0712142577469903</v>
      </c>
      <c r="R47" s="79">
        <v>2.75969438182246</v>
      </c>
    </row>
    <row r="48" spans="1:18" s="37" customFormat="1" ht="18" customHeight="1">
      <c r="A48" s="73">
        <v>45</v>
      </c>
      <c r="B48" s="36" t="s">
        <v>47</v>
      </c>
      <c r="C48" s="77">
        <v>535063.37901670695</v>
      </c>
      <c r="D48" s="77">
        <f t="shared" si="5"/>
        <v>131403.72699856161</v>
      </c>
      <c r="E48" s="77">
        <f t="shared" si="6"/>
        <v>130469.9932067395</v>
      </c>
      <c r="F48" s="77">
        <v>933.733791822125</v>
      </c>
      <c r="G48" s="77">
        <v>653889.80378548685</v>
      </c>
      <c r="H48" s="77">
        <v>653019.47457213583</v>
      </c>
      <c r="I48" s="77">
        <v>348573.95366109</v>
      </c>
      <c r="J48" s="77">
        <v>43505.5344975669</v>
      </c>
      <c r="K48" s="77">
        <v>260939.986413479</v>
      </c>
      <c r="L48" s="78"/>
      <c r="M48" s="79">
        <v>19740.922230573498</v>
      </c>
      <c r="N48" s="79"/>
      <c r="O48" s="79">
        <v>910.69542422048903</v>
      </c>
      <c r="P48" s="79">
        <v>17.050297709482901</v>
      </c>
      <c r="Q48" s="79">
        <v>3.6918886214584798</v>
      </c>
      <c r="R48" s="79">
        <v>2.2961812706953002</v>
      </c>
    </row>
    <row r="49" spans="1:18" s="37" customFormat="1" ht="18" customHeight="1">
      <c r="A49" s="73">
        <v>46</v>
      </c>
      <c r="B49" s="36" t="s">
        <v>48</v>
      </c>
      <c r="C49" s="77">
        <v>541145.75747695798</v>
      </c>
      <c r="D49" s="77">
        <f t="shared" si="5"/>
        <v>133514.55575391249</v>
      </c>
      <c r="E49" s="77">
        <f t="shared" si="6"/>
        <v>132712.6718394215</v>
      </c>
      <c r="F49" s="77">
        <v>801.88391449099197</v>
      </c>
      <c r="G49" s="77">
        <v>668241.84776187805</v>
      </c>
      <c r="H49" s="77">
        <v>667382.23332891497</v>
      </c>
      <c r="I49" s="77">
        <v>358749.73949471</v>
      </c>
      <c r="J49" s="77">
        <v>43207.150155362004</v>
      </c>
      <c r="K49" s="77">
        <v>265425.343678843</v>
      </c>
      <c r="L49" s="78"/>
      <c r="M49" s="79">
        <v>20272.7470010297</v>
      </c>
      <c r="N49" s="79"/>
      <c r="O49" s="79">
        <v>782.02662653908703</v>
      </c>
      <c r="P49" s="79">
        <v>14.611022709979</v>
      </c>
      <c r="Q49" s="79">
        <v>3.3523411578503901</v>
      </c>
      <c r="R49" s="79">
        <v>1.8939240840757601</v>
      </c>
    </row>
    <row r="50" spans="1:18" s="37" customFormat="1" ht="18" customHeight="1">
      <c r="A50" s="73">
        <v>47</v>
      </c>
      <c r="B50" s="36" t="s">
        <v>49</v>
      </c>
      <c r="C50" s="77">
        <v>547153.07147772296</v>
      </c>
      <c r="D50" s="77">
        <f t="shared" si="5"/>
        <v>135978.19236864001</v>
      </c>
      <c r="E50" s="77">
        <f t="shared" si="6"/>
        <v>135289.63488964751</v>
      </c>
      <c r="F50" s="77">
        <v>688.55747899251196</v>
      </c>
      <c r="G50" s="77">
        <v>685011.46042052016</v>
      </c>
      <c r="H50" s="77">
        <v>684162.99635519297</v>
      </c>
      <c r="I50" s="77">
        <v>370541.3925746</v>
      </c>
      <c r="J50" s="77">
        <v>43042.334001297997</v>
      </c>
      <c r="K50" s="77">
        <v>270579.26977929502</v>
      </c>
      <c r="L50" s="78"/>
      <c r="M50" s="79">
        <v>20856.079126991001</v>
      </c>
      <c r="N50" s="79"/>
      <c r="O50" s="79">
        <v>671.44785589290996</v>
      </c>
      <c r="P50" s="79">
        <v>12.4996437232933</v>
      </c>
      <c r="Q50" s="79">
        <v>3.0558461088048099</v>
      </c>
      <c r="R50" s="79">
        <v>1.5541332675035899</v>
      </c>
    </row>
    <row r="51" spans="1:18" s="37" customFormat="1" ht="18" customHeight="1">
      <c r="A51" s="73">
        <v>48</v>
      </c>
      <c r="B51" s="36" t="s">
        <v>50</v>
      </c>
      <c r="C51" s="77">
        <v>553278.55852498906</v>
      </c>
      <c r="D51" s="77">
        <f t="shared" si="5"/>
        <v>138606.38382563679</v>
      </c>
      <c r="E51" s="77">
        <f t="shared" si="6"/>
        <v>138019.45459485101</v>
      </c>
      <c r="F51" s="77">
        <v>586.92923078579497</v>
      </c>
      <c r="G51" s="77">
        <v>702955.04007367801</v>
      </c>
      <c r="H51" s="77">
        <v>702117.87009610003</v>
      </c>
      <c r="I51" s="77">
        <v>383166.04689027002</v>
      </c>
      <c r="J51" s="77">
        <v>42912.914016128001</v>
      </c>
      <c r="K51" s="77">
        <v>276038.90918970201</v>
      </c>
      <c r="L51" s="78"/>
      <c r="M51" s="79">
        <v>21447.8091439784</v>
      </c>
      <c r="N51" s="79"/>
      <c r="O51" s="79">
        <v>572.24558684543899</v>
      </c>
      <c r="P51" s="79">
        <v>10.596225882772</v>
      </c>
      <c r="Q51" s="79">
        <v>2.8238954408704902</v>
      </c>
      <c r="R51" s="79">
        <v>1.26352261671413</v>
      </c>
    </row>
    <row r="52" spans="1:18" s="37" customFormat="1" ht="18" customHeight="1">
      <c r="A52" s="73">
        <v>49</v>
      </c>
      <c r="B52" s="36" t="s">
        <v>51</v>
      </c>
      <c r="C52" s="77">
        <v>559307.72624076798</v>
      </c>
      <c r="D52" s="77">
        <f t="shared" si="5"/>
        <v>141407.75982076483</v>
      </c>
      <c r="E52" s="77">
        <f t="shared" si="6"/>
        <v>140911.99277611199</v>
      </c>
      <c r="F52" s="77">
        <v>495.76704465282802</v>
      </c>
      <c r="G52" s="77">
        <v>721945.67069996498</v>
      </c>
      <c r="H52" s="77">
        <v>721120.27971097198</v>
      </c>
      <c r="I52" s="77">
        <v>396462.77878041001</v>
      </c>
      <c r="J52" s="77">
        <v>42833.515378338001</v>
      </c>
      <c r="K52" s="77">
        <v>281823.98555222398</v>
      </c>
      <c r="L52" s="78"/>
      <c r="M52" s="79">
        <v>22048.717527108001</v>
      </c>
      <c r="N52" s="79"/>
      <c r="O52" s="79">
        <v>483.23701128284301</v>
      </c>
      <c r="P52" s="79">
        <v>8.8874521618066602</v>
      </c>
      <c r="Q52" s="79">
        <v>2.6267921950436</v>
      </c>
      <c r="R52" s="79">
        <v>1.0157890131343199</v>
      </c>
    </row>
    <row r="53" spans="1:18" s="37" customFormat="1" ht="18" customHeight="1">
      <c r="A53" s="73">
        <v>50</v>
      </c>
      <c r="B53" s="36" t="s">
        <v>52</v>
      </c>
      <c r="C53" s="77">
        <v>565141.91380643996</v>
      </c>
      <c r="D53" s="77">
        <f t="shared" si="5"/>
        <v>144270.08386714774</v>
      </c>
      <c r="E53" s="77">
        <f t="shared" si="6"/>
        <v>143855.2527403055</v>
      </c>
      <c r="F53" s="77">
        <v>414.83112684225199</v>
      </c>
      <c r="G53" s="77">
        <v>741463.26876409003</v>
      </c>
      <c r="H53" s="77">
        <v>740650.21670096996</v>
      </c>
      <c r="I53" s="77">
        <v>410160.82193204999</v>
      </c>
      <c r="J53" s="77">
        <v>42778.889288309001</v>
      </c>
      <c r="K53" s="77">
        <v>287710.505480611</v>
      </c>
      <c r="L53" s="78"/>
      <c r="M53" s="79">
        <v>22653.101205950301</v>
      </c>
      <c r="N53" s="79"/>
      <c r="O53" s="79">
        <v>404.23647141599997</v>
      </c>
      <c r="P53" s="79">
        <v>7.3724074593831999</v>
      </c>
      <c r="Q53" s="79">
        <v>2.4151042251074202</v>
      </c>
      <c r="R53" s="79">
        <v>0.807143741761147</v>
      </c>
    </row>
    <row r="54" spans="1:18" s="37" customFormat="1" ht="18" customHeight="1">
      <c r="A54" s="73">
        <v>51</v>
      </c>
      <c r="B54" s="36" t="s">
        <v>53</v>
      </c>
      <c r="C54" s="77">
        <v>571028.14176408097</v>
      </c>
      <c r="D54" s="77">
        <f t="shared" si="5"/>
        <v>147009.10293281844</v>
      </c>
      <c r="E54" s="77">
        <f t="shared" si="6"/>
        <v>146665.37325677101</v>
      </c>
      <c r="F54" s="77">
        <v>343.72967604742098</v>
      </c>
      <c r="G54" s="77">
        <v>760597.8432116661</v>
      </c>
      <c r="H54" s="77">
        <v>759797.155092075</v>
      </c>
      <c r="I54" s="77">
        <v>423818.91093707999</v>
      </c>
      <c r="J54" s="77">
        <v>42647.497641452996</v>
      </c>
      <c r="K54" s="77">
        <v>293330.74651354202</v>
      </c>
      <c r="L54" s="78"/>
      <c r="M54" s="79">
        <v>23228.2536057283</v>
      </c>
      <c r="N54" s="79"/>
      <c r="O54" s="79">
        <v>334.85701083694801</v>
      </c>
      <c r="P54" s="79">
        <v>6.04642215915593</v>
      </c>
      <c r="Q54" s="79">
        <v>2.19205726002011</v>
      </c>
      <c r="R54" s="79">
        <v>0.634185791297463</v>
      </c>
    </row>
    <row r="55" spans="1:18" s="37" customFormat="1" ht="18" customHeight="1">
      <c r="A55" s="73">
        <v>52</v>
      </c>
      <c r="B55" s="36" t="s">
        <v>54</v>
      </c>
      <c r="C55" s="77">
        <v>577070.00608326402</v>
      </c>
      <c r="D55" s="77">
        <f t="shared" si="5"/>
        <v>149406.56375743521</v>
      </c>
      <c r="E55" s="77">
        <f t="shared" si="6"/>
        <v>149124.5636240005</v>
      </c>
      <c r="F55" s="77">
        <v>282.00013343472602</v>
      </c>
      <c r="G55" s="77">
        <v>778288.52484347974</v>
      </c>
      <c r="H55" s="77">
        <v>777500.09354869789</v>
      </c>
      <c r="I55" s="77">
        <v>436917.53062605998</v>
      </c>
      <c r="J55" s="77">
        <v>42333.435674637003</v>
      </c>
      <c r="K55" s="77">
        <v>298249.12724800099</v>
      </c>
      <c r="L55" s="78"/>
      <c r="M55" s="79">
        <v>23734.783957640699</v>
      </c>
      <c r="N55" s="79"/>
      <c r="O55" s="79">
        <v>274.55271606377897</v>
      </c>
      <c r="P55" s="79">
        <v>4.9014144777788404</v>
      </c>
      <c r="Q55" s="79">
        <v>2.0531787495776599</v>
      </c>
      <c r="R55" s="79">
        <v>0.49282414359023802</v>
      </c>
    </row>
  </sheetData>
  <phoneticPr fontId="1"/>
  <printOptions horizontalCentered="1"/>
  <pageMargins left="0.39370078740157483" right="0.17" top="0.38" bottom="0.39370078740157483" header="0.51181102362204722" footer="0.51181102362204722"/>
  <pageSetup paperSize="9" scale="33" orientation="landscape" r:id="rId1"/>
  <headerFooter alignWithMargins="0"/>
  <ignoredErrors>
    <ignoredError sqref="B33:B55 B5:B2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zoomScaleNormal="100" workbookViewId="0"/>
  </sheetViews>
  <sheetFormatPr defaultRowHeight="13.5"/>
  <cols>
    <col min="1" max="1" width="5.625" style="48" customWidth="1"/>
    <col min="2" max="2" width="8.25" style="48" customWidth="1"/>
    <col min="3" max="4" width="9" style="48"/>
    <col min="5" max="5" width="4.125" style="48" customWidth="1"/>
    <col min="6" max="7" width="9" style="48"/>
    <col min="8" max="11" width="10.25" style="48" bestFit="1" customWidth="1"/>
    <col min="12" max="12" width="10.375" style="48" bestFit="1" customWidth="1"/>
    <col min="13" max="14" width="4.125" style="48" customWidth="1"/>
    <col min="15" max="15" width="10.25" style="48" bestFit="1" customWidth="1"/>
    <col min="16" max="16" width="9" style="48"/>
    <col min="17" max="17" width="7" style="48" customWidth="1"/>
    <col min="18" max="18" width="2.125" style="48" customWidth="1"/>
    <col min="19" max="21" width="9" style="48"/>
    <col min="22" max="22" width="2.625" style="48" customWidth="1"/>
    <col min="23" max="25" width="9" style="48"/>
    <col min="26" max="26" width="2.375" style="48" customWidth="1"/>
    <col min="27" max="27" width="9" style="48"/>
    <col min="28" max="28" width="6.125" style="48" customWidth="1"/>
    <col min="29" max="16384" width="9" style="48"/>
  </cols>
  <sheetData>
    <row r="1" spans="1:29">
      <c r="C1" s="48" t="s">
        <v>186</v>
      </c>
      <c r="O1" s="24"/>
      <c r="P1" s="24"/>
      <c r="Q1" s="24"/>
      <c r="R1" s="24"/>
      <c r="S1" s="24"/>
      <c r="T1" s="24"/>
      <c r="U1" s="24"/>
      <c r="V1" s="24"/>
      <c r="W1" s="24" t="s">
        <v>161</v>
      </c>
      <c r="X1" s="24"/>
      <c r="Y1" s="24"/>
      <c r="Z1" s="24"/>
      <c r="AA1" s="24" t="s">
        <v>162</v>
      </c>
      <c r="AB1" s="24"/>
      <c r="AC1" s="24"/>
    </row>
    <row r="2" spans="1:29" ht="17.25">
      <c r="B2" s="48" t="s">
        <v>187</v>
      </c>
      <c r="C2" s="48" t="s">
        <v>187</v>
      </c>
      <c r="D2" s="48" t="s">
        <v>31</v>
      </c>
      <c r="F2" s="65"/>
      <c r="G2" s="65"/>
      <c r="O2" s="24" t="s">
        <v>159</v>
      </c>
      <c r="P2" s="24"/>
      <c r="Q2" s="24"/>
      <c r="R2" s="24"/>
      <c r="S2" s="24"/>
      <c r="T2" s="24"/>
      <c r="U2" s="24"/>
      <c r="V2" s="24"/>
      <c r="W2" s="24"/>
      <c r="X2" s="24" t="s">
        <v>160</v>
      </c>
      <c r="Y2" s="24" t="s">
        <v>156</v>
      </c>
      <c r="Z2" s="24"/>
      <c r="AA2" s="24" t="s">
        <v>158</v>
      </c>
      <c r="AB2" s="24"/>
      <c r="AC2" s="24"/>
    </row>
    <row r="3" spans="1:29">
      <c r="B3" s="48" t="s">
        <v>189</v>
      </c>
      <c r="C3" s="48" t="s">
        <v>188</v>
      </c>
      <c r="D3" s="48" t="s">
        <v>37</v>
      </c>
      <c r="G3" s="48" t="s">
        <v>79</v>
      </c>
      <c r="I3" s="48" t="s">
        <v>200</v>
      </c>
      <c r="K3" s="48" t="s">
        <v>201</v>
      </c>
      <c r="O3" s="24"/>
      <c r="P3" s="24" t="s">
        <v>157</v>
      </c>
      <c r="Q3" s="24"/>
      <c r="R3" s="24"/>
      <c r="S3" s="24" t="s">
        <v>150</v>
      </c>
      <c r="T3" s="24" t="s">
        <v>151</v>
      </c>
      <c r="U3" s="24" t="s">
        <v>152</v>
      </c>
      <c r="V3" s="24"/>
      <c r="W3" s="24"/>
      <c r="X3" s="24" t="s">
        <v>152</v>
      </c>
      <c r="Y3" s="24" t="s">
        <v>152</v>
      </c>
      <c r="Z3" s="24"/>
      <c r="AA3" s="24" t="s">
        <v>152</v>
      </c>
      <c r="AB3" s="24"/>
      <c r="AC3" s="24"/>
    </row>
    <row r="4" spans="1:29">
      <c r="C4" s="48" t="s">
        <v>77</v>
      </c>
      <c r="D4" s="48" t="s">
        <v>66</v>
      </c>
      <c r="G4" s="48" t="s">
        <v>78</v>
      </c>
      <c r="H4" s="48" t="s">
        <v>66</v>
      </c>
      <c r="I4" s="48" t="s">
        <v>78</v>
      </c>
      <c r="J4" s="48" t="s">
        <v>66</v>
      </c>
      <c r="K4" s="48" t="s">
        <v>78</v>
      </c>
      <c r="L4" s="48" t="s">
        <v>66</v>
      </c>
      <c r="O4" s="24" t="s">
        <v>149</v>
      </c>
      <c r="P4" s="24" t="s">
        <v>153</v>
      </c>
      <c r="Q4" s="66"/>
      <c r="R4" s="66"/>
      <c r="S4" s="66">
        <v>236</v>
      </c>
      <c r="T4" s="66">
        <v>234</v>
      </c>
      <c r="U4" s="66">
        <f>(3*S4+T4*7)/10</f>
        <v>234.6</v>
      </c>
      <c r="V4" s="66"/>
      <c r="W4" s="66"/>
      <c r="X4" s="66">
        <v>70</v>
      </c>
      <c r="Y4" s="66">
        <v>68</v>
      </c>
      <c r="Z4" s="66"/>
      <c r="AA4" s="66">
        <f>U4*(X4/Y4)</f>
        <v>241.49999999999997</v>
      </c>
      <c r="AB4" s="24"/>
      <c r="AC4" s="24"/>
    </row>
    <row r="5" spans="1:29">
      <c r="A5" s="48">
        <v>2012</v>
      </c>
      <c r="C5" s="52"/>
      <c r="D5" s="52"/>
      <c r="G5" s="57">
        <f>I5/K5-1</f>
        <v>0</v>
      </c>
      <c r="H5" s="57">
        <f>J5/L5-1</f>
        <v>0</v>
      </c>
      <c r="I5" s="49">
        <v>74125322</v>
      </c>
      <c r="J5" s="49">
        <v>30793233</v>
      </c>
      <c r="K5" s="49">
        <v>74125322</v>
      </c>
      <c r="L5" s="49">
        <v>30793233</v>
      </c>
      <c r="O5" s="24"/>
      <c r="P5" s="24" t="s">
        <v>154</v>
      </c>
      <c r="Q5" s="66"/>
      <c r="R5" s="66"/>
      <c r="S5" s="66">
        <f>6381-S4</f>
        <v>6145</v>
      </c>
      <c r="T5" s="66">
        <f>6169-T4</f>
        <v>5935</v>
      </c>
      <c r="U5" s="66">
        <f>(3*S5+T5*7)/10</f>
        <v>5998</v>
      </c>
      <c r="V5" s="66"/>
      <c r="W5" s="66"/>
      <c r="X5" s="66"/>
      <c r="Y5" s="66"/>
      <c r="Z5" s="66"/>
      <c r="AA5" s="66">
        <f>U5</f>
        <v>5998</v>
      </c>
      <c r="AB5" s="24"/>
      <c r="AC5" s="24"/>
    </row>
    <row r="6" spans="1:29">
      <c r="A6" s="48">
        <v>2013</v>
      </c>
      <c r="C6" s="52"/>
      <c r="D6" s="52"/>
      <c r="G6" s="57">
        <f t="shared" ref="G6:G33" si="0">I6/K6-1</f>
        <v>-1.2946098049881893E-4</v>
      </c>
      <c r="H6" s="57">
        <f t="shared" ref="H6:H33" si="1">J6/L6-1</f>
        <v>-2.2723987040351723E-3</v>
      </c>
      <c r="I6" s="49">
        <v>72962347</v>
      </c>
      <c r="J6" s="49">
        <v>31897972</v>
      </c>
      <c r="K6" s="49">
        <v>72971794</v>
      </c>
      <c r="L6" s="49">
        <v>31970622</v>
      </c>
      <c r="O6" s="24"/>
      <c r="P6" s="24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24"/>
      <c r="AC6" s="24"/>
    </row>
    <row r="7" spans="1:29">
      <c r="A7" s="48">
        <v>2014</v>
      </c>
      <c r="C7" s="52"/>
      <c r="D7" s="52"/>
      <c r="G7" s="57">
        <f t="shared" si="0"/>
        <v>2.676499246467845E-4</v>
      </c>
      <c r="H7" s="57">
        <f t="shared" si="1"/>
        <v>-2.4152594481275935E-3</v>
      </c>
      <c r="I7" s="49">
        <v>71844389</v>
      </c>
      <c r="J7" s="49">
        <v>32999780</v>
      </c>
      <c r="K7" s="49">
        <v>71825165</v>
      </c>
      <c r="L7" s="49">
        <v>33079676</v>
      </c>
      <c r="M7" s="49"/>
      <c r="N7" s="49"/>
      <c r="O7" s="24" t="s">
        <v>148</v>
      </c>
      <c r="P7" s="24" t="s">
        <v>155</v>
      </c>
      <c r="Q7" s="66"/>
      <c r="R7" s="66"/>
      <c r="S7" s="66">
        <f>229+221+248+295</f>
        <v>993</v>
      </c>
      <c r="T7" s="66">
        <f>213+207+209+230</f>
        <v>859</v>
      </c>
      <c r="U7" s="66">
        <f>(3*S7+T7*7)/10</f>
        <v>899.2</v>
      </c>
      <c r="V7" s="66"/>
      <c r="W7" s="66"/>
      <c r="X7" s="66">
        <v>88</v>
      </c>
      <c r="Y7" s="66">
        <v>84</v>
      </c>
      <c r="Z7" s="66"/>
      <c r="AA7" s="66">
        <f>U7*(X7/Y7)</f>
        <v>942.01904761904768</v>
      </c>
      <c r="AB7" s="24"/>
      <c r="AC7" s="24"/>
    </row>
    <row r="8" spans="1:29">
      <c r="A8" s="48">
        <v>2015</v>
      </c>
      <c r="C8" s="52"/>
      <c r="D8" s="52"/>
      <c r="G8" s="57">
        <f t="shared" si="0"/>
        <v>4.8229201920229059E-3</v>
      </c>
      <c r="H8" s="57">
        <f t="shared" si="1"/>
        <v>-2.4711746363307308E-3</v>
      </c>
      <c r="I8" s="49">
        <v>71227144</v>
      </c>
      <c r="J8" s="49">
        <v>33867969</v>
      </c>
      <c r="K8" s="49">
        <v>70885270</v>
      </c>
      <c r="L8" s="49">
        <v>33951870</v>
      </c>
      <c r="M8" s="49"/>
      <c r="N8" s="49"/>
      <c r="O8" s="24"/>
      <c r="P8" s="24" t="s">
        <v>153</v>
      </c>
      <c r="Q8" s="66"/>
      <c r="R8" s="66"/>
      <c r="S8" s="66">
        <v>128</v>
      </c>
      <c r="T8" s="66">
        <v>117</v>
      </c>
      <c r="U8" s="66">
        <f>(3*S8+T8*7)/10</f>
        <v>120.3</v>
      </c>
      <c r="V8" s="66"/>
      <c r="W8" s="66"/>
      <c r="X8" s="66">
        <v>51</v>
      </c>
      <c r="Y8" s="66">
        <v>41</v>
      </c>
      <c r="Z8" s="66"/>
      <c r="AA8" s="66">
        <f>U8*(X8/Y8)</f>
        <v>149.64146341463413</v>
      </c>
      <c r="AB8" s="24"/>
      <c r="AC8" s="24"/>
    </row>
    <row r="9" spans="1:29">
      <c r="A9" s="48">
        <v>2016</v>
      </c>
      <c r="C9" s="52"/>
      <c r="D9" s="52"/>
      <c r="G9" s="57">
        <f t="shared" si="0"/>
        <v>6.4673074132965969E-3</v>
      </c>
      <c r="H9" s="57">
        <f t="shared" si="1"/>
        <v>-1.432092562694276E-3</v>
      </c>
      <c r="I9" s="49">
        <v>70522039</v>
      </c>
      <c r="J9" s="49">
        <v>34590611</v>
      </c>
      <c r="K9" s="49">
        <v>70068882</v>
      </c>
      <c r="L9" s="49">
        <v>34640219</v>
      </c>
      <c r="M9" s="49"/>
      <c r="N9" s="49"/>
      <c r="O9" s="24"/>
      <c r="P9" s="24" t="s">
        <v>154</v>
      </c>
      <c r="Q9" s="66"/>
      <c r="R9" s="66"/>
      <c r="S9" s="66">
        <f>2611-S7-S8</f>
        <v>1490</v>
      </c>
      <c r="T9" s="66">
        <f>2394-T7-T8</f>
        <v>1418</v>
      </c>
      <c r="U9" s="66">
        <f>(3*S9+T9*7)/10</f>
        <v>1439.6</v>
      </c>
      <c r="V9" s="66"/>
      <c r="W9" s="66"/>
      <c r="X9" s="66"/>
      <c r="Y9" s="66"/>
      <c r="Z9" s="66"/>
      <c r="AA9" s="66">
        <f>U9</f>
        <v>1439.6</v>
      </c>
      <c r="AB9" s="24"/>
      <c r="AC9" s="67" t="s">
        <v>104</v>
      </c>
    </row>
    <row r="10" spans="1:29">
      <c r="A10" s="48">
        <v>2017</v>
      </c>
      <c r="C10" s="54"/>
      <c r="D10" s="54"/>
      <c r="G10" s="57">
        <f t="shared" si="0"/>
        <v>6.2281097460417101E-3</v>
      </c>
      <c r="H10" s="57">
        <f t="shared" si="1"/>
        <v>-5.4487328526930945E-4</v>
      </c>
      <c r="I10" s="49">
        <v>69812873</v>
      </c>
      <c r="J10" s="49">
        <v>35163322</v>
      </c>
      <c r="K10" s="49">
        <v>69380762</v>
      </c>
      <c r="L10" s="49">
        <v>35182492</v>
      </c>
      <c r="M10" s="49"/>
      <c r="N10" s="49"/>
      <c r="O10" s="24"/>
      <c r="P10" s="24"/>
      <c r="Q10" s="66"/>
      <c r="R10" s="66"/>
      <c r="S10" s="66"/>
      <c r="T10" s="66"/>
      <c r="U10" s="66">
        <f>SUM(U4:U9)</f>
        <v>8691.7000000000007</v>
      </c>
      <c r="V10" s="66"/>
      <c r="W10" s="66"/>
      <c r="X10" s="66"/>
      <c r="Y10" s="66"/>
      <c r="Z10" s="66"/>
      <c r="AA10" s="66">
        <f>SUM(AA4:AA9)</f>
        <v>8770.7605110336808</v>
      </c>
      <c r="AB10" s="24"/>
      <c r="AC10" s="132">
        <f>AA10/U10</f>
        <v>1.0090960929431159</v>
      </c>
    </row>
    <row r="11" spans="1:29">
      <c r="A11" s="48">
        <v>2018</v>
      </c>
      <c r="B11" s="152">
        <f>G11-$G$11</f>
        <v>0</v>
      </c>
      <c r="C11" s="152">
        <f>G11-$G$11</f>
        <v>0</v>
      </c>
      <c r="D11" s="152">
        <f>H11-$H$11</f>
        <v>0</v>
      </c>
      <c r="G11" s="57">
        <f t="shared" si="0"/>
        <v>6.9760022864446825E-3</v>
      </c>
      <c r="H11" s="57">
        <f t="shared" si="1"/>
        <v>3.0003596217564876E-4</v>
      </c>
      <c r="I11" s="49">
        <v>69281976</v>
      </c>
      <c r="J11" s="49">
        <v>35606413</v>
      </c>
      <c r="K11" s="49">
        <v>68802013</v>
      </c>
      <c r="L11" s="49">
        <v>35595733</v>
      </c>
      <c r="M11" s="49"/>
      <c r="N11" s="49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A12" s="48">
        <v>2019</v>
      </c>
      <c r="B12" s="152">
        <f>(1+(G12-$G$11))*$AC$10^((A12-$A$11)/9)-1</f>
        <v>1.8135234837908243E-3</v>
      </c>
      <c r="C12" s="152">
        <f t="shared" ref="C12:C33" si="2">G12-$G$11</f>
        <v>8.0609768470663035E-4</v>
      </c>
      <c r="D12" s="152">
        <f t="shared" ref="D12:D33" si="3">H12-$H$11</f>
        <v>7.8252730481009891E-4</v>
      </c>
      <c r="G12" s="57">
        <f t="shared" si="0"/>
        <v>7.7820999711513128E-3</v>
      </c>
      <c r="H12" s="57">
        <f t="shared" si="1"/>
        <v>1.0825632669857477E-3</v>
      </c>
      <c r="I12" s="49">
        <v>68843376</v>
      </c>
      <c r="J12" s="49">
        <v>35915726</v>
      </c>
      <c r="K12" s="49">
        <v>68311767</v>
      </c>
      <c r="L12" s="49">
        <v>35876887</v>
      </c>
      <c r="M12" s="49"/>
      <c r="N12" s="49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>
      <c r="A13" s="48">
        <v>2020</v>
      </c>
      <c r="B13" s="152">
        <f t="shared" ref="B13:B20" si="4">(1+(G13-$G$11))*$AC$10^((A13-$A$11)/9)-1</f>
        <v>3.6214059721479952E-3</v>
      </c>
      <c r="C13" s="152">
        <f t="shared" si="2"/>
        <v>1.6039332507784554E-3</v>
      </c>
      <c r="D13" s="152">
        <f t="shared" si="3"/>
        <v>1.587140703936285E-3</v>
      </c>
      <c r="G13" s="57">
        <f t="shared" si="0"/>
        <v>8.5799355372231378E-3</v>
      </c>
      <c r="H13" s="57">
        <f t="shared" si="1"/>
        <v>1.8871766661119338E-3</v>
      </c>
      <c r="I13" s="49">
        <v>68412444</v>
      </c>
      <c r="J13" s="49">
        <v>36191976</v>
      </c>
      <c r="K13" s="49">
        <v>67830463</v>
      </c>
      <c r="L13" s="49">
        <v>36123804</v>
      </c>
      <c r="M13" s="49"/>
      <c r="N13" s="49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29">
      <c r="A14" s="48">
        <v>2021</v>
      </c>
      <c r="B14" s="152">
        <f t="shared" si="4"/>
        <v>5.2085783286046627E-3</v>
      </c>
      <c r="C14" s="152">
        <f t="shared" si="2"/>
        <v>2.1791071942940388E-3</v>
      </c>
      <c r="D14" s="152">
        <f t="shared" si="3"/>
        <v>2.3631275470530344E-3</v>
      </c>
      <c r="G14" s="57">
        <f t="shared" si="0"/>
        <v>9.1551094807387212E-3</v>
      </c>
      <c r="H14" s="57">
        <f t="shared" si="1"/>
        <v>2.6631635092286832E-3</v>
      </c>
      <c r="I14" s="49">
        <v>68012383</v>
      </c>
      <c r="J14" s="49">
        <v>36386193</v>
      </c>
      <c r="K14" s="49">
        <v>67395371</v>
      </c>
      <c r="L14" s="49">
        <v>36289548</v>
      </c>
      <c r="M14" s="49"/>
      <c r="N14" s="49"/>
      <c r="O14" s="24"/>
      <c r="P14" s="24"/>
      <c r="Q14" s="133"/>
      <c r="R14" s="69"/>
      <c r="S14" s="24"/>
      <c r="T14" s="24"/>
      <c r="U14" s="68"/>
      <c r="V14" s="68"/>
      <c r="W14" s="24"/>
      <c r="X14" s="132"/>
      <c r="Y14" s="70"/>
      <c r="Z14" s="70"/>
      <c r="AA14" s="24"/>
      <c r="AB14" s="24"/>
      <c r="AC14" s="24"/>
    </row>
    <row r="15" spans="1:29">
      <c r="A15" s="48">
        <v>2022</v>
      </c>
      <c r="B15" s="152">
        <f t="shared" si="4"/>
        <v>6.8197970523411477E-3</v>
      </c>
      <c r="C15" s="152">
        <f t="shared" si="2"/>
        <v>2.7760612767400161E-3</v>
      </c>
      <c r="D15" s="152">
        <f t="shared" si="3"/>
        <v>3.0616354061037132E-3</v>
      </c>
      <c r="G15" s="57">
        <f t="shared" si="0"/>
        <v>9.7520635631846986E-3</v>
      </c>
      <c r="H15" s="57">
        <f t="shared" si="1"/>
        <v>3.361671368279362E-3</v>
      </c>
      <c r="I15" s="49">
        <v>67675416</v>
      </c>
      <c r="J15" s="49">
        <v>36478538</v>
      </c>
      <c r="K15" s="49">
        <v>67021815</v>
      </c>
      <c r="L15" s="49">
        <v>36356320</v>
      </c>
      <c r="M15" s="49"/>
      <c r="N15" s="49"/>
      <c r="O15" s="24"/>
      <c r="P15" s="24"/>
      <c r="Q15" s="133"/>
      <c r="R15" s="69"/>
      <c r="S15" s="24"/>
      <c r="T15" s="24"/>
      <c r="U15" s="68"/>
      <c r="V15" s="68"/>
      <c r="W15" s="24"/>
      <c r="X15" s="132"/>
      <c r="Y15" s="70"/>
      <c r="Z15" s="70"/>
      <c r="AA15" s="24"/>
      <c r="AB15" s="24"/>
      <c r="AC15" s="24"/>
    </row>
    <row r="16" spans="1:29">
      <c r="A16" s="48">
        <v>2023</v>
      </c>
      <c r="B16" s="152">
        <f t="shared" si="4"/>
        <v>8.3978569913354395E-3</v>
      </c>
      <c r="C16" s="152">
        <f t="shared" si="2"/>
        <v>3.3378089264042288E-3</v>
      </c>
      <c r="D16" s="152">
        <f t="shared" si="3"/>
        <v>3.7505556356893788E-3</v>
      </c>
      <c r="F16" s="48" t="s">
        <v>164</v>
      </c>
      <c r="G16" s="57">
        <f t="shared" si="0"/>
        <v>1.0313811212848911E-2</v>
      </c>
      <c r="H16" s="57">
        <f t="shared" si="1"/>
        <v>4.0505915978650275E-3</v>
      </c>
      <c r="I16" s="49">
        <v>67270362</v>
      </c>
      <c r="J16" s="49">
        <v>36583995</v>
      </c>
      <c r="K16" s="49">
        <v>66583631</v>
      </c>
      <c r="L16" s="49">
        <v>36436406</v>
      </c>
      <c r="M16" s="49"/>
      <c r="N16" s="49"/>
      <c r="O16" s="24"/>
      <c r="P16" s="24"/>
      <c r="Q16" s="133"/>
      <c r="R16" s="69"/>
      <c r="S16" s="24"/>
      <c r="T16" s="24"/>
      <c r="U16" s="68"/>
      <c r="V16" s="68"/>
      <c r="W16" s="24"/>
      <c r="X16" s="132"/>
      <c r="Y16" s="70"/>
      <c r="Z16" s="70"/>
      <c r="AA16" s="24"/>
      <c r="AB16" s="24"/>
      <c r="AC16" s="24"/>
    </row>
    <row r="17" spans="1:29">
      <c r="A17" s="48">
        <v>2024</v>
      </c>
      <c r="B17" s="152">
        <f t="shared" si="4"/>
        <v>9.9597286728336787E-3</v>
      </c>
      <c r="C17" s="152">
        <f t="shared" si="2"/>
        <v>3.8813219149071987E-3</v>
      </c>
      <c r="D17" s="152">
        <f t="shared" si="3"/>
        <v>4.4657103205956172E-3</v>
      </c>
      <c r="F17" s="48" t="s">
        <v>141</v>
      </c>
      <c r="G17" s="57">
        <f t="shared" si="0"/>
        <v>1.0857324201351881E-2</v>
      </c>
      <c r="H17" s="57">
        <f t="shared" si="1"/>
        <v>4.765746282771266E-3</v>
      </c>
      <c r="I17" s="49">
        <v>66811326</v>
      </c>
      <c r="J17" s="49">
        <v>36703521</v>
      </c>
      <c r="K17" s="49">
        <v>66093725</v>
      </c>
      <c r="L17" s="49">
        <v>36529431</v>
      </c>
      <c r="M17" s="49"/>
      <c r="N17" s="49"/>
      <c r="O17" s="24"/>
      <c r="P17" s="24"/>
      <c r="Q17" s="133"/>
      <c r="R17" s="69"/>
      <c r="S17" s="24"/>
      <c r="T17" s="24"/>
      <c r="U17" s="68"/>
      <c r="V17" s="68"/>
      <c r="W17" s="24"/>
      <c r="X17" s="132"/>
      <c r="Y17" s="70"/>
      <c r="Z17" s="70"/>
      <c r="AA17" s="24"/>
      <c r="AB17" s="24"/>
      <c r="AC17" s="24"/>
    </row>
    <row r="18" spans="1:29">
      <c r="A18" s="48">
        <v>2025</v>
      </c>
      <c r="B18" s="152">
        <f t="shared" si="4"/>
        <v>1.1618837432880502E-2</v>
      </c>
      <c r="C18" s="152">
        <f t="shared" si="2"/>
        <v>4.5192818441892602E-3</v>
      </c>
      <c r="D18" s="152">
        <f t="shared" si="3"/>
        <v>5.0963593720620981E-3</v>
      </c>
      <c r="F18" s="48" t="s">
        <v>80</v>
      </c>
      <c r="G18" s="57">
        <f t="shared" si="0"/>
        <v>1.1495284130633943E-2</v>
      </c>
      <c r="H18" s="57">
        <f t="shared" si="1"/>
        <v>5.3963953342377469E-3</v>
      </c>
      <c r="I18" s="49">
        <v>66347435</v>
      </c>
      <c r="J18" s="49">
        <v>36770853</v>
      </c>
      <c r="K18" s="49">
        <v>65593420</v>
      </c>
      <c r="L18" s="49">
        <v>36573488</v>
      </c>
      <c r="M18" s="49"/>
      <c r="N18" s="49"/>
      <c r="O18" s="24"/>
      <c r="P18" s="24"/>
      <c r="Q18" s="133"/>
      <c r="R18" s="69"/>
      <c r="S18" s="24"/>
      <c r="T18" s="24"/>
      <c r="U18" s="68"/>
      <c r="V18" s="68"/>
      <c r="W18" s="24"/>
      <c r="X18" s="132"/>
      <c r="Y18" s="70"/>
      <c r="Z18" s="70"/>
      <c r="AA18" s="24"/>
      <c r="AB18" s="24"/>
      <c r="AC18" s="24"/>
    </row>
    <row r="19" spans="1:29">
      <c r="A19" s="48">
        <v>2026</v>
      </c>
      <c r="B19" s="152">
        <f t="shared" si="4"/>
        <v>1.3199821017653823E-2</v>
      </c>
      <c r="C19" s="152">
        <f t="shared" si="2"/>
        <v>5.0774446650347915E-3</v>
      </c>
      <c r="D19" s="152">
        <f t="shared" si="3"/>
        <v>5.7466620227923926E-3</v>
      </c>
      <c r="G19" s="57">
        <f t="shared" si="0"/>
        <v>1.2053446951479474E-2</v>
      </c>
      <c r="H19" s="57">
        <f t="shared" si="1"/>
        <v>6.0466979849680413E-3</v>
      </c>
      <c r="I19" s="49">
        <v>65896485</v>
      </c>
      <c r="J19" s="49">
        <v>36805146</v>
      </c>
      <c r="K19" s="49">
        <v>65111665</v>
      </c>
      <c r="L19" s="49">
        <v>36583934</v>
      </c>
      <c r="M19" s="49"/>
      <c r="N19" s="49"/>
      <c r="O19" s="24"/>
      <c r="P19" s="24"/>
      <c r="Q19" s="133"/>
      <c r="R19" s="69"/>
      <c r="S19" s="24"/>
      <c r="T19" s="24"/>
      <c r="U19" s="68"/>
      <c r="V19" s="68"/>
      <c r="W19" s="24"/>
      <c r="X19" s="132"/>
      <c r="Y19" s="70"/>
      <c r="Z19" s="70"/>
      <c r="AA19" s="24"/>
      <c r="AB19" s="24"/>
      <c r="AC19" s="24"/>
    </row>
    <row r="20" spans="1:29">
      <c r="A20" s="48">
        <v>2027</v>
      </c>
      <c r="B20" s="152">
        <f t="shared" si="4"/>
        <v>1.4815535552111125E-2</v>
      </c>
      <c r="C20" s="152">
        <f t="shared" si="2"/>
        <v>5.6678869822139877E-3</v>
      </c>
      <c r="D20" s="152">
        <f t="shared" si="3"/>
        <v>6.3503831476268147E-3</v>
      </c>
      <c r="G20" s="57">
        <f t="shared" si="0"/>
        <v>1.264388926865867E-2</v>
      </c>
      <c r="H20" s="57">
        <f t="shared" si="1"/>
        <v>6.6504191098024634E-3</v>
      </c>
      <c r="I20" s="49">
        <v>65435116</v>
      </c>
      <c r="J20" s="49">
        <v>36840478</v>
      </c>
      <c r="K20" s="49">
        <v>64618092</v>
      </c>
      <c r="L20" s="49">
        <v>36597092</v>
      </c>
      <c r="M20" s="49"/>
      <c r="N20" s="49"/>
      <c r="O20" s="24"/>
      <c r="P20" s="24"/>
      <c r="Q20" s="133"/>
      <c r="R20" s="69"/>
      <c r="S20" s="24"/>
      <c r="T20" s="24"/>
      <c r="U20" s="68"/>
      <c r="V20" s="68"/>
      <c r="W20" s="24"/>
      <c r="X20" s="132"/>
      <c r="Y20" s="70"/>
      <c r="Z20" s="70"/>
      <c r="AA20" s="24"/>
      <c r="AB20" s="24"/>
      <c r="AC20" s="24"/>
    </row>
    <row r="21" spans="1:29">
      <c r="A21" s="48">
        <v>2028</v>
      </c>
      <c r="B21" s="152">
        <f>(1+(G21-$G$11))*$AC$10^(($A$20-$A$11)/9)-1</f>
        <v>1.5486639631341337E-2</v>
      </c>
      <c r="C21" s="152">
        <f t="shared" si="2"/>
        <v>6.3329416622621704E-3</v>
      </c>
      <c r="D21" s="152">
        <f t="shared" si="3"/>
        <v>6.9425177108246583E-3</v>
      </c>
      <c r="G21" s="57">
        <f t="shared" si="0"/>
        <v>1.3308943948706853E-2</v>
      </c>
      <c r="H21" s="57">
        <f t="shared" si="1"/>
        <v>7.2425536730003071E-3</v>
      </c>
      <c r="I21" s="49">
        <v>64935949</v>
      </c>
      <c r="J21" s="49">
        <v>36905344</v>
      </c>
      <c r="K21" s="49">
        <v>64083071</v>
      </c>
      <c r="L21" s="49">
        <v>36639977</v>
      </c>
      <c r="M21" s="49"/>
      <c r="N21" s="49"/>
      <c r="O21" s="24"/>
      <c r="P21" s="24"/>
      <c r="Q21" s="133"/>
      <c r="R21" s="69"/>
      <c r="S21" s="24"/>
      <c r="T21" s="24"/>
      <c r="U21" s="68"/>
      <c r="V21" s="68"/>
      <c r="W21" s="24"/>
      <c r="X21" s="132"/>
      <c r="Y21" s="70"/>
      <c r="Z21" s="70"/>
      <c r="AA21" s="24"/>
      <c r="AB21" s="24"/>
      <c r="AC21" s="24"/>
    </row>
    <row r="22" spans="1:29">
      <c r="A22" s="48">
        <v>2029</v>
      </c>
      <c r="B22" s="152">
        <f t="shared" ref="B22:B33" si="5">(1+(G22-$G$11))*$AC$10^(($A$20-$A$11)/9)-1</f>
        <v>1.6295728812298016E-2</v>
      </c>
      <c r="C22" s="152">
        <f t="shared" si="2"/>
        <v>7.1347376325516798E-3</v>
      </c>
      <c r="D22" s="152">
        <f t="shared" si="3"/>
        <v>7.5726667656756952E-3</v>
      </c>
      <c r="G22" s="57">
        <f t="shared" si="0"/>
        <v>1.4110739918996362E-2</v>
      </c>
      <c r="H22" s="57">
        <f t="shared" si="1"/>
        <v>7.872702727851344E-3</v>
      </c>
      <c r="I22" s="49">
        <v>64381372</v>
      </c>
      <c r="J22" s="49">
        <v>36989800</v>
      </c>
      <c r="K22" s="49">
        <v>63485544</v>
      </c>
      <c r="L22" s="49">
        <v>36700865</v>
      </c>
      <c r="M22" s="49"/>
      <c r="N22" s="49"/>
      <c r="O22" s="24"/>
      <c r="P22" s="24"/>
      <c r="Q22" s="133"/>
      <c r="R22" s="69"/>
      <c r="S22" s="24"/>
      <c r="T22" s="24"/>
      <c r="U22" s="68"/>
      <c r="V22" s="68"/>
      <c r="W22" s="24"/>
      <c r="X22" s="132"/>
      <c r="Y22" s="70"/>
      <c r="Z22" s="70"/>
      <c r="AA22" s="24"/>
      <c r="AB22" s="24"/>
      <c r="AC22" s="24"/>
    </row>
    <row r="23" spans="1:29">
      <c r="A23" s="48">
        <v>2030</v>
      </c>
      <c r="B23" s="152">
        <f t="shared" si="5"/>
        <v>1.7030538441946463E-2</v>
      </c>
      <c r="C23" s="152">
        <f t="shared" si="2"/>
        <v>7.8629236148255455E-3</v>
      </c>
      <c r="D23" s="152">
        <f t="shared" si="3"/>
        <v>8.1215176007209955E-3</v>
      </c>
      <c r="G23" s="57">
        <f t="shared" si="0"/>
        <v>1.4838925901270228E-2</v>
      </c>
      <c r="H23" s="57">
        <f t="shared" si="1"/>
        <v>8.4215535628966443E-3</v>
      </c>
      <c r="I23" s="49">
        <v>63716049</v>
      </c>
      <c r="J23" s="49">
        <v>37159586</v>
      </c>
      <c r="K23" s="49">
        <v>62784396</v>
      </c>
      <c r="L23" s="49">
        <v>36849258</v>
      </c>
      <c r="M23" s="49"/>
      <c r="N23" s="49"/>
      <c r="O23" s="24"/>
      <c r="P23" s="24"/>
      <c r="Q23" s="133"/>
      <c r="R23" s="69"/>
      <c r="S23" s="24"/>
      <c r="T23" s="24"/>
      <c r="U23" s="68"/>
      <c r="V23" s="68"/>
      <c r="W23" s="24"/>
      <c r="X23" s="132"/>
      <c r="Y23" s="70"/>
      <c r="Z23" s="70"/>
      <c r="AA23" s="24"/>
      <c r="AB23" s="24"/>
      <c r="AC23" s="24"/>
    </row>
    <row r="24" spans="1:29">
      <c r="A24" s="48">
        <v>2031</v>
      </c>
      <c r="B24" s="152">
        <f t="shared" si="5"/>
        <v>1.7513351244941244E-2</v>
      </c>
      <c r="C24" s="152">
        <f t="shared" si="2"/>
        <v>8.3413842950037509E-3</v>
      </c>
      <c r="D24" s="152">
        <f t="shared" si="3"/>
        <v>8.626315773309523E-3</v>
      </c>
      <c r="G24" s="57">
        <f t="shared" si="0"/>
        <v>1.5317386581448433E-2</v>
      </c>
      <c r="H24" s="57">
        <f t="shared" si="1"/>
        <v>8.9263517354851718E-3</v>
      </c>
      <c r="I24" s="49">
        <v>63363234</v>
      </c>
      <c r="J24" s="49">
        <v>36999893</v>
      </c>
      <c r="K24" s="49">
        <v>62407317</v>
      </c>
      <c r="L24" s="49">
        <v>36672541</v>
      </c>
      <c r="M24" s="49"/>
      <c r="N24" s="49"/>
      <c r="O24" s="24"/>
      <c r="P24" s="24"/>
      <c r="Q24" s="24"/>
      <c r="R24" s="24"/>
      <c r="S24" s="24"/>
      <c r="T24" s="24"/>
      <c r="U24" s="68"/>
      <c r="V24" s="68"/>
      <c r="W24" s="24"/>
      <c r="X24" s="132"/>
      <c r="Y24" s="70"/>
      <c r="Z24" s="70"/>
      <c r="AA24" s="24"/>
      <c r="AB24" s="24"/>
      <c r="AC24" s="24"/>
    </row>
    <row r="25" spans="1:29">
      <c r="A25" s="48">
        <v>2032</v>
      </c>
      <c r="B25" s="152">
        <f t="shared" si="5"/>
        <v>1.8102485807995228E-2</v>
      </c>
      <c r="C25" s="152">
        <f t="shared" si="2"/>
        <v>8.9252083402795446E-3</v>
      </c>
      <c r="D25" s="152">
        <f t="shared" si="3"/>
        <v>9.1925995243125058E-3</v>
      </c>
      <c r="G25" s="57">
        <f t="shared" si="0"/>
        <v>1.5901210626724227E-2</v>
      </c>
      <c r="H25" s="57">
        <f t="shared" si="1"/>
        <v>9.4926354864881546E-3</v>
      </c>
      <c r="I25" s="49">
        <v>62612572</v>
      </c>
      <c r="J25" s="49">
        <v>37197292</v>
      </c>
      <c r="K25" s="49">
        <v>61632540</v>
      </c>
      <c r="L25" s="49">
        <v>36847512</v>
      </c>
      <c r="M25" s="49"/>
      <c r="N25" s="49"/>
      <c r="O25" s="24"/>
      <c r="P25" s="24"/>
      <c r="Q25" s="24"/>
      <c r="R25" s="24"/>
      <c r="S25" s="24"/>
      <c r="T25" s="24"/>
      <c r="U25" s="68"/>
      <c r="V25" s="68"/>
      <c r="W25" s="24"/>
      <c r="X25" s="132"/>
      <c r="Y25" s="70"/>
      <c r="Z25" s="70"/>
      <c r="AA25" s="24"/>
      <c r="AB25" s="24"/>
      <c r="AC25" s="24"/>
    </row>
    <row r="26" spans="1:29">
      <c r="A26" s="48">
        <v>2033</v>
      </c>
      <c r="B26" s="152">
        <f t="shared" si="5"/>
        <v>1.8918482130629855E-2</v>
      </c>
      <c r="C26" s="152">
        <f t="shared" si="2"/>
        <v>9.7338491905822888E-3</v>
      </c>
      <c r="D26" s="152">
        <f t="shared" si="3"/>
        <v>9.6727306574810878E-3</v>
      </c>
      <c r="G26" s="57">
        <f t="shared" si="0"/>
        <v>1.6709851477026971E-2</v>
      </c>
      <c r="H26" s="57">
        <f t="shared" si="1"/>
        <v>9.9727666196567366E-3</v>
      </c>
      <c r="I26" s="49">
        <v>61856301</v>
      </c>
      <c r="J26" s="49">
        <v>37382526</v>
      </c>
      <c r="K26" s="49">
        <v>60839679</v>
      </c>
      <c r="L26" s="49">
        <v>37013400</v>
      </c>
      <c r="M26" s="49"/>
      <c r="N26" s="49"/>
      <c r="O26" s="24"/>
      <c r="P26" s="24"/>
      <c r="Q26" s="24"/>
      <c r="R26" s="24"/>
      <c r="S26" s="24"/>
      <c r="T26" s="24"/>
      <c r="U26" s="68"/>
      <c r="V26" s="68"/>
      <c r="W26" s="24"/>
      <c r="X26" s="132"/>
      <c r="Y26" s="70"/>
      <c r="Z26" s="70"/>
      <c r="AA26" s="24"/>
      <c r="AB26" s="24"/>
      <c r="AC26" s="24"/>
    </row>
    <row r="27" spans="1:29">
      <c r="A27" s="48">
        <v>2034</v>
      </c>
      <c r="B27" s="152">
        <f t="shared" si="5"/>
        <v>1.9490410216028708E-2</v>
      </c>
      <c r="C27" s="152">
        <f t="shared" si="2"/>
        <v>1.0300621859110404E-2</v>
      </c>
      <c r="D27" s="152">
        <f t="shared" si="3"/>
        <v>1.0157522365749294E-2</v>
      </c>
      <c r="G27" s="57">
        <f t="shared" si="0"/>
        <v>1.7276624145555086E-2</v>
      </c>
      <c r="H27" s="57">
        <f t="shared" si="1"/>
        <v>1.0457558327924943E-2</v>
      </c>
      <c r="I27" s="49">
        <v>61028622</v>
      </c>
      <c r="J27" s="49">
        <v>37592290</v>
      </c>
      <c r="K27" s="49">
        <v>59992160</v>
      </c>
      <c r="L27" s="49">
        <v>37203235</v>
      </c>
      <c r="M27" s="49"/>
      <c r="N27" s="49"/>
      <c r="O27" s="24"/>
      <c r="P27" s="24"/>
      <c r="Q27" s="24"/>
      <c r="R27" s="24"/>
      <c r="S27" s="24"/>
      <c r="T27" s="24"/>
      <c r="U27" s="68"/>
      <c r="V27" s="68"/>
      <c r="W27" s="24"/>
      <c r="X27" s="132"/>
      <c r="Y27" s="70"/>
      <c r="Z27" s="70"/>
      <c r="AA27" s="24"/>
      <c r="AB27" s="24"/>
      <c r="AC27" s="24"/>
    </row>
    <row r="28" spans="1:29">
      <c r="A28" s="48">
        <v>2035</v>
      </c>
      <c r="B28" s="152">
        <f t="shared" si="5"/>
        <v>2.0286194259762524E-2</v>
      </c>
      <c r="C28" s="152">
        <f t="shared" si="2"/>
        <v>1.108923262601258E-2</v>
      </c>
      <c r="D28" s="152">
        <f t="shared" si="3"/>
        <v>1.0645028302356918E-2</v>
      </c>
      <c r="G28" s="57">
        <f t="shared" si="0"/>
        <v>1.8065234912457262E-2</v>
      </c>
      <c r="H28" s="57">
        <f t="shared" si="1"/>
        <v>1.0945064264532567E-2</v>
      </c>
      <c r="I28" s="49">
        <v>60163858</v>
      </c>
      <c r="J28" s="49">
        <v>37816605</v>
      </c>
      <c r="K28" s="49">
        <v>59096270</v>
      </c>
      <c r="L28" s="49">
        <v>37407181</v>
      </c>
      <c r="M28" s="49"/>
      <c r="N28" s="49"/>
      <c r="O28" s="24"/>
      <c r="P28" s="24"/>
      <c r="Q28" s="24"/>
      <c r="R28" s="24"/>
      <c r="S28" s="24"/>
      <c r="T28" s="24"/>
      <c r="U28" s="68"/>
      <c r="V28" s="68"/>
      <c r="W28" s="24"/>
      <c r="X28" s="132"/>
      <c r="Y28" s="70"/>
      <c r="Z28" s="70"/>
      <c r="AA28" s="24"/>
      <c r="AB28" s="24"/>
      <c r="AC28" s="24"/>
    </row>
    <row r="29" spans="1:29">
      <c r="A29" s="48">
        <v>2036</v>
      </c>
      <c r="B29" s="152">
        <f t="shared" si="5"/>
        <v>2.2138157402004088E-2</v>
      </c>
      <c r="C29" s="152">
        <f t="shared" si="2"/>
        <v>1.2924501987565895E-2</v>
      </c>
      <c r="D29" s="152">
        <f t="shared" si="3"/>
        <v>1.1212049271859703E-2</v>
      </c>
      <c r="G29" s="57">
        <f t="shared" si="0"/>
        <v>1.9900504274010578E-2</v>
      </c>
      <c r="H29" s="57">
        <f t="shared" si="1"/>
        <v>1.1512085234035352E-2</v>
      </c>
      <c r="I29" s="49">
        <v>59284494</v>
      </c>
      <c r="J29" s="49">
        <v>38084220</v>
      </c>
      <c r="K29" s="49">
        <v>58127723</v>
      </c>
      <c r="L29" s="49">
        <v>37650781</v>
      </c>
      <c r="M29" s="49"/>
      <c r="N29" s="49"/>
      <c r="O29" s="24"/>
      <c r="P29" s="24"/>
      <c r="Q29" s="24"/>
      <c r="R29" s="24"/>
      <c r="S29" s="24"/>
      <c r="T29" s="24"/>
      <c r="U29" s="68"/>
      <c r="V29" s="68"/>
      <c r="W29" s="24"/>
      <c r="X29" s="132"/>
      <c r="Y29" s="70"/>
      <c r="Z29" s="70"/>
      <c r="AA29" s="24"/>
      <c r="AB29" s="24"/>
      <c r="AC29" s="24"/>
    </row>
    <row r="30" spans="1:29">
      <c r="A30" s="48">
        <v>2037</v>
      </c>
      <c r="B30" s="152">
        <f t="shared" si="5"/>
        <v>2.4015106330012914E-2</v>
      </c>
      <c r="C30" s="152">
        <f t="shared" si="2"/>
        <v>1.4784531910518428E-2</v>
      </c>
      <c r="D30" s="152">
        <f t="shared" si="3"/>
        <v>1.1823893508405625E-2</v>
      </c>
      <c r="G30" s="57">
        <f t="shared" si="0"/>
        <v>2.1760534196963111E-2</v>
      </c>
      <c r="H30" s="57">
        <f t="shared" si="1"/>
        <v>1.2123929470581274E-2</v>
      </c>
      <c r="I30" s="49">
        <v>58334098</v>
      </c>
      <c r="J30" s="49">
        <v>38391226</v>
      </c>
      <c r="K30" s="49">
        <v>57091751</v>
      </c>
      <c r="L30" s="49">
        <v>37931349</v>
      </c>
      <c r="M30" s="49"/>
      <c r="N30" s="49"/>
      <c r="O30" s="24"/>
      <c r="P30" s="24"/>
      <c r="Q30" s="24"/>
      <c r="R30" s="24"/>
      <c r="S30" s="24"/>
      <c r="T30" s="24"/>
      <c r="U30" s="68"/>
      <c r="V30" s="68"/>
      <c r="W30" s="24"/>
      <c r="X30" s="132"/>
      <c r="Y30" s="70"/>
      <c r="Z30" s="70"/>
      <c r="AA30" s="24"/>
      <c r="AB30" s="24"/>
      <c r="AC30" s="24"/>
    </row>
    <row r="31" spans="1:29">
      <c r="A31" s="48">
        <v>2038</v>
      </c>
      <c r="B31" s="152">
        <f t="shared" si="5"/>
        <v>2.5975066868475727E-2</v>
      </c>
      <c r="C31" s="152">
        <f t="shared" si="2"/>
        <v>1.6726825168979609E-2</v>
      </c>
      <c r="D31" s="152">
        <f t="shared" si="3"/>
        <v>1.2372409494085135E-2</v>
      </c>
      <c r="G31" s="57">
        <f t="shared" si="0"/>
        <v>2.3702827455424291E-2</v>
      </c>
      <c r="H31" s="57">
        <f t="shared" si="1"/>
        <v>1.2672445456260784E-2</v>
      </c>
      <c r="I31" s="49">
        <v>57328769</v>
      </c>
      <c r="J31" s="49">
        <v>38723850</v>
      </c>
      <c r="K31" s="49">
        <v>56001378</v>
      </c>
      <c r="L31" s="49">
        <v>38239265</v>
      </c>
      <c r="M31" s="49"/>
      <c r="N31" s="49"/>
      <c r="O31" s="24"/>
      <c r="P31" s="24"/>
      <c r="Q31" s="24"/>
      <c r="R31" s="24"/>
      <c r="S31" s="24"/>
      <c r="T31" s="24"/>
      <c r="U31" s="68"/>
      <c r="V31" s="68"/>
      <c r="W31" s="24"/>
      <c r="X31" s="132"/>
      <c r="Y31" s="70"/>
      <c r="Z31" s="70"/>
      <c r="AA31" s="24"/>
      <c r="AB31" s="24"/>
      <c r="AC31" s="24"/>
    </row>
    <row r="32" spans="1:29">
      <c r="A32" s="48">
        <v>2039</v>
      </c>
      <c r="B32" s="152">
        <f t="shared" si="5"/>
        <v>2.7946887259206354E-2</v>
      </c>
      <c r="C32" s="152">
        <f t="shared" si="2"/>
        <v>1.8680871373815799E-2</v>
      </c>
      <c r="D32" s="152">
        <f t="shared" si="3"/>
        <v>1.2905851317943862E-2</v>
      </c>
      <c r="G32" s="57">
        <f t="shared" si="0"/>
        <v>2.5656873660260482E-2</v>
      </c>
      <c r="H32" s="57">
        <f t="shared" si="1"/>
        <v>1.320588728011951E-2</v>
      </c>
      <c r="I32" s="49">
        <v>56336451</v>
      </c>
      <c r="J32" s="49">
        <v>39016432</v>
      </c>
      <c r="K32" s="49">
        <v>54927191</v>
      </c>
      <c r="L32" s="49">
        <v>38507901</v>
      </c>
      <c r="M32" s="49"/>
      <c r="N32" s="49"/>
      <c r="O32" s="24"/>
      <c r="P32" s="24"/>
      <c r="Q32" s="24"/>
      <c r="R32" s="24"/>
      <c r="S32" s="24"/>
      <c r="T32" s="24"/>
      <c r="U32" s="68"/>
      <c r="V32" s="68"/>
      <c r="W32" s="24"/>
      <c r="X32" s="132"/>
      <c r="Y32" s="70"/>
      <c r="Z32" s="70"/>
      <c r="AA32" s="24"/>
      <c r="AB32" s="24"/>
      <c r="AC32" s="24"/>
    </row>
    <row r="33" spans="1:29">
      <c r="A33" s="48">
        <v>2040</v>
      </c>
      <c r="B33" s="152">
        <f t="shared" si="5"/>
        <v>2.9998926070583298E-2</v>
      </c>
      <c r="C33" s="152">
        <f t="shared" si="2"/>
        <v>2.0714412902444801E-2</v>
      </c>
      <c r="D33" s="152">
        <f t="shared" si="3"/>
        <v>1.3341042228297129E-2</v>
      </c>
      <c r="G33" s="57">
        <f t="shared" si="0"/>
        <v>2.7690415188889483E-2</v>
      </c>
      <c r="H33" s="57">
        <f t="shared" si="1"/>
        <v>1.3641078190472777E-2</v>
      </c>
      <c r="I33" s="49">
        <v>55426050</v>
      </c>
      <c r="J33" s="49">
        <v>39205712</v>
      </c>
      <c r="K33" s="49">
        <v>53932633</v>
      </c>
      <c r="L33" s="49">
        <v>38678101</v>
      </c>
      <c r="M33" s="49"/>
      <c r="N33" s="49"/>
      <c r="O33" s="24"/>
      <c r="P33" s="24"/>
      <c r="Q33" s="24"/>
      <c r="R33" s="24"/>
      <c r="S33" s="24"/>
      <c r="T33" s="24"/>
      <c r="U33" s="68"/>
      <c r="V33" s="68"/>
      <c r="W33" s="24"/>
      <c r="X33" s="132"/>
      <c r="Y33" s="70"/>
      <c r="Z33" s="70"/>
      <c r="AA33" s="24"/>
      <c r="AB33" s="24"/>
      <c r="AC33" s="24"/>
    </row>
    <row r="34" spans="1:29">
      <c r="G34" s="52"/>
      <c r="H34" s="54"/>
      <c r="I34" s="54"/>
      <c r="J34" s="52"/>
      <c r="K34" s="52"/>
      <c r="L34" s="49"/>
      <c r="M34" s="49"/>
      <c r="N34" s="49"/>
      <c r="O34" s="24"/>
      <c r="P34" s="24"/>
      <c r="Q34" s="24"/>
      <c r="R34" s="24"/>
      <c r="S34" s="24"/>
      <c r="T34" s="24"/>
      <c r="U34" s="68"/>
      <c r="V34" s="68"/>
      <c r="W34" s="24"/>
      <c r="X34" s="132"/>
      <c r="Y34" s="70"/>
      <c r="Z34" s="70"/>
      <c r="AA34" s="24"/>
      <c r="AB34" s="24"/>
      <c r="AC34" s="24"/>
    </row>
    <row r="35" spans="1:29">
      <c r="G35" s="52"/>
      <c r="H35" s="54"/>
      <c r="I35" s="54"/>
      <c r="J35" s="52"/>
      <c r="K35" s="52"/>
      <c r="L35" s="49"/>
      <c r="M35" s="49"/>
      <c r="N35" s="49"/>
      <c r="O35" s="24"/>
      <c r="P35" s="24"/>
      <c r="Q35" s="24"/>
      <c r="R35" s="24"/>
      <c r="S35" s="24"/>
      <c r="T35" s="24"/>
      <c r="U35" s="68"/>
      <c r="V35" s="68"/>
      <c r="W35" s="24"/>
      <c r="X35" s="132"/>
      <c r="Y35" s="70"/>
      <c r="Z35" s="70"/>
      <c r="AA35" s="24"/>
      <c r="AB35" s="24"/>
      <c r="AC35" s="24"/>
    </row>
    <row r="36" spans="1:29">
      <c r="O36" s="24"/>
      <c r="P36" s="24"/>
      <c r="Q36" s="24"/>
      <c r="R36" s="24"/>
      <c r="S36" s="24"/>
      <c r="T36" s="24"/>
      <c r="U36" s="68"/>
      <c r="V36" s="68"/>
      <c r="W36" s="24"/>
      <c r="X36" s="132"/>
      <c r="Y36" s="70"/>
      <c r="Z36" s="70"/>
      <c r="AA36" s="24"/>
      <c r="AB36" s="24"/>
      <c r="AC36" s="24"/>
    </row>
  </sheetData>
  <phoneticPr fontId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5" width="9" style="48"/>
    <col min="6" max="6" width="1.75" style="48" customWidth="1"/>
    <col min="7" max="10" width="9" style="48"/>
    <col min="11" max="11" width="0.875" style="48" customWidth="1"/>
    <col min="12" max="15" width="9" style="48"/>
    <col min="16" max="16" width="2.75" style="48" customWidth="1"/>
    <col min="17" max="20" width="7.5" style="48" customWidth="1"/>
    <col min="21" max="21" width="9" style="48"/>
    <col min="22" max="22" width="3.375" style="48" customWidth="1"/>
    <col min="23" max="23" width="7.75" style="48" customWidth="1"/>
    <col min="24" max="16384" width="9" style="48"/>
  </cols>
  <sheetData>
    <row r="1" spans="1:23">
      <c r="A1" s="48" t="s">
        <v>9</v>
      </c>
      <c r="Q1" s="198"/>
      <c r="R1" s="198"/>
    </row>
    <row r="2" spans="1:23">
      <c r="B2" s="48" t="s">
        <v>69</v>
      </c>
      <c r="G2" s="48" t="s">
        <v>190</v>
      </c>
      <c r="L2" s="48" t="s">
        <v>2</v>
      </c>
      <c r="Q2" s="198" t="s">
        <v>73</v>
      </c>
      <c r="R2" s="198"/>
      <c r="S2" s="198"/>
      <c r="T2" s="198"/>
    </row>
    <row r="3" spans="1:23">
      <c r="B3" s="48" t="s">
        <v>65</v>
      </c>
      <c r="D3" s="48" t="s">
        <v>162</v>
      </c>
      <c r="F3" s="55"/>
      <c r="G3" s="48" t="s">
        <v>65</v>
      </c>
      <c r="I3" s="48" t="s">
        <v>162</v>
      </c>
      <c r="L3" s="48" t="s">
        <v>65</v>
      </c>
      <c r="N3" s="48" t="s">
        <v>162</v>
      </c>
      <c r="Q3" s="198" t="s">
        <v>74</v>
      </c>
      <c r="R3" s="198"/>
      <c r="S3" s="198" t="s">
        <v>162</v>
      </c>
      <c r="T3" s="198"/>
      <c r="U3" s="55" t="s">
        <v>104</v>
      </c>
      <c r="W3" s="48" t="s">
        <v>104</v>
      </c>
    </row>
    <row r="4" spans="1:23">
      <c r="B4" s="55" t="s">
        <v>85</v>
      </c>
      <c r="C4" s="55" t="s">
        <v>1</v>
      </c>
      <c r="D4" s="55" t="s">
        <v>85</v>
      </c>
      <c r="E4" s="55" t="s">
        <v>1</v>
      </c>
      <c r="F4" s="55"/>
      <c r="G4" s="55" t="s">
        <v>85</v>
      </c>
      <c r="H4" s="55" t="s">
        <v>1</v>
      </c>
      <c r="I4" s="55" t="s">
        <v>85</v>
      </c>
      <c r="J4" s="55" t="s">
        <v>1</v>
      </c>
      <c r="K4" s="55"/>
      <c r="L4" s="55" t="s">
        <v>85</v>
      </c>
      <c r="M4" s="55" t="s">
        <v>1</v>
      </c>
      <c r="N4" s="55" t="s">
        <v>85</v>
      </c>
      <c r="O4" s="55" t="s">
        <v>1</v>
      </c>
      <c r="Q4" s="55" t="s">
        <v>76</v>
      </c>
      <c r="R4" s="55" t="s">
        <v>1</v>
      </c>
      <c r="S4" s="55" t="s">
        <v>76</v>
      </c>
      <c r="T4" s="55" t="s">
        <v>1</v>
      </c>
      <c r="W4" s="48" t="s">
        <v>82</v>
      </c>
    </row>
    <row r="5" spans="1:23">
      <c r="A5" s="48">
        <v>2007</v>
      </c>
      <c r="B5" s="158">
        <f>経済前提!G5</f>
        <v>0</v>
      </c>
      <c r="C5" s="158">
        <f>経済前提!H5</f>
        <v>0</v>
      </c>
      <c r="D5" s="158">
        <f>経済前提!G46</f>
        <v>0</v>
      </c>
      <c r="E5" s="158">
        <f>経済前提!H46</f>
        <v>0</v>
      </c>
      <c r="F5" s="158"/>
      <c r="G5" s="158">
        <f>基礎年金拠出金の計算!K5</f>
        <v>1</v>
      </c>
      <c r="H5" s="158">
        <f>基礎年金拠出金の計算!L5</f>
        <v>1</v>
      </c>
      <c r="I5" s="158">
        <f>基礎年金拠出金の計算!M5</f>
        <v>1</v>
      </c>
      <c r="J5" s="158">
        <f>基礎年金拠出金の計算!N5</f>
        <v>1</v>
      </c>
      <c r="K5" s="158"/>
      <c r="L5" s="158">
        <v>1</v>
      </c>
      <c r="M5" s="158">
        <v>1</v>
      </c>
      <c r="N5" s="158">
        <v>1</v>
      </c>
      <c r="O5" s="158">
        <v>1</v>
      </c>
      <c r="P5" s="158"/>
      <c r="Q5" s="158"/>
      <c r="R5" s="158"/>
      <c r="S5" s="158"/>
      <c r="T5" s="158"/>
      <c r="U5" s="62"/>
      <c r="V5" s="62"/>
      <c r="W5" s="62"/>
    </row>
    <row r="6" spans="1:23">
      <c r="A6" s="48">
        <f>A5+1</f>
        <v>2008</v>
      </c>
      <c r="B6" s="158">
        <f>経済前提!G6</f>
        <v>0</v>
      </c>
      <c r="C6" s="158">
        <f>経済前提!H6</f>
        <v>0</v>
      </c>
      <c r="D6" s="158">
        <f>経済前提!G47</f>
        <v>0</v>
      </c>
      <c r="E6" s="158">
        <f>経済前提!H47</f>
        <v>0</v>
      </c>
      <c r="F6" s="158"/>
      <c r="G6" s="158">
        <f>基礎年金拠出金の計算!K6</f>
        <v>1</v>
      </c>
      <c r="H6" s="158">
        <f>基礎年金拠出金の計算!L6</f>
        <v>1</v>
      </c>
      <c r="I6" s="158">
        <f>基礎年金拠出金の計算!M6</f>
        <v>1</v>
      </c>
      <c r="J6" s="158">
        <f>基礎年金拠出金の計算!N6</f>
        <v>1</v>
      </c>
      <c r="K6" s="158"/>
      <c r="L6" s="158">
        <f>(G5*2+G6*10)/12</f>
        <v>1</v>
      </c>
      <c r="M6" s="158">
        <f>(H5*2+H6*10)/12</f>
        <v>1</v>
      </c>
      <c r="N6" s="158">
        <f>(I5*2+I6*10)/12</f>
        <v>1</v>
      </c>
      <c r="O6" s="158">
        <f t="shared" ref="O6:O38" si="0">(J5*2+J6*10)/12</f>
        <v>1</v>
      </c>
      <c r="P6" s="158"/>
      <c r="Q6" s="158"/>
      <c r="R6" s="158"/>
      <c r="S6" s="158"/>
      <c r="T6" s="158"/>
      <c r="U6" s="62"/>
      <c r="V6" s="62"/>
      <c r="W6" s="62"/>
    </row>
    <row r="7" spans="1:23">
      <c r="A7" s="48">
        <f t="shared" ref="A7:A38" si="1">A6+1</f>
        <v>2009</v>
      </c>
      <c r="B7" s="158">
        <f>経済前提!G7</f>
        <v>0</v>
      </c>
      <c r="C7" s="158">
        <f>経済前提!H7</f>
        <v>0</v>
      </c>
      <c r="D7" s="158">
        <f>経済前提!G48</f>
        <v>0</v>
      </c>
      <c r="E7" s="158">
        <f>経済前提!H48</f>
        <v>0</v>
      </c>
      <c r="F7" s="158"/>
      <c r="G7" s="158">
        <f>基礎年金拠出金の計算!K7</f>
        <v>1</v>
      </c>
      <c r="H7" s="158">
        <f>基礎年金拠出金の計算!L7</f>
        <v>1</v>
      </c>
      <c r="I7" s="158">
        <f>基礎年金拠出金の計算!M7</f>
        <v>1</v>
      </c>
      <c r="J7" s="158">
        <f>基礎年金拠出金の計算!N7</f>
        <v>1</v>
      </c>
      <c r="K7" s="158"/>
      <c r="L7" s="158">
        <f t="shared" ref="L7:N24" si="2">(G6*2+G7*10)/12</f>
        <v>1</v>
      </c>
      <c r="M7" s="158">
        <f t="shared" si="2"/>
        <v>1</v>
      </c>
      <c r="N7" s="158">
        <f t="shared" si="2"/>
        <v>1</v>
      </c>
      <c r="O7" s="158">
        <f t="shared" si="0"/>
        <v>1</v>
      </c>
      <c r="P7" s="158"/>
      <c r="Q7" s="158"/>
      <c r="R7" s="158"/>
      <c r="S7" s="158"/>
      <c r="T7" s="158"/>
      <c r="U7" s="62"/>
      <c r="V7" s="62"/>
      <c r="W7" s="62"/>
    </row>
    <row r="8" spans="1:23">
      <c r="A8" s="48">
        <f t="shared" si="1"/>
        <v>2010</v>
      </c>
      <c r="B8" s="158">
        <f>経済前提!G8</f>
        <v>0</v>
      </c>
      <c r="C8" s="158">
        <f>経済前提!H8</f>
        <v>0</v>
      </c>
      <c r="D8" s="158">
        <f>経済前提!G49</f>
        <v>0</v>
      </c>
      <c r="E8" s="158">
        <f>経済前提!H49</f>
        <v>0</v>
      </c>
      <c r="F8" s="158"/>
      <c r="G8" s="158">
        <f>基礎年金拠出金の計算!K8</f>
        <v>1</v>
      </c>
      <c r="H8" s="158">
        <f>基礎年金拠出金の計算!L8</f>
        <v>1</v>
      </c>
      <c r="I8" s="158">
        <f>基礎年金拠出金の計算!M8</f>
        <v>1</v>
      </c>
      <c r="J8" s="158">
        <f>基礎年金拠出金の計算!N8</f>
        <v>1</v>
      </c>
      <c r="K8" s="158"/>
      <c r="L8" s="158">
        <f t="shared" si="2"/>
        <v>1</v>
      </c>
      <c r="M8" s="158">
        <f t="shared" si="2"/>
        <v>1</v>
      </c>
      <c r="N8" s="158">
        <f t="shared" si="2"/>
        <v>1</v>
      </c>
      <c r="O8" s="158">
        <f t="shared" si="0"/>
        <v>1</v>
      </c>
      <c r="P8" s="158"/>
      <c r="Q8" s="158"/>
      <c r="R8" s="158"/>
      <c r="S8" s="158"/>
      <c r="T8" s="158"/>
      <c r="U8" s="62"/>
      <c r="V8" s="62"/>
      <c r="W8" s="62"/>
    </row>
    <row r="9" spans="1:23">
      <c r="A9" s="48">
        <f t="shared" si="1"/>
        <v>2011</v>
      </c>
      <c r="B9" s="158">
        <f>経済前提!G9</f>
        <v>0</v>
      </c>
      <c r="C9" s="158">
        <f>経済前提!H9</f>
        <v>0</v>
      </c>
      <c r="D9" s="158">
        <f>経済前提!G50</f>
        <v>0</v>
      </c>
      <c r="E9" s="158">
        <f>経済前提!H50</f>
        <v>0</v>
      </c>
      <c r="F9" s="158"/>
      <c r="G9" s="158">
        <f>基礎年金拠出金の計算!K9</f>
        <v>1</v>
      </c>
      <c r="H9" s="158">
        <f>基礎年金拠出金の計算!L9</f>
        <v>1</v>
      </c>
      <c r="I9" s="158">
        <f>基礎年金拠出金の計算!M9</f>
        <v>1</v>
      </c>
      <c r="J9" s="158">
        <f>基礎年金拠出金の計算!N9</f>
        <v>1</v>
      </c>
      <c r="K9" s="158"/>
      <c r="L9" s="158">
        <f t="shared" si="2"/>
        <v>1</v>
      </c>
      <c r="M9" s="158">
        <f t="shared" si="2"/>
        <v>1</v>
      </c>
      <c r="N9" s="158">
        <f t="shared" si="2"/>
        <v>1</v>
      </c>
      <c r="O9" s="158">
        <f t="shared" si="0"/>
        <v>1</v>
      </c>
      <c r="P9" s="158"/>
      <c r="Q9" s="158"/>
      <c r="R9" s="158"/>
      <c r="S9" s="158"/>
      <c r="T9" s="158"/>
      <c r="U9" s="62"/>
      <c r="V9" s="62"/>
      <c r="W9" s="62"/>
    </row>
    <row r="10" spans="1:23">
      <c r="A10" s="48">
        <f t="shared" si="1"/>
        <v>2012</v>
      </c>
      <c r="B10" s="158">
        <f>経済前提!G10</f>
        <v>0</v>
      </c>
      <c r="C10" s="158">
        <f>経済前提!H10</f>
        <v>0</v>
      </c>
      <c r="D10" s="158">
        <f>経済前提!G51</f>
        <v>0</v>
      </c>
      <c r="E10" s="158">
        <f>経済前提!H51</f>
        <v>0</v>
      </c>
      <c r="F10" s="158"/>
      <c r="G10" s="158">
        <f>基礎年金拠出金の計算!K10</f>
        <v>1</v>
      </c>
      <c r="H10" s="158">
        <f>基礎年金拠出金の計算!L10</f>
        <v>1</v>
      </c>
      <c r="I10" s="158">
        <f>基礎年金拠出金の計算!M10</f>
        <v>1</v>
      </c>
      <c r="J10" s="158">
        <f>基礎年金拠出金の計算!N10</f>
        <v>1</v>
      </c>
      <c r="K10" s="158"/>
      <c r="L10" s="158">
        <f t="shared" si="2"/>
        <v>1</v>
      </c>
      <c r="M10" s="158">
        <f t="shared" si="2"/>
        <v>1</v>
      </c>
      <c r="N10" s="158">
        <f t="shared" si="2"/>
        <v>1</v>
      </c>
      <c r="O10" s="158">
        <f t="shared" si="0"/>
        <v>1</v>
      </c>
      <c r="P10" s="158"/>
      <c r="Q10" s="194">
        <f t="shared" ref="Q10:Q38" si="3">L10/L9</f>
        <v>1</v>
      </c>
      <c r="R10" s="194">
        <f t="shared" ref="R10:R38" si="4">M10/M9</f>
        <v>1</v>
      </c>
      <c r="S10" s="194">
        <f t="shared" ref="S10:S38" si="5">N10/N9</f>
        <v>1</v>
      </c>
      <c r="T10" s="194">
        <f t="shared" ref="T10:T38" si="6">O10/O9</f>
        <v>1</v>
      </c>
      <c r="U10" s="62">
        <v>1.0171643473975978</v>
      </c>
      <c r="V10" s="158"/>
      <c r="W10" s="158"/>
    </row>
    <row r="11" spans="1:23">
      <c r="A11" s="48">
        <f t="shared" si="1"/>
        <v>2013</v>
      </c>
      <c r="B11" s="158">
        <f>経済前提!G11</f>
        <v>0</v>
      </c>
      <c r="C11" s="158">
        <f>経済前提!H11</f>
        <v>0</v>
      </c>
      <c r="D11" s="158">
        <f>経済前提!G52</f>
        <v>0</v>
      </c>
      <c r="E11" s="158">
        <f>経済前提!H52</f>
        <v>0</v>
      </c>
      <c r="F11" s="158"/>
      <c r="G11" s="158">
        <f>基礎年金拠出金の計算!K11</f>
        <v>1</v>
      </c>
      <c r="H11" s="158">
        <f>基礎年金拠出金の計算!L11</f>
        <v>1</v>
      </c>
      <c r="I11" s="158">
        <f>基礎年金拠出金の計算!M11</f>
        <v>1</v>
      </c>
      <c r="J11" s="158">
        <f>基礎年金拠出金の計算!N11</f>
        <v>1</v>
      </c>
      <c r="K11" s="158"/>
      <c r="L11" s="158">
        <f t="shared" si="2"/>
        <v>1</v>
      </c>
      <c r="M11" s="158">
        <f t="shared" si="2"/>
        <v>1</v>
      </c>
      <c r="N11" s="158">
        <f t="shared" si="2"/>
        <v>1</v>
      </c>
      <c r="O11" s="158">
        <f t="shared" si="0"/>
        <v>1</v>
      </c>
      <c r="P11" s="158"/>
      <c r="Q11" s="194">
        <f t="shared" si="3"/>
        <v>1</v>
      </c>
      <c r="R11" s="194">
        <f t="shared" si="4"/>
        <v>1</v>
      </c>
      <c r="S11" s="194">
        <f t="shared" si="5"/>
        <v>1</v>
      </c>
      <c r="T11" s="194">
        <f t="shared" si="6"/>
        <v>1</v>
      </c>
      <c r="U11" s="62">
        <v>1.0171643473975978</v>
      </c>
      <c r="V11" s="158"/>
      <c r="W11" s="159"/>
    </row>
    <row r="12" spans="1:23">
      <c r="A12" s="48">
        <f t="shared" si="1"/>
        <v>2014</v>
      </c>
      <c r="B12" s="158">
        <f>経済前提!G12</f>
        <v>0</v>
      </c>
      <c r="C12" s="158">
        <f>経済前提!H12</f>
        <v>0</v>
      </c>
      <c r="D12" s="158">
        <f>経済前提!G53</f>
        <v>0</v>
      </c>
      <c r="E12" s="158">
        <f>経済前提!H53</f>
        <v>0</v>
      </c>
      <c r="F12" s="158"/>
      <c r="G12" s="158">
        <f>基礎年金拠出金の計算!K12</f>
        <v>1</v>
      </c>
      <c r="H12" s="158">
        <f>基礎年金拠出金の計算!L12</f>
        <v>1</v>
      </c>
      <c r="I12" s="158">
        <f>基礎年金拠出金の計算!M12</f>
        <v>1</v>
      </c>
      <c r="J12" s="158">
        <f>基礎年金拠出金の計算!N12</f>
        <v>1</v>
      </c>
      <c r="K12" s="158"/>
      <c r="L12" s="158">
        <f t="shared" si="2"/>
        <v>1</v>
      </c>
      <c r="M12" s="158">
        <f t="shared" si="2"/>
        <v>1</v>
      </c>
      <c r="N12" s="158">
        <f t="shared" si="2"/>
        <v>1</v>
      </c>
      <c r="O12" s="158">
        <f t="shared" si="0"/>
        <v>1</v>
      </c>
      <c r="P12" s="158"/>
      <c r="Q12" s="194">
        <f t="shared" si="3"/>
        <v>1</v>
      </c>
      <c r="R12" s="194">
        <f t="shared" si="4"/>
        <v>1</v>
      </c>
      <c r="S12" s="194">
        <f t="shared" si="5"/>
        <v>1</v>
      </c>
      <c r="T12" s="194">
        <f t="shared" si="6"/>
        <v>1</v>
      </c>
      <c r="U12" s="62">
        <v>1.0171643473975978</v>
      </c>
      <c r="V12" s="158"/>
      <c r="W12" s="159"/>
    </row>
    <row r="13" spans="1:23">
      <c r="A13" s="48">
        <f t="shared" si="1"/>
        <v>2015</v>
      </c>
      <c r="B13" s="158">
        <f>経済前提!G13</f>
        <v>0</v>
      </c>
      <c r="C13" s="158">
        <f>経済前提!H13</f>
        <v>0</v>
      </c>
      <c r="D13" s="158">
        <f>経済前提!G54</f>
        <v>0</v>
      </c>
      <c r="E13" s="158">
        <f>経済前提!H54</f>
        <v>0</v>
      </c>
      <c r="F13" s="158"/>
      <c r="G13" s="158">
        <f>基礎年金拠出金の計算!K13</f>
        <v>1</v>
      </c>
      <c r="H13" s="158">
        <f>基礎年金拠出金の計算!L13</f>
        <v>1</v>
      </c>
      <c r="I13" s="158">
        <f>基礎年金拠出金の計算!M13</f>
        <v>1</v>
      </c>
      <c r="J13" s="158">
        <f>基礎年金拠出金の計算!N13</f>
        <v>1</v>
      </c>
      <c r="K13" s="158"/>
      <c r="L13" s="158">
        <f t="shared" si="2"/>
        <v>1</v>
      </c>
      <c r="M13" s="158">
        <f t="shared" si="2"/>
        <v>1</v>
      </c>
      <c r="N13" s="158">
        <f t="shared" si="2"/>
        <v>1</v>
      </c>
      <c r="O13" s="158">
        <f t="shared" si="0"/>
        <v>1</v>
      </c>
      <c r="P13" s="158"/>
      <c r="Q13" s="194">
        <f t="shared" si="3"/>
        <v>1</v>
      </c>
      <c r="R13" s="194">
        <f t="shared" si="4"/>
        <v>1</v>
      </c>
      <c r="S13" s="194">
        <f t="shared" si="5"/>
        <v>1</v>
      </c>
      <c r="T13" s="194">
        <f t="shared" si="6"/>
        <v>1</v>
      </c>
      <c r="U13" s="62">
        <v>1.0171643473975978</v>
      </c>
      <c r="V13" s="158"/>
      <c r="W13" s="159"/>
    </row>
    <row r="14" spans="1:23">
      <c r="A14" s="48">
        <f t="shared" si="1"/>
        <v>2016</v>
      </c>
      <c r="B14" s="158">
        <f>経済前提!G14</f>
        <v>1.7679492310491929</v>
      </c>
      <c r="C14" s="158">
        <f>経済前提!H14</f>
        <v>1.7679492310491929</v>
      </c>
      <c r="D14" s="158">
        <f>経済前提!G55</f>
        <v>0</v>
      </c>
      <c r="E14" s="158">
        <f>経済前提!H55</f>
        <v>0</v>
      </c>
      <c r="F14" s="158"/>
      <c r="G14" s="158">
        <f>基礎年金拠出金の計算!K14</f>
        <v>1.006534898732137</v>
      </c>
      <c r="H14" s="158">
        <f>基礎年金拠出金の計算!L14</f>
        <v>1.006534898732137</v>
      </c>
      <c r="I14" s="158">
        <f>基礎年金拠出金の計算!M14</f>
        <v>1</v>
      </c>
      <c r="J14" s="158">
        <f>基礎年金拠出金の計算!N14</f>
        <v>1</v>
      </c>
      <c r="K14" s="158"/>
      <c r="L14" s="158">
        <f t="shared" si="2"/>
        <v>1.0054457489434474</v>
      </c>
      <c r="M14" s="158">
        <f t="shared" si="2"/>
        <v>1.0054457489434474</v>
      </c>
      <c r="N14" s="158">
        <f t="shared" si="2"/>
        <v>1</v>
      </c>
      <c r="O14" s="158">
        <f t="shared" si="0"/>
        <v>1</v>
      </c>
      <c r="P14" s="158"/>
      <c r="Q14" s="194">
        <f t="shared" si="3"/>
        <v>1.0054457489434474</v>
      </c>
      <c r="R14" s="194">
        <f t="shared" si="4"/>
        <v>1.0054457489434474</v>
      </c>
      <c r="S14" s="194">
        <f t="shared" si="5"/>
        <v>1</v>
      </c>
      <c r="T14" s="194">
        <f t="shared" si="6"/>
        <v>1</v>
      </c>
      <c r="U14" s="62">
        <v>1.0116551275555785</v>
      </c>
      <c r="V14" s="158"/>
      <c r="W14" s="159"/>
    </row>
    <row r="15" spans="1:23">
      <c r="A15" s="48">
        <f t="shared" si="1"/>
        <v>2017</v>
      </c>
      <c r="B15" s="158">
        <f>経済前提!G15</f>
        <v>1.8001556646886741</v>
      </c>
      <c r="C15" s="158">
        <f>経済前提!H15</f>
        <v>1.8001556646886741</v>
      </c>
      <c r="D15" s="158">
        <f>経済前提!G56</f>
        <v>-0.1</v>
      </c>
      <c r="E15" s="158">
        <f>経済前提!H56</f>
        <v>-0.1</v>
      </c>
      <c r="F15" s="158"/>
      <c r="G15" s="158">
        <f>基礎年金拠出金の計算!K15</f>
        <v>1.013526102955097</v>
      </c>
      <c r="H15" s="158">
        <f>基礎年金拠出金の計算!L15</f>
        <v>1.013526102955097</v>
      </c>
      <c r="I15" s="158">
        <f>基礎年金拠出金の計算!M15</f>
        <v>0.999</v>
      </c>
      <c r="J15" s="158">
        <f>基礎年金拠出金の計算!N15</f>
        <v>0.999</v>
      </c>
      <c r="K15" s="158"/>
      <c r="L15" s="158">
        <f t="shared" si="2"/>
        <v>1.0123609022512705</v>
      </c>
      <c r="M15" s="158">
        <f t="shared" si="2"/>
        <v>1.0123609022512705</v>
      </c>
      <c r="N15" s="158">
        <f t="shared" si="2"/>
        <v>0.99916666666666665</v>
      </c>
      <c r="O15" s="158">
        <f t="shared" si="0"/>
        <v>0.99916666666666665</v>
      </c>
      <c r="P15" s="158"/>
      <c r="Q15" s="194">
        <f t="shared" si="3"/>
        <v>1.0068776990852961</v>
      </c>
      <c r="R15" s="194">
        <f t="shared" si="4"/>
        <v>1.0068776990852961</v>
      </c>
      <c r="S15" s="194">
        <f t="shared" si="5"/>
        <v>0.99916666666666665</v>
      </c>
      <c r="T15" s="194">
        <f t="shared" si="6"/>
        <v>0.99916666666666665</v>
      </c>
      <c r="U15" s="62">
        <v>1.003907507867368</v>
      </c>
      <c r="V15" s="158"/>
      <c r="W15" s="159"/>
    </row>
    <row r="16" spans="1:23">
      <c r="A16" s="48">
        <f t="shared" si="1"/>
        <v>2018</v>
      </c>
      <c r="B16" s="158">
        <f>経済前提!G16</f>
        <v>1.3121656105437474</v>
      </c>
      <c r="C16" s="158">
        <f>経済前提!H16</f>
        <v>1.3121656105437474</v>
      </c>
      <c r="D16" s="158">
        <f>経済前提!G57</f>
        <v>0</v>
      </c>
      <c r="E16" s="158">
        <f>経済前提!H57</f>
        <v>0</v>
      </c>
      <c r="F16" s="158"/>
      <c r="G16" s="158">
        <f>基礎年金拠出金の計算!K16</f>
        <v>1.0166713990692204</v>
      </c>
      <c r="H16" s="158">
        <f>基礎年金拠出金の計算!L16</f>
        <v>1.0166713990692204</v>
      </c>
      <c r="I16" s="158">
        <f>基礎年金拠出金の計算!M16</f>
        <v>0.999</v>
      </c>
      <c r="J16" s="158">
        <f>基礎年金拠出金の計算!N16</f>
        <v>0.999</v>
      </c>
      <c r="K16" s="158"/>
      <c r="L16" s="158">
        <f t="shared" si="2"/>
        <v>1.0161471830502</v>
      </c>
      <c r="M16" s="158">
        <f t="shared" si="2"/>
        <v>1.0161471830502</v>
      </c>
      <c r="N16" s="158">
        <f t="shared" si="2"/>
        <v>0.999</v>
      </c>
      <c r="O16" s="158">
        <f t="shared" si="0"/>
        <v>0.999</v>
      </c>
      <c r="P16" s="158"/>
      <c r="Q16" s="194">
        <f t="shared" si="3"/>
        <v>1.0037400504015017</v>
      </c>
      <c r="R16" s="194">
        <f t="shared" si="4"/>
        <v>1.0037400504015017</v>
      </c>
      <c r="S16" s="194">
        <f t="shared" si="5"/>
        <v>0.99983319432860718</v>
      </c>
      <c r="T16" s="194">
        <f t="shared" si="6"/>
        <v>0.99983319432860718</v>
      </c>
      <c r="U16" s="62">
        <v>1</v>
      </c>
      <c r="V16" s="158"/>
      <c r="W16" s="195">
        <f>U16</f>
        <v>1</v>
      </c>
    </row>
    <row r="17" spans="1:23">
      <c r="A17" s="48">
        <f t="shared" si="1"/>
        <v>2019</v>
      </c>
      <c r="B17" s="158">
        <f>経済前提!G17</f>
        <v>2.0934546533227127</v>
      </c>
      <c r="C17" s="158">
        <f>経済前提!H17</f>
        <v>2</v>
      </c>
      <c r="D17" s="158">
        <f>経済前提!G58</f>
        <v>0.64211797618338728</v>
      </c>
      <c r="E17" s="158">
        <f>経済前提!H58</f>
        <v>0.64211797618338728</v>
      </c>
      <c r="F17" s="158"/>
      <c r="G17" s="158">
        <f>基礎年金拠出金の計算!K17</f>
        <v>1.0290257545921799</v>
      </c>
      <c r="H17" s="158">
        <f>基礎年金拠出金の計算!L17</f>
        <v>1.0280756278607484</v>
      </c>
      <c r="I17" s="158">
        <f>基礎年金拠出金の計算!M17</f>
        <v>0.999</v>
      </c>
      <c r="J17" s="158">
        <f>基礎年金拠出金の計算!N17</f>
        <v>0.999</v>
      </c>
      <c r="K17" s="158"/>
      <c r="L17" s="158">
        <f t="shared" si="2"/>
        <v>1.0269666953383532</v>
      </c>
      <c r="M17" s="158">
        <f t="shared" si="2"/>
        <v>1.0261749230621604</v>
      </c>
      <c r="N17" s="158">
        <f t="shared" si="2"/>
        <v>0.999</v>
      </c>
      <c r="O17" s="158">
        <f t="shared" si="0"/>
        <v>0.999</v>
      </c>
      <c r="P17" s="158"/>
      <c r="Q17" s="194">
        <f t="shared" si="3"/>
        <v>1.0106475838034368</v>
      </c>
      <c r="R17" s="194">
        <f t="shared" si="4"/>
        <v>1.0098683932595864</v>
      </c>
      <c r="S17" s="194">
        <f t="shared" si="5"/>
        <v>1</v>
      </c>
      <c r="T17" s="194">
        <f t="shared" si="6"/>
        <v>1</v>
      </c>
      <c r="U17" s="62">
        <v>0.99005388999496857</v>
      </c>
      <c r="V17" s="158"/>
      <c r="W17" s="195">
        <f>U17*(1+人口等補正!D12)</f>
        <v>0.99082863419712308</v>
      </c>
    </row>
    <row r="18" spans="1:23">
      <c r="A18" s="48">
        <f t="shared" si="1"/>
        <v>2020</v>
      </c>
      <c r="B18" s="158">
        <f>経済前提!G18</f>
        <v>2.8920295314852629</v>
      </c>
      <c r="C18" s="158">
        <f>経済前提!H18</f>
        <v>2</v>
      </c>
      <c r="D18" s="158">
        <f>経済前提!G59</f>
        <v>2.0783262439918904</v>
      </c>
      <c r="E18" s="158">
        <f>経済前提!H59</f>
        <v>1.9</v>
      </c>
      <c r="F18" s="158"/>
      <c r="G18" s="158">
        <f>基礎年金拠出金の計算!K18</f>
        <v>1.0498850685836811</v>
      </c>
      <c r="H18" s="158">
        <f>基礎年金拠出金の計算!L18</f>
        <v>1.0397449436886927</v>
      </c>
      <c r="I18" s="158">
        <f>基礎年金拠出金の計算!M18</f>
        <v>1.0125283143486363</v>
      </c>
      <c r="J18" s="158">
        <f>基礎年金拠出金の計算!N18</f>
        <v>1.0107468351711573</v>
      </c>
      <c r="K18" s="158"/>
      <c r="L18" s="158">
        <f t="shared" si="2"/>
        <v>1.0464085162517642</v>
      </c>
      <c r="M18" s="158">
        <f t="shared" si="2"/>
        <v>1.0378000577173687</v>
      </c>
      <c r="N18" s="158">
        <f t="shared" si="2"/>
        <v>1.0102735952905302</v>
      </c>
      <c r="O18" s="158">
        <f t="shared" si="0"/>
        <v>1.0087890293092976</v>
      </c>
      <c r="P18" s="158"/>
      <c r="Q18" s="194">
        <f t="shared" si="3"/>
        <v>1.0189313061481566</v>
      </c>
      <c r="R18" s="194">
        <f t="shared" si="4"/>
        <v>1.0113286091814817</v>
      </c>
      <c r="S18" s="194">
        <f t="shared" si="5"/>
        <v>1.0112848801707008</v>
      </c>
      <c r="T18" s="194">
        <f t="shared" si="6"/>
        <v>1.009798828137435</v>
      </c>
      <c r="U18" s="62">
        <v>0.98727685933421361</v>
      </c>
      <c r="V18" s="158"/>
      <c r="W18" s="195">
        <f>U18*(1+人口等補正!D13)</f>
        <v>0.98884380662371729</v>
      </c>
    </row>
    <row r="19" spans="1:23">
      <c r="A19" s="48">
        <f t="shared" si="1"/>
        <v>2021</v>
      </c>
      <c r="B19" s="158">
        <f>経済前提!G19</f>
        <v>3.6256026313011835</v>
      </c>
      <c r="C19" s="158">
        <f>経済前提!H19</f>
        <v>2</v>
      </c>
      <c r="D19" s="158">
        <f>経済前提!G60</f>
        <v>2.836780153499241</v>
      </c>
      <c r="E19" s="158">
        <f>経済前提!H60</f>
        <v>2.2999999999999998</v>
      </c>
      <c r="F19" s="158"/>
      <c r="G19" s="158">
        <f t="shared" ref="G19:G38" si="7">G18*(1+B19/100)</f>
        <v>1.0879497292558893</v>
      </c>
      <c r="H19" s="158">
        <f t="shared" ref="H19:H38" si="8">H18*(1+C19/100)</f>
        <v>1.0605398425624666</v>
      </c>
      <c r="I19" s="158">
        <f t="shared" ref="I19:I38" si="9">I18*(1+D19/100)</f>
        <v>1.0412515166186389</v>
      </c>
      <c r="J19" s="158">
        <f t="shared" ref="J19:J38" si="10">J18*(1+E19/100)</f>
        <v>1.0339940123800937</v>
      </c>
      <c r="K19" s="158"/>
      <c r="L19" s="158">
        <f t="shared" si="2"/>
        <v>1.0816056191438548</v>
      </c>
      <c r="M19" s="158">
        <f t="shared" si="2"/>
        <v>1.0570740260835043</v>
      </c>
      <c r="N19" s="158">
        <f t="shared" si="2"/>
        <v>1.0364643162403051</v>
      </c>
      <c r="O19" s="158">
        <f t="shared" si="0"/>
        <v>1.0301194828452709</v>
      </c>
      <c r="P19" s="158"/>
      <c r="Q19" s="194">
        <f t="shared" si="3"/>
        <v>1.0336361013365665</v>
      </c>
      <c r="R19" s="194">
        <f t="shared" si="4"/>
        <v>1.0185719476722024</v>
      </c>
      <c r="S19" s="194">
        <f t="shared" si="5"/>
        <v>1.0259243843171444</v>
      </c>
      <c r="T19" s="194">
        <f t="shared" si="6"/>
        <v>1.0211446129133441</v>
      </c>
      <c r="U19" s="62">
        <v>0.98752355797626357</v>
      </c>
      <c r="V19" s="158"/>
      <c r="W19" s="195">
        <f>U19*(1+人口等補正!D14)</f>
        <v>0.98985720209948114</v>
      </c>
    </row>
    <row r="20" spans="1:23">
      <c r="A20" s="48">
        <f t="shared" si="1"/>
        <v>2022</v>
      </c>
      <c r="B20" s="158">
        <f>経済前提!G20</f>
        <v>3.8199624449899217</v>
      </c>
      <c r="C20" s="158">
        <f>経済前提!H20</f>
        <v>2</v>
      </c>
      <c r="D20" s="158">
        <f>経済前提!G61</f>
        <v>2.9025781596521583</v>
      </c>
      <c r="E20" s="158">
        <f>経済前提!H61</f>
        <v>2.1</v>
      </c>
      <c r="F20" s="158"/>
      <c r="G20" s="158">
        <f t="shared" si="7"/>
        <v>1.1295090003338337</v>
      </c>
      <c r="H20" s="158">
        <f t="shared" si="8"/>
        <v>1.081750639413716</v>
      </c>
      <c r="I20" s="158">
        <f t="shared" si="9"/>
        <v>1.0714746557270585</v>
      </c>
      <c r="J20" s="158">
        <f t="shared" si="10"/>
        <v>1.0557078866400755</v>
      </c>
      <c r="K20" s="158"/>
      <c r="L20" s="158">
        <f t="shared" si="2"/>
        <v>1.1225824551541763</v>
      </c>
      <c r="M20" s="158">
        <f t="shared" si="2"/>
        <v>1.0782155066051744</v>
      </c>
      <c r="N20" s="158">
        <f t="shared" si="2"/>
        <v>1.0664374658756552</v>
      </c>
      <c r="O20" s="158">
        <f t="shared" si="0"/>
        <v>1.052088907596745</v>
      </c>
      <c r="P20" s="158"/>
      <c r="Q20" s="194">
        <f t="shared" si="3"/>
        <v>1.0378851915014613</v>
      </c>
      <c r="R20" s="194">
        <f t="shared" si="4"/>
        <v>1.02</v>
      </c>
      <c r="S20" s="194">
        <f t="shared" si="5"/>
        <v>1.028918650807078</v>
      </c>
      <c r="T20" s="194">
        <f t="shared" si="6"/>
        <v>1.0213270645952572</v>
      </c>
      <c r="U20" s="62">
        <v>0.98644415924270856</v>
      </c>
      <c r="V20" s="158"/>
      <c r="W20" s="195">
        <f>U20*(1+人口等補正!D15)</f>
        <v>0.98946429160679028</v>
      </c>
    </row>
    <row r="21" spans="1:23">
      <c r="A21" s="48">
        <f t="shared" si="1"/>
        <v>2023</v>
      </c>
      <c r="B21" s="158">
        <f>経済前提!G21</f>
        <v>3.869981706170722</v>
      </c>
      <c r="C21" s="158">
        <f>経済前提!H21</f>
        <v>2</v>
      </c>
      <c r="D21" s="158">
        <f>経済前提!G62</f>
        <v>2.9324107164884872</v>
      </c>
      <c r="E21" s="158">
        <f>経済前提!H62</f>
        <v>2</v>
      </c>
      <c r="F21" s="158"/>
      <c r="G21" s="158">
        <f t="shared" si="7"/>
        <v>1.1732207920163049</v>
      </c>
      <c r="H21" s="158">
        <f t="shared" si="8"/>
        <v>1.1033856522019903</v>
      </c>
      <c r="I21" s="158">
        <f t="shared" si="9"/>
        <v>1.1028946933560568</v>
      </c>
      <c r="J21" s="158">
        <f t="shared" si="10"/>
        <v>1.0768220443728771</v>
      </c>
      <c r="K21" s="158"/>
      <c r="L21" s="158">
        <f t="shared" si="2"/>
        <v>1.1659354934025596</v>
      </c>
      <c r="M21" s="158">
        <f t="shared" si="2"/>
        <v>1.0997798167372779</v>
      </c>
      <c r="N21" s="158">
        <f t="shared" si="2"/>
        <v>1.0976580204178905</v>
      </c>
      <c r="O21" s="158">
        <f t="shared" si="0"/>
        <v>1.0733030180840768</v>
      </c>
      <c r="P21" s="158"/>
      <c r="Q21" s="194">
        <f t="shared" si="3"/>
        <v>1.0386190235285917</v>
      </c>
      <c r="R21" s="194">
        <f t="shared" si="4"/>
        <v>1.02</v>
      </c>
      <c r="S21" s="194">
        <f t="shared" si="5"/>
        <v>1.0292755604911161</v>
      </c>
      <c r="T21" s="194">
        <f t="shared" si="6"/>
        <v>1.0201638001638003</v>
      </c>
      <c r="U21" s="62">
        <v>0.98427798394711308</v>
      </c>
      <c r="V21" s="158"/>
      <c r="W21" s="195">
        <f>U21*(1+人口等補正!D16)</f>
        <v>0.98796957328689095</v>
      </c>
    </row>
    <row r="22" spans="1:23">
      <c r="A22" s="48">
        <f t="shared" si="1"/>
        <v>2024</v>
      </c>
      <c r="B22" s="158">
        <f>経済前提!G22</f>
        <v>3.9999192706473785</v>
      </c>
      <c r="C22" s="158">
        <f>経済前提!H22</f>
        <v>2</v>
      </c>
      <c r="D22" s="158">
        <f>経済前提!G63</f>
        <v>3.0985655974219872</v>
      </c>
      <c r="E22" s="158">
        <f>経済前提!H63</f>
        <v>2</v>
      </c>
      <c r="F22" s="158"/>
      <c r="G22" s="158">
        <f t="shared" si="7"/>
        <v>1.2201486765634069</v>
      </c>
      <c r="H22" s="158">
        <f t="shared" si="8"/>
        <v>1.1254533652460301</v>
      </c>
      <c r="I22" s="158">
        <f t="shared" si="9"/>
        <v>1.1370686089001802</v>
      </c>
      <c r="J22" s="158">
        <f t="shared" si="10"/>
        <v>1.0983584852603347</v>
      </c>
      <c r="K22" s="158"/>
      <c r="L22" s="158">
        <f t="shared" si="2"/>
        <v>1.2123273624722233</v>
      </c>
      <c r="M22" s="158">
        <f t="shared" si="2"/>
        <v>1.1217754130720234</v>
      </c>
      <c r="N22" s="158">
        <f t="shared" si="2"/>
        <v>1.131372956309493</v>
      </c>
      <c r="O22" s="158">
        <f t="shared" si="0"/>
        <v>1.0947690784457584</v>
      </c>
      <c r="P22" s="158"/>
      <c r="Q22" s="194">
        <f t="shared" si="3"/>
        <v>1.0397893960104756</v>
      </c>
      <c r="R22" s="194">
        <f t="shared" si="4"/>
        <v>1.02</v>
      </c>
      <c r="S22" s="194">
        <f t="shared" si="5"/>
        <v>1.03071533689406</v>
      </c>
      <c r="T22" s="194">
        <f t="shared" si="6"/>
        <v>1.02</v>
      </c>
      <c r="U22" s="62">
        <v>0.98152659251133334</v>
      </c>
      <c r="V22" s="158"/>
      <c r="W22" s="195">
        <f>U22*(1+人口等補正!D17)</f>
        <v>0.9859098059454503</v>
      </c>
    </row>
    <row r="23" spans="1:23">
      <c r="A23" s="48">
        <f t="shared" si="1"/>
        <v>2025</v>
      </c>
      <c r="B23" s="158">
        <f>経済前提!G23</f>
        <v>3.2404576210654401</v>
      </c>
      <c r="C23" s="158">
        <f>経済前提!H23</f>
        <v>1.2</v>
      </c>
      <c r="D23" s="158">
        <f>経済前提!G64</f>
        <v>3.2995433094022308</v>
      </c>
      <c r="E23" s="158">
        <f>経済前提!H64</f>
        <v>2</v>
      </c>
      <c r="F23" s="158"/>
      <c r="G23" s="158">
        <f t="shared" si="7"/>
        <v>1.2596870773414348</v>
      </c>
      <c r="H23" s="158">
        <f t="shared" si="8"/>
        <v>1.1389588056289826</v>
      </c>
      <c r="I23" s="158">
        <f t="shared" si="9"/>
        <v>1.1745866801084592</v>
      </c>
      <c r="J23" s="158">
        <f t="shared" si="10"/>
        <v>1.1203256549655414</v>
      </c>
      <c r="K23" s="158"/>
      <c r="L23" s="158">
        <f t="shared" si="2"/>
        <v>1.2530973438784303</v>
      </c>
      <c r="M23" s="158">
        <f t="shared" si="2"/>
        <v>1.1367078988984904</v>
      </c>
      <c r="N23" s="158">
        <f t="shared" si="2"/>
        <v>1.1683336682404126</v>
      </c>
      <c r="O23" s="158">
        <f t="shared" si="0"/>
        <v>1.1166644600146736</v>
      </c>
      <c r="P23" s="158"/>
      <c r="Q23" s="194">
        <f t="shared" si="3"/>
        <v>1.0336295151526296</v>
      </c>
      <c r="R23" s="194">
        <f t="shared" si="4"/>
        <v>1.013311475409836</v>
      </c>
      <c r="S23" s="194">
        <f t="shared" si="5"/>
        <v>1.0326689017311184</v>
      </c>
      <c r="T23" s="194">
        <f t="shared" si="6"/>
        <v>1.02</v>
      </c>
      <c r="U23" s="62">
        <v>0.98548620762754402</v>
      </c>
      <c r="V23" s="158"/>
      <c r="W23" s="195">
        <f>U23*(1+人口等補正!D18)</f>
        <v>0.99050859949782455</v>
      </c>
    </row>
    <row r="24" spans="1:23">
      <c r="A24" s="48">
        <f t="shared" si="1"/>
        <v>2026</v>
      </c>
      <c r="B24" s="158">
        <f>経済前提!G24</f>
        <v>3.051372927496887</v>
      </c>
      <c r="C24" s="158">
        <f>経済前提!H24</f>
        <v>1.2</v>
      </c>
      <c r="D24" s="158">
        <f>経済前提!G65</f>
        <v>3.4333225933477651</v>
      </c>
      <c r="E24" s="158">
        <f>経済前提!H65</f>
        <v>2</v>
      </c>
      <c r="F24" s="158"/>
      <c r="G24" s="158">
        <f t="shared" si="7"/>
        <v>1.2981248277906081</v>
      </c>
      <c r="H24" s="158">
        <f t="shared" si="8"/>
        <v>1.1526263112965303</v>
      </c>
      <c r="I24" s="158">
        <f t="shared" si="9"/>
        <v>1.2149140299750765</v>
      </c>
      <c r="J24" s="158">
        <f t="shared" si="10"/>
        <v>1.1427321680648521</v>
      </c>
      <c r="K24" s="158"/>
      <c r="L24" s="158">
        <f t="shared" si="2"/>
        <v>1.2917185360490793</v>
      </c>
      <c r="M24" s="158">
        <f t="shared" si="2"/>
        <v>1.1503483936852723</v>
      </c>
      <c r="N24" s="158">
        <f t="shared" si="2"/>
        <v>1.208192804997307</v>
      </c>
      <c r="O24" s="158">
        <f t="shared" si="0"/>
        <v>1.138997749214967</v>
      </c>
      <c r="P24" s="158"/>
      <c r="Q24" s="194">
        <f t="shared" si="3"/>
        <v>1.0308205841783316</v>
      </c>
      <c r="R24" s="194">
        <f t="shared" si="4"/>
        <v>1.012</v>
      </c>
      <c r="S24" s="194">
        <f t="shared" si="5"/>
        <v>1.0341162271022497</v>
      </c>
      <c r="T24" s="194">
        <f t="shared" si="6"/>
        <v>1.02</v>
      </c>
      <c r="U24" s="62">
        <v>0.99113048645832635</v>
      </c>
      <c r="V24" s="158"/>
      <c r="W24" s="195">
        <f>U24*(1+人口等補正!D19)</f>
        <v>0.99682617838448817</v>
      </c>
    </row>
    <row r="25" spans="1:23">
      <c r="A25" s="48">
        <f t="shared" si="1"/>
        <v>2027</v>
      </c>
      <c r="B25" s="158">
        <f>経済前提!G25</f>
        <v>2.7638041253013945</v>
      </c>
      <c r="C25" s="158">
        <f>経済前提!H25</f>
        <v>1.2</v>
      </c>
      <c r="D25" s="158">
        <f>経済前提!G66</f>
        <v>3.4666559255274842</v>
      </c>
      <c r="E25" s="158">
        <f>経済前提!H66</f>
        <v>2</v>
      </c>
      <c r="F25" s="158"/>
      <c r="G25" s="158">
        <f t="shared" si="7"/>
        <v>1.3340024553326466</v>
      </c>
      <c r="H25" s="158">
        <f t="shared" si="8"/>
        <v>1.1664578270320887</v>
      </c>
      <c r="I25" s="158">
        <f t="shared" si="9"/>
        <v>1.2570309191852722</v>
      </c>
      <c r="J25" s="158">
        <f t="shared" si="10"/>
        <v>1.1655868114261492</v>
      </c>
      <c r="K25" s="158"/>
      <c r="L25" s="158">
        <f t="shared" ref="L25:N38" si="11">(G24*2+G25*10)/12</f>
        <v>1.3280228507423069</v>
      </c>
      <c r="M25" s="158">
        <f t="shared" si="11"/>
        <v>1.1641525744094956</v>
      </c>
      <c r="N25" s="158">
        <f t="shared" si="11"/>
        <v>1.2500114376502396</v>
      </c>
      <c r="O25" s="158">
        <f t="shared" si="0"/>
        <v>1.1617777041992663</v>
      </c>
      <c r="P25" s="158"/>
      <c r="Q25" s="194">
        <f t="shared" si="3"/>
        <v>1.0281054375857066</v>
      </c>
      <c r="R25" s="194">
        <f t="shared" si="4"/>
        <v>1.012</v>
      </c>
      <c r="S25" s="194">
        <f t="shared" si="5"/>
        <v>1.0346125489904947</v>
      </c>
      <c r="T25" s="194">
        <f t="shared" si="6"/>
        <v>1.02</v>
      </c>
      <c r="U25" s="62">
        <v>0.99671496072350019</v>
      </c>
      <c r="V25" s="158"/>
      <c r="W25" s="195">
        <f>U25*(1+人口等補正!D20)</f>
        <v>1.0030444826130662</v>
      </c>
    </row>
    <row r="26" spans="1:23">
      <c r="A26" s="48">
        <f t="shared" si="1"/>
        <v>2028</v>
      </c>
      <c r="B26" s="158">
        <f>経済前提!G26</f>
        <v>2.4999999999999911</v>
      </c>
      <c r="C26" s="158">
        <f>経済前提!H26</f>
        <v>1.2</v>
      </c>
      <c r="D26" s="158">
        <f>経済前提!G67</f>
        <v>3.499999999999992</v>
      </c>
      <c r="E26" s="158">
        <f>経済前提!H67</f>
        <v>2</v>
      </c>
      <c r="F26" s="158"/>
      <c r="G26" s="158">
        <f t="shared" si="7"/>
        <v>1.3673525167159626</v>
      </c>
      <c r="H26" s="158">
        <f t="shared" si="8"/>
        <v>1.1804553209564737</v>
      </c>
      <c r="I26" s="158">
        <f t="shared" si="9"/>
        <v>1.3010270013567566</v>
      </c>
      <c r="J26" s="158">
        <f t="shared" si="10"/>
        <v>1.1888985476546721</v>
      </c>
      <c r="K26" s="158"/>
      <c r="L26" s="158">
        <f t="shared" si="11"/>
        <v>1.3617941731520766</v>
      </c>
      <c r="M26" s="158">
        <f t="shared" si="11"/>
        <v>1.1781224053024095</v>
      </c>
      <c r="N26" s="158">
        <f t="shared" si="11"/>
        <v>1.2936943209948426</v>
      </c>
      <c r="O26" s="158">
        <f t="shared" si="0"/>
        <v>1.1850132582832515</v>
      </c>
      <c r="P26" s="158"/>
      <c r="Q26" s="194">
        <f t="shared" si="3"/>
        <v>1.0254297750907622</v>
      </c>
      <c r="R26" s="194">
        <f t="shared" si="4"/>
        <v>1.012</v>
      </c>
      <c r="S26" s="194">
        <f t="shared" si="5"/>
        <v>1.0349459869157018</v>
      </c>
      <c r="T26" s="194">
        <f t="shared" si="6"/>
        <v>1.02</v>
      </c>
      <c r="U26" s="62">
        <v>1.0028192396067175</v>
      </c>
      <c r="V26" s="158"/>
      <c r="W26" s="195">
        <f>U26*(1+人口等補正!D21)</f>
        <v>1.0097813299384428</v>
      </c>
    </row>
    <row r="27" spans="1:23">
      <c r="A27" s="48">
        <f t="shared" si="1"/>
        <v>2029</v>
      </c>
      <c r="B27" s="158">
        <f>経済前提!G27</f>
        <v>2.4999999999999911</v>
      </c>
      <c r="C27" s="158">
        <f>経済前提!H27</f>
        <v>1.2</v>
      </c>
      <c r="D27" s="158">
        <f>経済前提!G68</f>
        <v>2.6882352941176357</v>
      </c>
      <c r="E27" s="158">
        <f>経済前提!H68</f>
        <v>1.2</v>
      </c>
      <c r="F27" s="158"/>
      <c r="G27" s="158">
        <f t="shared" si="7"/>
        <v>1.4015363296338614</v>
      </c>
      <c r="H27" s="158">
        <f t="shared" si="8"/>
        <v>1.1946207848079513</v>
      </c>
      <c r="I27" s="158">
        <f t="shared" si="9"/>
        <v>1.3360016683932292</v>
      </c>
      <c r="J27" s="158">
        <f t="shared" si="10"/>
        <v>1.2031653302265282</v>
      </c>
      <c r="K27" s="158"/>
      <c r="L27" s="158">
        <f t="shared" si="11"/>
        <v>1.3958390274808783</v>
      </c>
      <c r="M27" s="158">
        <f t="shared" si="11"/>
        <v>1.1922598741660384</v>
      </c>
      <c r="N27" s="158">
        <f t="shared" si="11"/>
        <v>1.3301725572204839</v>
      </c>
      <c r="O27" s="158">
        <f t="shared" si="0"/>
        <v>1.2007875331312188</v>
      </c>
      <c r="P27" s="158"/>
      <c r="Q27" s="194">
        <f t="shared" si="3"/>
        <v>1.0249999999999999</v>
      </c>
      <c r="R27" s="194">
        <f t="shared" si="4"/>
        <v>1.012</v>
      </c>
      <c r="S27" s="194">
        <f t="shared" si="5"/>
        <v>1.0281969516551559</v>
      </c>
      <c r="T27" s="194">
        <f t="shared" si="6"/>
        <v>1.013311475409836</v>
      </c>
      <c r="U27" s="62">
        <v>1.0022820652190221</v>
      </c>
      <c r="V27" s="158"/>
      <c r="W27" s="195">
        <f>U27*(1+人口等補正!D22)</f>
        <v>1.009872013304139</v>
      </c>
    </row>
    <row r="28" spans="1:23">
      <c r="A28" s="48">
        <f t="shared" si="1"/>
        <v>2030</v>
      </c>
      <c r="B28" s="158">
        <f>経済前提!G28</f>
        <v>2.4999999999999911</v>
      </c>
      <c r="C28" s="158">
        <f>経済前提!H28</f>
        <v>1.2</v>
      </c>
      <c r="D28" s="158">
        <f>経済前提!G69</f>
        <v>2.6254518181521469</v>
      </c>
      <c r="E28" s="158">
        <f>経済前提!H69</f>
        <v>1.2</v>
      </c>
      <c r="F28" s="158"/>
      <c r="G28" s="158">
        <f t="shared" si="7"/>
        <v>1.4365747378747078</v>
      </c>
      <c r="H28" s="158">
        <f t="shared" si="8"/>
        <v>1.2089562342256468</v>
      </c>
      <c r="I28" s="158">
        <f t="shared" si="9"/>
        <v>1.3710777484866024</v>
      </c>
      <c r="J28" s="158">
        <f t="shared" si="10"/>
        <v>1.2176033141892466</v>
      </c>
      <c r="K28" s="158"/>
      <c r="L28" s="158">
        <f t="shared" si="11"/>
        <v>1.4307350031679</v>
      </c>
      <c r="M28" s="158">
        <f t="shared" si="11"/>
        <v>1.206566992656031</v>
      </c>
      <c r="N28" s="158">
        <f t="shared" si="11"/>
        <v>1.3652317351377068</v>
      </c>
      <c r="O28" s="158">
        <f t="shared" si="0"/>
        <v>1.2151969835287935</v>
      </c>
      <c r="P28" s="158"/>
      <c r="Q28" s="194">
        <f t="shared" si="3"/>
        <v>1.0249999999999999</v>
      </c>
      <c r="R28" s="194">
        <f t="shared" si="4"/>
        <v>1.012</v>
      </c>
      <c r="S28" s="194">
        <f t="shared" si="5"/>
        <v>1.0263568645488239</v>
      </c>
      <c r="T28" s="194">
        <f t="shared" si="6"/>
        <v>1.012</v>
      </c>
      <c r="U28" s="62">
        <v>1.0005281319404333</v>
      </c>
      <c r="V28" s="158"/>
      <c r="W28" s="195">
        <f>U28*(1+人口等補正!D23)</f>
        <v>1.0086539387740041</v>
      </c>
    </row>
    <row r="29" spans="1:23">
      <c r="A29" s="48">
        <f t="shared" si="1"/>
        <v>2031</v>
      </c>
      <c r="B29" s="158">
        <f>経済前提!G29</f>
        <v>2.4999999999999911</v>
      </c>
      <c r="C29" s="158">
        <f>経済前提!H29</f>
        <v>1.2</v>
      </c>
      <c r="D29" s="158">
        <f>経済前提!G70</f>
        <v>2.5627067279359261</v>
      </c>
      <c r="E29" s="158">
        <f>経済前提!H70</f>
        <v>1.2</v>
      </c>
      <c r="F29" s="158"/>
      <c r="G29" s="158">
        <f t="shared" si="7"/>
        <v>1.4724891063215753</v>
      </c>
      <c r="H29" s="158">
        <f t="shared" si="8"/>
        <v>1.2234637090363545</v>
      </c>
      <c r="I29" s="158">
        <f t="shared" si="9"/>
        <v>1.4062144501923008</v>
      </c>
      <c r="J29" s="158">
        <f t="shared" si="10"/>
        <v>1.2322145539595175</v>
      </c>
      <c r="K29" s="158"/>
      <c r="L29" s="158">
        <f t="shared" si="11"/>
        <v>1.4665033782470973</v>
      </c>
      <c r="M29" s="158">
        <f t="shared" si="11"/>
        <v>1.2210457965679031</v>
      </c>
      <c r="N29" s="158">
        <f t="shared" si="11"/>
        <v>1.4003583332413509</v>
      </c>
      <c r="O29" s="158">
        <f t="shared" si="0"/>
        <v>1.2297793473311389</v>
      </c>
      <c r="P29" s="158"/>
      <c r="Q29" s="194">
        <f t="shared" si="3"/>
        <v>1.0249999999999999</v>
      </c>
      <c r="R29" s="194">
        <f t="shared" si="4"/>
        <v>1.0119999999999998</v>
      </c>
      <c r="S29" s="194">
        <f t="shared" si="5"/>
        <v>1.0257294034408753</v>
      </c>
      <c r="T29" s="194">
        <f t="shared" si="6"/>
        <v>1.012</v>
      </c>
      <c r="U29" s="62">
        <v>0.99885233608285728</v>
      </c>
      <c r="V29" s="158"/>
      <c r="W29" s="195">
        <f>U29*(1+人口等補正!D24)</f>
        <v>1.007468751744816</v>
      </c>
    </row>
    <row r="30" spans="1:23">
      <c r="A30" s="48">
        <f t="shared" si="1"/>
        <v>2032</v>
      </c>
      <c r="B30" s="158">
        <f>経済前提!G30</f>
        <v>2.4999999999999911</v>
      </c>
      <c r="C30" s="158">
        <f>経済前提!H30</f>
        <v>1.2</v>
      </c>
      <c r="D30" s="158">
        <f>経済前提!G71</f>
        <v>2.4999999999999911</v>
      </c>
      <c r="E30" s="158">
        <f>経済前提!H71</f>
        <v>1.2</v>
      </c>
      <c r="F30" s="158"/>
      <c r="G30" s="158">
        <f t="shared" si="7"/>
        <v>1.5093013339796144</v>
      </c>
      <c r="H30" s="158">
        <f t="shared" si="8"/>
        <v>1.2381452735447906</v>
      </c>
      <c r="I30" s="158">
        <f t="shared" si="9"/>
        <v>1.4413698114471083</v>
      </c>
      <c r="J30" s="158">
        <f t="shared" si="10"/>
        <v>1.2470011286070317</v>
      </c>
      <c r="K30" s="158"/>
      <c r="L30" s="158">
        <f t="shared" si="11"/>
        <v>1.5031659627032745</v>
      </c>
      <c r="M30" s="158">
        <f t="shared" si="11"/>
        <v>1.2356983461267179</v>
      </c>
      <c r="N30" s="158">
        <f t="shared" si="11"/>
        <v>1.435510584571307</v>
      </c>
      <c r="O30" s="158">
        <f t="shared" si="0"/>
        <v>1.2445366994991127</v>
      </c>
      <c r="P30" s="158"/>
      <c r="Q30" s="194">
        <f t="shared" si="3"/>
        <v>1.0249999999999999</v>
      </c>
      <c r="R30" s="194">
        <f t="shared" si="4"/>
        <v>1.012</v>
      </c>
      <c r="S30" s="194">
        <f t="shared" si="5"/>
        <v>1.0251023259515231</v>
      </c>
      <c r="T30" s="194">
        <f t="shared" si="6"/>
        <v>1.012</v>
      </c>
      <c r="U30" s="62">
        <v>0.99698475376831042</v>
      </c>
      <c r="V30" s="158"/>
      <c r="W30" s="195">
        <f>U30*(1+人口等補正!D25)</f>
        <v>1.0061496353415478</v>
      </c>
    </row>
    <row r="31" spans="1:23">
      <c r="A31" s="48">
        <f t="shared" si="1"/>
        <v>2033</v>
      </c>
      <c r="B31" s="158">
        <f>経済前提!G31</f>
        <v>2.4999999999999911</v>
      </c>
      <c r="C31" s="158">
        <f>経済前提!H31</f>
        <v>1.2</v>
      </c>
      <c r="D31" s="158">
        <f>経済前提!G72</f>
        <v>2.4999999999999911</v>
      </c>
      <c r="E31" s="158">
        <f>経済前提!H72</f>
        <v>1.2</v>
      </c>
      <c r="F31" s="158"/>
      <c r="G31" s="158">
        <f t="shared" si="7"/>
        <v>1.5470338673291046</v>
      </c>
      <c r="H31" s="158">
        <f t="shared" si="8"/>
        <v>1.2530030168273281</v>
      </c>
      <c r="I31" s="158">
        <f t="shared" si="9"/>
        <v>1.4774040567332858</v>
      </c>
      <c r="J31" s="158">
        <f t="shared" si="10"/>
        <v>1.2619651421503162</v>
      </c>
      <c r="K31" s="158"/>
      <c r="L31" s="158">
        <f>(G30*2+G31*10)/12</f>
        <v>1.5407451117708562</v>
      </c>
      <c r="M31" s="158">
        <f>(H30*2+H31*10)/12</f>
        <v>1.2505267262802386</v>
      </c>
      <c r="N31" s="158">
        <f>(I30*2+I31*10)/12</f>
        <v>1.4713983491855895</v>
      </c>
      <c r="O31" s="158">
        <f>(J30*2+J31*10)/12</f>
        <v>1.2594711398931022</v>
      </c>
      <c r="P31" s="158"/>
      <c r="Q31" s="194">
        <f t="shared" si="3"/>
        <v>1.0249999999999999</v>
      </c>
      <c r="R31" s="194">
        <f t="shared" si="4"/>
        <v>1.012</v>
      </c>
      <c r="S31" s="194">
        <f t="shared" si="5"/>
        <v>1.0249999999999999</v>
      </c>
      <c r="T31" s="194">
        <f t="shared" si="6"/>
        <v>1.012</v>
      </c>
      <c r="U31" s="62">
        <v>0.99504535511851244</v>
      </c>
      <c r="V31" s="158"/>
      <c r="W31" s="195">
        <f>U31*(1+人口等補正!D26)</f>
        <v>1.0046701608305515</v>
      </c>
    </row>
    <row r="32" spans="1:23">
      <c r="A32" s="48">
        <f t="shared" si="1"/>
        <v>2034</v>
      </c>
      <c r="B32" s="158">
        <f>経済前提!G32</f>
        <v>2.4999999999999911</v>
      </c>
      <c r="C32" s="158">
        <f>経済前提!H32</f>
        <v>1.2</v>
      </c>
      <c r="D32" s="158">
        <f>経済前提!G73</f>
        <v>2.4999999999999911</v>
      </c>
      <c r="E32" s="158">
        <f>経済前提!H73</f>
        <v>1.2</v>
      </c>
      <c r="F32" s="158"/>
      <c r="G32" s="158">
        <f t="shared" si="7"/>
        <v>1.5857097140123322</v>
      </c>
      <c r="H32" s="158">
        <f t="shared" si="8"/>
        <v>1.268039053029256</v>
      </c>
      <c r="I32" s="158">
        <f t="shared" si="9"/>
        <v>1.5143391581516179</v>
      </c>
      <c r="J32" s="158">
        <f t="shared" si="10"/>
        <v>1.2771087238561201</v>
      </c>
      <c r="K32" s="158"/>
      <c r="L32" s="158">
        <f t="shared" si="11"/>
        <v>1.5792637395651277</v>
      </c>
      <c r="M32" s="158">
        <f t="shared" si="11"/>
        <v>1.2655330469956014</v>
      </c>
      <c r="N32" s="158">
        <f t="shared" si="11"/>
        <v>1.5081833079152291</v>
      </c>
      <c r="O32" s="158">
        <f t="shared" si="0"/>
        <v>1.2745847935718195</v>
      </c>
      <c r="P32" s="158"/>
      <c r="Q32" s="194">
        <f t="shared" si="3"/>
        <v>1.0250000000000001</v>
      </c>
      <c r="R32" s="194">
        <f t="shared" si="4"/>
        <v>1.012</v>
      </c>
      <c r="S32" s="194">
        <f t="shared" si="5"/>
        <v>1.0249999999999999</v>
      </c>
      <c r="T32" s="194">
        <f t="shared" si="6"/>
        <v>1.012</v>
      </c>
      <c r="U32" s="62">
        <v>0.99315979270131094</v>
      </c>
      <c r="V32" s="158"/>
      <c r="W32" s="195">
        <f>U32*(1+人口等補正!D27)</f>
        <v>1.0032478355084375</v>
      </c>
    </row>
    <row r="33" spans="1:23">
      <c r="A33" s="48">
        <f t="shared" si="1"/>
        <v>2035</v>
      </c>
      <c r="B33" s="158">
        <f>経済前提!G33</f>
        <v>2.4999999999999911</v>
      </c>
      <c r="C33" s="158">
        <f>経済前提!H33</f>
        <v>1.2</v>
      </c>
      <c r="D33" s="158">
        <f>経済前提!G74</f>
        <v>2.4999999999999911</v>
      </c>
      <c r="E33" s="158">
        <f>経済前提!H74</f>
        <v>1.2</v>
      </c>
      <c r="F33" s="158"/>
      <c r="G33" s="158">
        <f t="shared" si="7"/>
        <v>1.6253524568626403</v>
      </c>
      <c r="H33" s="158">
        <f t="shared" si="8"/>
        <v>1.2832555216656072</v>
      </c>
      <c r="I33" s="158">
        <f t="shared" si="9"/>
        <v>1.5521976371054083</v>
      </c>
      <c r="J33" s="158">
        <f t="shared" si="10"/>
        <v>1.2924340285423934</v>
      </c>
      <c r="K33" s="158"/>
      <c r="L33" s="158">
        <f t="shared" si="11"/>
        <v>1.6187453330542556</v>
      </c>
      <c r="M33" s="158">
        <f t="shared" si="11"/>
        <v>1.2807194435595486</v>
      </c>
      <c r="N33" s="158">
        <f t="shared" si="11"/>
        <v>1.5458878906131099</v>
      </c>
      <c r="O33" s="158">
        <f t="shared" si="0"/>
        <v>1.2898798110946812</v>
      </c>
      <c r="P33" s="158"/>
      <c r="Q33" s="194">
        <f t="shared" si="3"/>
        <v>1.0249999999999999</v>
      </c>
      <c r="R33" s="194">
        <f t="shared" si="4"/>
        <v>1.012</v>
      </c>
      <c r="S33" s="194">
        <f t="shared" si="5"/>
        <v>1.0250000000000001</v>
      </c>
      <c r="T33" s="194">
        <f t="shared" si="6"/>
        <v>1.0119999999999998</v>
      </c>
      <c r="U33" s="62">
        <v>0.99143681613040546</v>
      </c>
      <c r="V33" s="158"/>
      <c r="W33" s="195">
        <f>U33*(1+人口等補正!D28)</f>
        <v>1.0019906890981123</v>
      </c>
    </row>
    <row r="34" spans="1:23">
      <c r="A34" s="48">
        <f t="shared" si="1"/>
        <v>2036</v>
      </c>
      <c r="B34" s="158">
        <f>経済前提!G34</f>
        <v>2.4999999999999911</v>
      </c>
      <c r="C34" s="158">
        <f>経済前提!H34</f>
        <v>1.2</v>
      </c>
      <c r="D34" s="158">
        <f>経済前提!G75</f>
        <v>2.4999999999999911</v>
      </c>
      <c r="E34" s="158">
        <f>経済前提!H75</f>
        <v>1.2</v>
      </c>
      <c r="F34" s="158"/>
      <c r="G34" s="158">
        <f t="shared" si="7"/>
        <v>1.6659862682842062</v>
      </c>
      <c r="H34" s="158">
        <f t="shared" si="8"/>
        <v>1.2986545879255944</v>
      </c>
      <c r="I34" s="158">
        <f t="shared" si="9"/>
        <v>1.5910025780330432</v>
      </c>
      <c r="J34" s="158">
        <f t="shared" si="10"/>
        <v>1.3079432368849022</v>
      </c>
      <c r="K34" s="158"/>
      <c r="L34" s="158">
        <f t="shared" si="11"/>
        <v>1.6592139663806116</v>
      </c>
      <c r="M34" s="158">
        <f t="shared" si="11"/>
        <v>1.2960880768822631</v>
      </c>
      <c r="N34" s="158">
        <f t="shared" si="11"/>
        <v>1.5845350878784374</v>
      </c>
      <c r="O34" s="158">
        <f t="shared" si="0"/>
        <v>1.3053583688278174</v>
      </c>
      <c r="P34" s="158"/>
      <c r="Q34" s="194">
        <f t="shared" si="3"/>
        <v>1.0249999999999997</v>
      </c>
      <c r="R34" s="194">
        <f t="shared" si="4"/>
        <v>1.012</v>
      </c>
      <c r="S34" s="194">
        <f t="shared" si="5"/>
        <v>1.0249999999999999</v>
      </c>
      <c r="T34" s="194">
        <f t="shared" si="6"/>
        <v>1.012</v>
      </c>
      <c r="U34" s="62">
        <v>0.98977025043220535</v>
      </c>
      <c r="V34" s="158"/>
      <c r="W34" s="195">
        <f>U34*(1+人口等補正!D29)</f>
        <v>1.0008676032478721</v>
      </c>
    </row>
    <row r="35" spans="1:23">
      <c r="A35" s="48">
        <f t="shared" si="1"/>
        <v>2037</v>
      </c>
      <c r="B35" s="158">
        <f>経済前提!G35</f>
        <v>2.4999999999999911</v>
      </c>
      <c r="C35" s="158">
        <f>経済前提!H35</f>
        <v>1.2</v>
      </c>
      <c r="D35" s="158">
        <f>経済前提!G76</f>
        <v>2.4999999999999911</v>
      </c>
      <c r="E35" s="158">
        <f>経済前提!H76</f>
        <v>1.2</v>
      </c>
      <c r="F35" s="158"/>
      <c r="G35" s="158">
        <f t="shared" si="7"/>
        <v>1.7076359249913111</v>
      </c>
      <c r="H35" s="158">
        <f t="shared" si="8"/>
        <v>1.3142384429807015</v>
      </c>
      <c r="I35" s="158">
        <f t="shared" si="9"/>
        <v>1.6307776424838691</v>
      </c>
      <c r="J35" s="158">
        <f t="shared" si="10"/>
        <v>1.323638555727521</v>
      </c>
      <c r="K35" s="158"/>
      <c r="L35" s="158">
        <f t="shared" si="11"/>
        <v>1.7006943155401268</v>
      </c>
      <c r="M35" s="158">
        <f t="shared" si="11"/>
        <v>1.3116411338048504</v>
      </c>
      <c r="N35" s="158">
        <f t="shared" si="11"/>
        <v>1.6241484650753983</v>
      </c>
      <c r="O35" s="158">
        <f t="shared" si="0"/>
        <v>1.3210226692537512</v>
      </c>
      <c r="P35" s="158"/>
      <c r="Q35" s="194">
        <f t="shared" si="3"/>
        <v>1.0249999999999999</v>
      </c>
      <c r="R35" s="194">
        <f t="shared" si="4"/>
        <v>1.012</v>
      </c>
      <c r="S35" s="194">
        <f t="shared" si="5"/>
        <v>1.0249999999999999</v>
      </c>
      <c r="T35" s="194">
        <f t="shared" si="6"/>
        <v>1.012</v>
      </c>
      <c r="U35" s="62">
        <v>0.98814814900213932</v>
      </c>
      <c r="V35" s="158"/>
      <c r="W35" s="195">
        <f>U35*(1+人口等補正!D30)</f>
        <v>0.99983190748646877</v>
      </c>
    </row>
    <row r="36" spans="1:23">
      <c r="A36" s="48">
        <f t="shared" si="1"/>
        <v>2038</v>
      </c>
      <c r="B36" s="158">
        <f>経済前提!G36</f>
        <v>2.4999999999999911</v>
      </c>
      <c r="C36" s="158">
        <f>経済前提!H36</f>
        <v>1.2</v>
      </c>
      <c r="D36" s="158">
        <f>経済前提!G77</f>
        <v>2.4999999999999911</v>
      </c>
      <c r="E36" s="158">
        <f>経済前提!H77</f>
        <v>1.2</v>
      </c>
      <c r="F36" s="158"/>
      <c r="G36" s="158">
        <f t="shared" si="7"/>
        <v>1.7503268231160938</v>
      </c>
      <c r="H36" s="158">
        <f t="shared" si="8"/>
        <v>1.3300093042964698</v>
      </c>
      <c r="I36" s="158">
        <f t="shared" si="9"/>
        <v>1.6715470835459658</v>
      </c>
      <c r="J36" s="158">
        <f t="shared" si="10"/>
        <v>1.3395222183962512</v>
      </c>
      <c r="K36" s="158"/>
      <c r="L36" s="158">
        <f t="shared" si="11"/>
        <v>1.74321167342863</v>
      </c>
      <c r="M36" s="158">
        <f t="shared" si="11"/>
        <v>1.3273808274105083</v>
      </c>
      <c r="N36" s="158">
        <f t="shared" si="11"/>
        <v>1.664752176702283</v>
      </c>
      <c r="O36" s="158">
        <f t="shared" si="0"/>
        <v>1.336874941284796</v>
      </c>
      <c r="P36" s="158"/>
      <c r="Q36" s="194">
        <f t="shared" si="3"/>
        <v>1.0249999999999999</v>
      </c>
      <c r="R36" s="194">
        <f t="shared" si="4"/>
        <v>1.0119999999999998</v>
      </c>
      <c r="S36" s="194">
        <f t="shared" si="5"/>
        <v>1.0249999999999999</v>
      </c>
      <c r="T36" s="194">
        <f t="shared" si="6"/>
        <v>1.0119999999999998</v>
      </c>
      <c r="U36" s="62">
        <v>0.98657810561529413</v>
      </c>
      <c r="V36" s="158"/>
      <c r="W36" s="195">
        <f>U36*(1+人口等補正!D31)</f>
        <v>0.99878445393586535</v>
      </c>
    </row>
    <row r="37" spans="1:23">
      <c r="A37" s="48">
        <f t="shared" si="1"/>
        <v>2039</v>
      </c>
      <c r="B37" s="158">
        <f>経済前提!G37</f>
        <v>2.4999999999999911</v>
      </c>
      <c r="C37" s="158">
        <f>経済前提!H37</f>
        <v>1.2</v>
      </c>
      <c r="D37" s="158">
        <f>経済前提!G78</f>
        <v>2.4999999999999911</v>
      </c>
      <c r="E37" s="158">
        <f>経済前提!H78</f>
        <v>1.2</v>
      </c>
      <c r="F37" s="158"/>
      <c r="G37" s="158">
        <f t="shared" si="7"/>
        <v>1.794084993693996</v>
      </c>
      <c r="H37" s="158">
        <f t="shared" si="8"/>
        <v>1.3459694159480275</v>
      </c>
      <c r="I37" s="158">
        <f t="shared" si="9"/>
        <v>1.7133357606346149</v>
      </c>
      <c r="J37" s="158">
        <f t="shared" si="10"/>
        <v>1.3555964850170061</v>
      </c>
      <c r="K37" s="158"/>
      <c r="L37" s="158">
        <f t="shared" si="11"/>
        <v>1.7867919652643456</v>
      </c>
      <c r="M37" s="158">
        <f t="shared" si="11"/>
        <v>1.3433093973394346</v>
      </c>
      <c r="N37" s="158">
        <f t="shared" si="11"/>
        <v>1.70637098111984</v>
      </c>
      <c r="O37" s="158">
        <f t="shared" si="0"/>
        <v>1.3529174405802138</v>
      </c>
      <c r="P37" s="158"/>
      <c r="Q37" s="194">
        <f t="shared" si="3"/>
        <v>1.0249999999999999</v>
      </c>
      <c r="R37" s="194">
        <f t="shared" si="4"/>
        <v>1.012</v>
      </c>
      <c r="S37" s="194">
        <f t="shared" si="5"/>
        <v>1.0249999999999999</v>
      </c>
      <c r="T37" s="194">
        <f t="shared" si="6"/>
        <v>1.0120000000000002</v>
      </c>
      <c r="U37" s="62">
        <v>0.98507877531861909</v>
      </c>
      <c r="V37" s="158"/>
      <c r="W37" s="195">
        <f>U37*(1+人口等補正!D32)</f>
        <v>0.99779205552934347</v>
      </c>
    </row>
    <row r="38" spans="1:23">
      <c r="A38" s="48">
        <f t="shared" si="1"/>
        <v>2040</v>
      </c>
      <c r="B38" s="158">
        <f>経済前提!G38</f>
        <v>2.4999999999999911</v>
      </c>
      <c r="C38" s="158">
        <f>経済前提!H38</f>
        <v>1.2</v>
      </c>
      <c r="D38" s="158">
        <f>経済前提!G79</f>
        <v>2.4999999999999911</v>
      </c>
      <c r="E38" s="158">
        <f>経済前提!H79</f>
        <v>1.2</v>
      </c>
      <c r="F38" s="158"/>
      <c r="G38" s="158">
        <f t="shared" si="7"/>
        <v>1.8389371185363457</v>
      </c>
      <c r="H38" s="158">
        <f t="shared" si="8"/>
        <v>1.362121048939404</v>
      </c>
      <c r="I38" s="158">
        <f t="shared" si="9"/>
        <v>1.7561691546504801</v>
      </c>
      <c r="J38" s="158">
        <f t="shared" si="10"/>
        <v>1.3718636428372102</v>
      </c>
      <c r="K38" s="158"/>
      <c r="L38" s="158">
        <f t="shared" si="11"/>
        <v>1.8314617643959543</v>
      </c>
      <c r="M38" s="158">
        <f t="shared" si="11"/>
        <v>1.3594291101075078</v>
      </c>
      <c r="N38" s="158">
        <f t="shared" si="11"/>
        <v>1.7490302556478359</v>
      </c>
      <c r="O38" s="158">
        <f t="shared" si="0"/>
        <v>1.3691524498671761</v>
      </c>
      <c r="P38" s="158"/>
      <c r="Q38" s="194">
        <f t="shared" si="3"/>
        <v>1.0250000000000001</v>
      </c>
      <c r="R38" s="194">
        <f t="shared" si="4"/>
        <v>1.012</v>
      </c>
      <c r="S38" s="194">
        <f t="shared" si="5"/>
        <v>1.0249999999999999</v>
      </c>
      <c r="T38" s="194">
        <f t="shared" si="6"/>
        <v>1.0119999999999998</v>
      </c>
      <c r="U38" s="62">
        <v>0.98366490803879814</v>
      </c>
      <c r="V38" s="158"/>
      <c r="W38" s="195">
        <f>U38*(1+人口等補正!D33)</f>
        <v>0.99678802311543779</v>
      </c>
    </row>
  </sheetData>
  <mergeCells count="4">
    <mergeCell ref="Q1:R1"/>
    <mergeCell ref="Q2:T2"/>
    <mergeCell ref="Q3:R3"/>
    <mergeCell ref="S3:T3"/>
  </mergeCells>
  <phoneticPr fontId="1"/>
  <pageMargins left="0.7" right="0.7" top="0.75" bottom="0.75" header="0.3" footer="0.3"/>
  <pageSetup paperSize="9" scale="99" orientation="landscape" horizontalDpi="300" verticalDpi="300" r:id="rId1"/>
  <rowBreaks count="1" manualBreakCount="1">
    <brk id="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1" width="9" style="48"/>
    <col min="2" max="2" width="1.875" style="48" customWidth="1"/>
    <col min="3" max="6" width="9" style="48"/>
    <col min="7" max="7" width="0.875" style="48" customWidth="1"/>
    <col min="8" max="11" width="9" style="48"/>
    <col min="12" max="12" width="2.375" style="48" customWidth="1"/>
    <col min="13" max="16" width="6.875" style="48" customWidth="1"/>
    <col min="17" max="17" width="7.625" style="48" customWidth="1"/>
    <col min="18" max="18" width="2.625" style="48" customWidth="1"/>
    <col min="19" max="19" width="6.875" style="48" customWidth="1"/>
    <col min="20" max="16384" width="9" style="48"/>
  </cols>
  <sheetData>
    <row r="1" spans="1:19">
      <c r="A1" s="48" t="s">
        <v>83</v>
      </c>
      <c r="M1" s="198"/>
      <c r="N1" s="198"/>
    </row>
    <row r="2" spans="1:19">
      <c r="C2" s="48" t="s">
        <v>81</v>
      </c>
      <c r="H2" s="48" t="s">
        <v>2</v>
      </c>
      <c r="M2" s="198" t="s">
        <v>73</v>
      </c>
      <c r="N2" s="198"/>
      <c r="O2" s="198"/>
      <c r="P2" s="198"/>
    </row>
    <row r="3" spans="1:19">
      <c r="C3" s="48" t="s">
        <v>11</v>
      </c>
      <c r="E3" s="48" t="s">
        <v>162</v>
      </c>
      <c r="H3" s="48" t="s">
        <v>84</v>
      </c>
      <c r="J3" s="48" t="s">
        <v>162</v>
      </c>
      <c r="M3" s="198" t="s">
        <v>74</v>
      </c>
      <c r="N3" s="198"/>
      <c r="O3" s="198" t="s">
        <v>75</v>
      </c>
      <c r="P3" s="198"/>
      <c r="Q3" s="55" t="s">
        <v>104</v>
      </c>
      <c r="S3" s="48" t="s">
        <v>104</v>
      </c>
    </row>
    <row r="4" spans="1:19">
      <c r="C4" s="58" t="s">
        <v>85</v>
      </c>
      <c r="D4" s="55" t="s">
        <v>1</v>
      </c>
      <c r="E4" s="58" t="s">
        <v>85</v>
      </c>
      <c r="F4" s="55" t="s">
        <v>1</v>
      </c>
      <c r="G4" s="55"/>
      <c r="H4" s="58" t="s">
        <v>85</v>
      </c>
      <c r="I4" s="55" t="s">
        <v>1</v>
      </c>
      <c r="J4" s="58" t="s">
        <v>85</v>
      </c>
      <c r="K4" s="55" t="s">
        <v>1</v>
      </c>
      <c r="M4" s="55" t="s">
        <v>76</v>
      </c>
      <c r="N4" s="55" t="s">
        <v>1</v>
      </c>
      <c r="O4" s="55" t="s">
        <v>76</v>
      </c>
      <c r="P4" s="55" t="s">
        <v>1</v>
      </c>
      <c r="S4" s="48" t="s">
        <v>82</v>
      </c>
    </row>
    <row r="5" spans="1:19">
      <c r="A5" s="48">
        <v>2007</v>
      </c>
      <c r="C5" s="158">
        <f>基礎年金拠出金の計算!K5</f>
        <v>1</v>
      </c>
      <c r="D5" s="158">
        <f>基礎年金拠出金の計算!L5</f>
        <v>1</v>
      </c>
      <c r="E5" s="158">
        <f>基礎年金拠出金の計算!M5</f>
        <v>1</v>
      </c>
      <c r="F5" s="158">
        <f>基礎年金拠出金の計算!N5</f>
        <v>1</v>
      </c>
      <c r="G5" s="158"/>
      <c r="H5" s="158">
        <v>1</v>
      </c>
      <c r="I5" s="158">
        <v>1</v>
      </c>
      <c r="J5" s="158">
        <v>1</v>
      </c>
      <c r="K5" s="158">
        <v>1</v>
      </c>
      <c r="L5" s="158"/>
      <c r="M5" s="158"/>
      <c r="N5" s="158"/>
      <c r="O5" s="158"/>
      <c r="P5" s="158"/>
      <c r="Q5" s="62"/>
      <c r="R5" s="62"/>
      <c r="S5" s="62"/>
    </row>
    <row r="6" spans="1:19">
      <c r="A6" s="48">
        <f>A5+1</f>
        <v>2008</v>
      </c>
      <c r="C6" s="158">
        <f>基礎年金拠出金の計算!K6</f>
        <v>1</v>
      </c>
      <c r="D6" s="158">
        <f>基礎年金拠出金の計算!L6</f>
        <v>1</v>
      </c>
      <c r="E6" s="158">
        <f>基礎年金拠出金の計算!M6</f>
        <v>1</v>
      </c>
      <c r="F6" s="158">
        <f>基礎年金拠出金の計算!N6</f>
        <v>1</v>
      </c>
      <c r="G6" s="158"/>
      <c r="H6" s="158">
        <f>(C5*2+C6*10)/12</f>
        <v>1</v>
      </c>
      <c r="I6" s="158">
        <f>(D5*2+D6*10)/12</f>
        <v>1</v>
      </c>
      <c r="J6" s="158">
        <f>(E5*2+E6*10)/12</f>
        <v>1</v>
      </c>
      <c r="K6" s="158">
        <f t="shared" ref="K6:K38" si="0">(F5*2+F6*10)/12</f>
        <v>1</v>
      </c>
      <c r="L6" s="158"/>
      <c r="M6" s="158"/>
      <c r="N6" s="158"/>
      <c r="O6" s="158"/>
      <c r="P6" s="158"/>
      <c r="Q6" s="62"/>
      <c r="R6" s="62"/>
      <c r="S6" s="62"/>
    </row>
    <row r="7" spans="1:19">
      <c r="A7" s="48">
        <f t="shared" ref="A7:A38" si="1">A6+1</f>
        <v>2009</v>
      </c>
      <c r="C7" s="158">
        <f>基礎年金拠出金の計算!K7</f>
        <v>1</v>
      </c>
      <c r="D7" s="158">
        <f>基礎年金拠出金の計算!L7</f>
        <v>1</v>
      </c>
      <c r="E7" s="158">
        <f>基礎年金拠出金の計算!M7</f>
        <v>1</v>
      </c>
      <c r="F7" s="158">
        <f>基礎年金拠出金の計算!N7</f>
        <v>1</v>
      </c>
      <c r="G7" s="158"/>
      <c r="H7" s="158">
        <f t="shared" ref="H7:J24" si="2">(C6*2+C7*10)/12</f>
        <v>1</v>
      </c>
      <c r="I7" s="158">
        <f t="shared" si="2"/>
        <v>1</v>
      </c>
      <c r="J7" s="158">
        <f t="shared" si="2"/>
        <v>1</v>
      </c>
      <c r="K7" s="158">
        <f t="shared" si="0"/>
        <v>1</v>
      </c>
      <c r="L7" s="158"/>
      <c r="M7" s="158"/>
      <c r="N7" s="158"/>
      <c r="O7" s="158"/>
      <c r="P7" s="158"/>
      <c r="Q7" s="62"/>
      <c r="R7" s="62"/>
      <c r="S7" s="62"/>
    </row>
    <row r="8" spans="1:19">
      <c r="A8" s="48">
        <f t="shared" si="1"/>
        <v>2010</v>
      </c>
      <c r="C8" s="158">
        <f>基礎年金拠出金の計算!K8</f>
        <v>1</v>
      </c>
      <c r="D8" s="158">
        <f>基礎年金拠出金の計算!L8</f>
        <v>1</v>
      </c>
      <c r="E8" s="158">
        <f>基礎年金拠出金の計算!M8</f>
        <v>1</v>
      </c>
      <c r="F8" s="158">
        <f>基礎年金拠出金の計算!N8</f>
        <v>1</v>
      </c>
      <c r="G8" s="158"/>
      <c r="H8" s="158">
        <f t="shared" si="2"/>
        <v>1</v>
      </c>
      <c r="I8" s="158">
        <f t="shared" si="2"/>
        <v>1</v>
      </c>
      <c r="J8" s="158">
        <f t="shared" si="2"/>
        <v>1</v>
      </c>
      <c r="K8" s="158">
        <f t="shared" si="0"/>
        <v>1</v>
      </c>
      <c r="L8" s="158"/>
      <c r="M8" s="158"/>
      <c r="N8" s="158"/>
      <c r="O8" s="158"/>
      <c r="P8" s="158"/>
      <c r="Q8" s="62"/>
      <c r="R8" s="62"/>
      <c r="S8" s="62"/>
    </row>
    <row r="9" spans="1:19">
      <c r="A9" s="48">
        <f t="shared" si="1"/>
        <v>2011</v>
      </c>
      <c r="C9" s="158">
        <f>基礎年金拠出金の計算!K9</f>
        <v>1</v>
      </c>
      <c r="D9" s="158">
        <f>基礎年金拠出金の計算!L9</f>
        <v>1</v>
      </c>
      <c r="E9" s="158">
        <f>基礎年金拠出金の計算!M9</f>
        <v>1</v>
      </c>
      <c r="F9" s="158">
        <f>基礎年金拠出金の計算!N9</f>
        <v>1</v>
      </c>
      <c r="G9" s="158"/>
      <c r="H9" s="158">
        <f t="shared" si="2"/>
        <v>1</v>
      </c>
      <c r="I9" s="158">
        <f t="shared" si="2"/>
        <v>1</v>
      </c>
      <c r="J9" s="158">
        <f t="shared" si="2"/>
        <v>1</v>
      </c>
      <c r="K9" s="158">
        <f t="shared" si="0"/>
        <v>1</v>
      </c>
      <c r="L9" s="158"/>
      <c r="M9" s="158"/>
      <c r="N9" s="158"/>
      <c r="O9" s="158"/>
      <c r="P9" s="158"/>
      <c r="Q9" s="62"/>
      <c r="R9" s="62"/>
      <c r="S9" s="62"/>
    </row>
    <row r="10" spans="1:19">
      <c r="A10" s="48">
        <f t="shared" si="1"/>
        <v>2012</v>
      </c>
      <c r="C10" s="158">
        <f>基礎年金拠出金の計算!K10</f>
        <v>1</v>
      </c>
      <c r="D10" s="158">
        <f>基礎年金拠出金の計算!L10</f>
        <v>1</v>
      </c>
      <c r="E10" s="158">
        <f>基礎年金拠出金の計算!M10</f>
        <v>1</v>
      </c>
      <c r="F10" s="158">
        <f>基礎年金拠出金の計算!N10</f>
        <v>1</v>
      </c>
      <c r="G10" s="158"/>
      <c r="H10" s="158">
        <f t="shared" si="2"/>
        <v>1</v>
      </c>
      <c r="I10" s="158">
        <f t="shared" si="2"/>
        <v>1</v>
      </c>
      <c r="J10" s="158">
        <f t="shared" si="2"/>
        <v>1</v>
      </c>
      <c r="K10" s="158">
        <f t="shared" si="0"/>
        <v>1</v>
      </c>
      <c r="L10" s="158"/>
      <c r="M10" s="194">
        <f t="shared" ref="M10:M38" si="3">H10/H9</f>
        <v>1</v>
      </c>
      <c r="N10" s="194">
        <f t="shared" ref="N10:N38" si="4">I10/I9</f>
        <v>1</v>
      </c>
      <c r="O10" s="194">
        <f t="shared" ref="O10:O38" si="5">J10/J9</f>
        <v>1</v>
      </c>
      <c r="P10" s="194">
        <f t="shared" ref="P10:P38" si="6">K10/K9</f>
        <v>1</v>
      </c>
      <c r="Q10" s="62">
        <v>1.0176890881573779</v>
      </c>
      <c r="R10" s="158"/>
      <c r="S10" s="158"/>
    </row>
    <row r="11" spans="1:19">
      <c r="A11" s="48">
        <f t="shared" si="1"/>
        <v>2013</v>
      </c>
      <c r="C11" s="158">
        <f>基礎年金拠出金の計算!K11</f>
        <v>1</v>
      </c>
      <c r="D11" s="158">
        <f>基礎年金拠出金の計算!L11</f>
        <v>1</v>
      </c>
      <c r="E11" s="158">
        <f>基礎年金拠出金の計算!M11</f>
        <v>1</v>
      </c>
      <c r="F11" s="158">
        <f>基礎年金拠出金の計算!N11</f>
        <v>1</v>
      </c>
      <c r="G11" s="158"/>
      <c r="H11" s="158">
        <f t="shared" si="2"/>
        <v>1</v>
      </c>
      <c r="I11" s="158">
        <f t="shared" si="2"/>
        <v>1</v>
      </c>
      <c r="J11" s="158">
        <f t="shared" si="2"/>
        <v>1</v>
      </c>
      <c r="K11" s="158">
        <f t="shared" si="0"/>
        <v>1</v>
      </c>
      <c r="L11" s="158"/>
      <c r="M11" s="194">
        <f t="shared" si="3"/>
        <v>1</v>
      </c>
      <c r="N11" s="194">
        <f t="shared" si="4"/>
        <v>1</v>
      </c>
      <c r="O11" s="194">
        <f t="shared" si="5"/>
        <v>1</v>
      </c>
      <c r="P11" s="194">
        <f t="shared" si="6"/>
        <v>1</v>
      </c>
      <c r="Q11" s="62">
        <v>1.0176890881573779</v>
      </c>
      <c r="R11" s="158"/>
      <c r="S11" s="159"/>
    </row>
    <row r="12" spans="1:19">
      <c r="A12" s="48">
        <f t="shared" si="1"/>
        <v>2014</v>
      </c>
      <c r="C12" s="158">
        <f>基礎年金拠出金の計算!K12</f>
        <v>1</v>
      </c>
      <c r="D12" s="158">
        <f>基礎年金拠出金の計算!L12</f>
        <v>1</v>
      </c>
      <c r="E12" s="158">
        <f>基礎年金拠出金の計算!M12</f>
        <v>1</v>
      </c>
      <c r="F12" s="158">
        <f>基礎年金拠出金の計算!N12</f>
        <v>1</v>
      </c>
      <c r="G12" s="158"/>
      <c r="H12" s="158">
        <f t="shared" si="2"/>
        <v>1</v>
      </c>
      <c r="I12" s="158">
        <f t="shared" si="2"/>
        <v>1</v>
      </c>
      <c r="J12" s="158">
        <f t="shared" si="2"/>
        <v>1</v>
      </c>
      <c r="K12" s="158">
        <f t="shared" si="0"/>
        <v>1</v>
      </c>
      <c r="L12" s="158"/>
      <c r="M12" s="194">
        <f t="shared" si="3"/>
        <v>1</v>
      </c>
      <c r="N12" s="194">
        <f t="shared" si="4"/>
        <v>1</v>
      </c>
      <c r="O12" s="194">
        <f t="shared" si="5"/>
        <v>1</v>
      </c>
      <c r="P12" s="194">
        <f t="shared" si="6"/>
        <v>1</v>
      </c>
      <c r="Q12" s="62">
        <v>1.0176890881573779</v>
      </c>
      <c r="R12" s="158"/>
      <c r="S12" s="159"/>
    </row>
    <row r="13" spans="1:19">
      <c r="A13" s="48">
        <f t="shared" si="1"/>
        <v>2015</v>
      </c>
      <c r="C13" s="158">
        <f>基礎年金拠出金の計算!K13</f>
        <v>1</v>
      </c>
      <c r="D13" s="158">
        <f>基礎年金拠出金の計算!L13</f>
        <v>1</v>
      </c>
      <c r="E13" s="158">
        <f>基礎年金拠出金の計算!M13</f>
        <v>1</v>
      </c>
      <c r="F13" s="158">
        <f>基礎年金拠出金の計算!N13</f>
        <v>1</v>
      </c>
      <c r="G13" s="158"/>
      <c r="H13" s="158">
        <f t="shared" si="2"/>
        <v>1</v>
      </c>
      <c r="I13" s="158">
        <f t="shared" si="2"/>
        <v>1</v>
      </c>
      <c r="J13" s="158">
        <f t="shared" si="2"/>
        <v>1</v>
      </c>
      <c r="K13" s="158">
        <f t="shared" si="0"/>
        <v>1</v>
      </c>
      <c r="L13" s="158"/>
      <c r="M13" s="194">
        <f t="shared" si="3"/>
        <v>1</v>
      </c>
      <c r="N13" s="194">
        <f t="shared" si="4"/>
        <v>1</v>
      </c>
      <c r="O13" s="194">
        <f t="shared" si="5"/>
        <v>1</v>
      </c>
      <c r="P13" s="194">
        <f t="shared" si="6"/>
        <v>1</v>
      </c>
      <c r="Q13" s="62">
        <v>1.0176890881573779</v>
      </c>
      <c r="R13" s="158"/>
      <c r="S13" s="159"/>
    </row>
    <row r="14" spans="1:19">
      <c r="A14" s="48">
        <f t="shared" si="1"/>
        <v>2016</v>
      </c>
      <c r="C14" s="158">
        <f>基礎年金拠出金の計算!K14</f>
        <v>1.006534898732137</v>
      </c>
      <c r="D14" s="158">
        <f>基礎年金拠出金の計算!L14</f>
        <v>1.006534898732137</v>
      </c>
      <c r="E14" s="158">
        <f>基礎年金拠出金の計算!M14</f>
        <v>1</v>
      </c>
      <c r="F14" s="158">
        <f>基礎年金拠出金の計算!N14</f>
        <v>1</v>
      </c>
      <c r="G14" s="158"/>
      <c r="H14" s="158">
        <f t="shared" si="2"/>
        <v>1.0054457489434474</v>
      </c>
      <c r="I14" s="158">
        <f t="shared" si="2"/>
        <v>1.0054457489434474</v>
      </c>
      <c r="J14" s="158">
        <f t="shared" si="2"/>
        <v>1</v>
      </c>
      <c r="K14" s="158">
        <f t="shared" si="0"/>
        <v>1</v>
      </c>
      <c r="L14" s="158"/>
      <c r="M14" s="194">
        <f t="shared" si="3"/>
        <v>1.0054457489434474</v>
      </c>
      <c r="N14" s="194">
        <f t="shared" si="4"/>
        <v>1.0054457489434474</v>
      </c>
      <c r="O14" s="194">
        <f t="shared" si="5"/>
        <v>1</v>
      </c>
      <c r="P14" s="194">
        <f t="shared" si="6"/>
        <v>1</v>
      </c>
      <c r="Q14" s="62">
        <v>1.0110817711728537</v>
      </c>
      <c r="R14" s="158"/>
      <c r="S14" s="159"/>
    </row>
    <row r="15" spans="1:19">
      <c r="A15" s="48">
        <f t="shared" si="1"/>
        <v>2017</v>
      </c>
      <c r="C15" s="158">
        <f>基礎年金拠出金の計算!K15</f>
        <v>1.013526102955097</v>
      </c>
      <c r="D15" s="158">
        <f>基礎年金拠出金の計算!L15</f>
        <v>1.013526102955097</v>
      </c>
      <c r="E15" s="158">
        <f>基礎年金拠出金の計算!M15</f>
        <v>0.999</v>
      </c>
      <c r="F15" s="158">
        <f>基礎年金拠出金の計算!N15</f>
        <v>0.999</v>
      </c>
      <c r="G15" s="158"/>
      <c r="H15" s="158">
        <f t="shared" si="2"/>
        <v>1.0123609022512705</v>
      </c>
      <c r="I15" s="158">
        <f t="shared" si="2"/>
        <v>1.0123609022512705</v>
      </c>
      <c r="J15" s="158">
        <f t="shared" si="2"/>
        <v>0.99916666666666665</v>
      </c>
      <c r="K15" s="158">
        <f t="shared" si="0"/>
        <v>0.99916666666666665</v>
      </c>
      <c r="L15" s="158"/>
      <c r="M15" s="194">
        <f t="shared" si="3"/>
        <v>1.0068776990852961</v>
      </c>
      <c r="N15" s="194">
        <f t="shared" si="4"/>
        <v>1.0068776990852961</v>
      </c>
      <c r="O15" s="194">
        <f t="shared" si="5"/>
        <v>0.99916666666666665</v>
      </c>
      <c r="P15" s="194">
        <f t="shared" si="6"/>
        <v>0.99916666666666665</v>
      </c>
      <c r="Q15" s="62">
        <v>1.0031033202844537</v>
      </c>
      <c r="R15" s="158"/>
      <c r="S15" s="159"/>
    </row>
    <row r="16" spans="1:19">
      <c r="A16" s="48">
        <f t="shared" si="1"/>
        <v>2018</v>
      </c>
      <c r="C16" s="158">
        <f>基礎年金拠出金の計算!K16</f>
        <v>1.0166713990692204</v>
      </c>
      <c r="D16" s="158">
        <f>基礎年金拠出金の計算!L16</f>
        <v>1.0166713990692204</v>
      </c>
      <c r="E16" s="158">
        <f>基礎年金拠出金の計算!M16</f>
        <v>0.999</v>
      </c>
      <c r="F16" s="158">
        <f>基礎年金拠出金の計算!N16</f>
        <v>0.999</v>
      </c>
      <c r="G16" s="158"/>
      <c r="H16" s="158">
        <f t="shared" si="2"/>
        <v>1.0161471830502</v>
      </c>
      <c r="I16" s="158">
        <f t="shared" si="2"/>
        <v>1.0161471830502</v>
      </c>
      <c r="J16" s="158">
        <f t="shared" si="2"/>
        <v>0.999</v>
      </c>
      <c r="K16" s="158">
        <f t="shared" si="0"/>
        <v>0.999</v>
      </c>
      <c r="L16" s="158"/>
      <c r="M16" s="194">
        <f t="shared" si="3"/>
        <v>1.0037400504015017</v>
      </c>
      <c r="N16" s="194">
        <f t="shared" si="4"/>
        <v>1.0037400504015017</v>
      </c>
      <c r="O16" s="194">
        <f t="shared" si="5"/>
        <v>0.99983319432860718</v>
      </c>
      <c r="P16" s="194">
        <f t="shared" si="6"/>
        <v>0.99983319432860718</v>
      </c>
      <c r="Q16" s="62">
        <v>1</v>
      </c>
      <c r="R16" s="158"/>
      <c r="S16" s="195">
        <f>Q16</f>
        <v>1</v>
      </c>
    </row>
    <row r="17" spans="1:19">
      <c r="A17" s="48">
        <f t="shared" si="1"/>
        <v>2019</v>
      </c>
      <c r="C17" s="158">
        <f>基礎年金拠出金の計算!K17</f>
        <v>1.0290257545921799</v>
      </c>
      <c r="D17" s="158">
        <f>基礎年金拠出金の計算!L17</f>
        <v>1.0280756278607484</v>
      </c>
      <c r="E17" s="158">
        <f>基礎年金拠出金の計算!M17</f>
        <v>0.999</v>
      </c>
      <c r="F17" s="158">
        <f>基礎年金拠出金の計算!N17</f>
        <v>0.999</v>
      </c>
      <c r="G17" s="158"/>
      <c r="H17" s="158">
        <f t="shared" si="2"/>
        <v>1.0269666953383532</v>
      </c>
      <c r="I17" s="158">
        <f t="shared" si="2"/>
        <v>1.0261749230621604</v>
      </c>
      <c r="J17" s="158">
        <f t="shared" si="2"/>
        <v>0.999</v>
      </c>
      <c r="K17" s="158">
        <f t="shared" si="0"/>
        <v>0.999</v>
      </c>
      <c r="L17" s="158"/>
      <c r="M17" s="194">
        <f t="shared" si="3"/>
        <v>1.0106475838034368</v>
      </c>
      <c r="N17" s="194">
        <f t="shared" si="4"/>
        <v>1.0098683932595864</v>
      </c>
      <c r="O17" s="194">
        <f t="shared" si="5"/>
        <v>1</v>
      </c>
      <c r="P17" s="194">
        <f t="shared" si="6"/>
        <v>1</v>
      </c>
      <c r="Q17" s="62">
        <v>0.98873812754617818</v>
      </c>
      <c r="R17" s="158"/>
      <c r="S17" s="195">
        <f>Q17*(1+人口等補正!D12)</f>
        <v>0.98951184212828991</v>
      </c>
    </row>
    <row r="18" spans="1:19">
      <c r="A18" s="48">
        <f t="shared" si="1"/>
        <v>2020</v>
      </c>
      <c r="C18" s="158">
        <f>基礎年金拠出金の計算!K18</f>
        <v>1.0498850685836811</v>
      </c>
      <c r="D18" s="158">
        <f>基礎年金拠出金の計算!L18</f>
        <v>1.0397449436886927</v>
      </c>
      <c r="E18" s="158">
        <f>基礎年金拠出金の計算!M18</f>
        <v>1.0125283143486363</v>
      </c>
      <c r="F18" s="158">
        <f>基礎年金拠出金の計算!N18</f>
        <v>1.0107468351711573</v>
      </c>
      <c r="G18" s="158"/>
      <c r="H18" s="158">
        <f t="shared" si="2"/>
        <v>1.0464085162517642</v>
      </c>
      <c r="I18" s="158">
        <f t="shared" si="2"/>
        <v>1.0378000577173687</v>
      </c>
      <c r="J18" s="158">
        <f t="shared" si="2"/>
        <v>1.0102735952905302</v>
      </c>
      <c r="K18" s="158">
        <f t="shared" si="0"/>
        <v>1.0087890293092976</v>
      </c>
      <c r="L18" s="158"/>
      <c r="M18" s="194">
        <f t="shared" si="3"/>
        <v>1.0189313061481566</v>
      </c>
      <c r="N18" s="194">
        <f t="shared" si="4"/>
        <v>1.0113286091814817</v>
      </c>
      <c r="O18" s="194">
        <f t="shared" si="5"/>
        <v>1.0112848801707008</v>
      </c>
      <c r="P18" s="194">
        <f t="shared" si="6"/>
        <v>1.009798828137435</v>
      </c>
      <c r="Q18" s="62">
        <v>0.98783685346481553</v>
      </c>
      <c r="R18" s="158"/>
      <c r="S18" s="195">
        <f>Q18*(1+人口等補正!D13)</f>
        <v>0.9894046895437979</v>
      </c>
    </row>
    <row r="19" spans="1:19">
      <c r="A19" s="48">
        <f t="shared" si="1"/>
        <v>2021</v>
      </c>
      <c r="C19" s="158">
        <f>基礎年金拠出金の計算!K19</f>
        <v>1.0787546219318174</v>
      </c>
      <c r="D19" s="158">
        <f>基礎年金拠出金の計算!L19</f>
        <v>1.0514335445180758</v>
      </c>
      <c r="E19" s="158">
        <f>基礎年金拠出金の計算!M19</f>
        <v>1.0328217612397994</v>
      </c>
      <c r="F19" s="158">
        <f>基礎年金拠出金の計算!N19</f>
        <v>1.0255790886197542</v>
      </c>
      <c r="G19" s="158"/>
      <c r="H19" s="158">
        <f t="shared" si="2"/>
        <v>1.073943029707128</v>
      </c>
      <c r="I19" s="158">
        <f t="shared" si="2"/>
        <v>1.0494854443798454</v>
      </c>
      <c r="J19" s="158">
        <f t="shared" si="2"/>
        <v>1.0294395200912723</v>
      </c>
      <c r="K19" s="158">
        <f t="shared" si="0"/>
        <v>1.0231070463783214</v>
      </c>
      <c r="L19" s="158"/>
      <c r="M19" s="194">
        <f t="shared" si="3"/>
        <v>1.0263133499276098</v>
      </c>
      <c r="N19" s="194">
        <f t="shared" si="4"/>
        <v>1.0112597668265491</v>
      </c>
      <c r="O19" s="194">
        <f t="shared" si="5"/>
        <v>1.0189710241761099</v>
      </c>
      <c r="P19" s="194">
        <f t="shared" si="6"/>
        <v>1.014193271985548</v>
      </c>
      <c r="Q19" s="62">
        <v>0.98901098001588128</v>
      </c>
      <c r="R19" s="158"/>
      <c r="S19" s="195">
        <f>Q19*(1+人口等補正!D14)</f>
        <v>0.99134813910709474</v>
      </c>
    </row>
    <row r="20" spans="1:19">
      <c r="A20" s="48">
        <f t="shared" si="1"/>
        <v>2022</v>
      </c>
      <c r="C20" s="158">
        <f>基礎年金拠出金の計算!K20</f>
        <v>1.1104127337722549</v>
      </c>
      <c r="D20" s="158">
        <f>基礎年金拠出金の計算!L20</f>
        <v>1.0631541715892978</v>
      </c>
      <c r="E20" s="158">
        <f>基礎年金拠出金の計算!M20</f>
        <v>1.0544562700363436</v>
      </c>
      <c r="F20" s="158">
        <f>基礎年金拠出金の計算!N20</f>
        <v>1.0388308114382654</v>
      </c>
      <c r="G20" s="158"/>
      <c r="H20" s="158">
        <f t="shared" si="2"/>
        <v>1.1051363817988487</v>
      </c>
      <c r="I20" s="158">
        <f t="shared" si="2"/>
        <v>1.0612007337440943</v>
      </c>
      <c r="J20" s="158">
        <f t="shared" si="2"/>
        <v>1.0508505185702528</v>
      </c>
      <c r="K20" s="158">
        <f t="shared" si="0"/>
        <v>1.0366221909685134</v>
      </c>
      <c r="L20" s="158"/>
      <c r="M20" s="194">
        <f t="shared" si="3"/>
        <v>1.0290456301953255</v>
      </c>
      <c r="N20" s="194">
        <f t="shared" si="4"/>
        <v>1.0111628888489936</v>
      </c>
      <c r="O20" s="194">
        <f t="shared" si="5"/>
        <v>1.0207986948830974</v>
      </c>
      <c r="P20" s="194">
        <f t="shared" si="6"/>
        <v>1.0132099027545887</v>
      </c>
      <c r="Q20" s="62">
        <v>0.98836830506140416</v>
      </c>
      <c r="R20" s="158"/>
      <c r="S20" s="195">
        <f>Q20*(1+人口等補正!D15)</f>
        <v>0.99139432845845088</v>
      </c>
    </row>
    <row r="21" spans="1:19">
      <c r="A21" s="48">
        <f t="shared" si="1"/>
        <v>2023</v>
      </c>
      <c r="C21" s="158">
        <f>基礎年金拠出金の計算!K21</f>
        <v>1.1436976725772343</v>
      </c>
      <c r="D21" s="158">
        <f>基礎年金拠出金の計算!L21</f>
        <v>1.0751417329796966</v>
      </c>
      <c r="E21" s="158">
        <f>基礎年金拠出金の計算!M21</f>
        <v>1.0769333410634852</v>
      </c>
      <c r="F21" s="158">
        <f>基礎年金拠出金の計算!N21</f>
        <v>1.0512886362113034</v>
      </c>
      <c r="G21" s="158"/>
      <c r="H21" s="158">
        <f t="shared" si="2"/>
        <v>1.1381501827764045</v>
      </c>
      <c r="I21" s="158">
        <f t="shared" si="2"/>
        <v>1.0731438060812968</v>
      </c>
      <c r="J21" s="158">
        <f t="shared" si="2"/>
        <v>1.0731871625589615</v>
      </c>
      <c r="K21" s="158">
        <f t="shared" si="0"/>
        <v>1.0492123320824638</v>
      </c>
      <c r="L21" s="158"/>
      <c r="M21" s="194">
        <f t="shared" si="3"/>
        <v>1.0298730559605853</v>
      </c>
      <c r="N21" s="194">
        <f t="shared" si="4"/>
        <v>1.0112543008664019</v>
      </c>
      <c r="O21" s="194">
        <f t="shared" si="5"/>
        <v>1.0212557767198889</v>
      </c>
      <c r="P21" s="194">
        <f t="shared" si="6"/>
        <v>1.0121453517237438</v>
      </c>
      <c r="Q21" s="62">
        <v>0.98651416362516575</v>
      </c>
      <c r="R21" s="158"/>
      <c r="S21" s="195">
        <f>Q21*(1+人口等補正!D16)</f>
        <v>0.99021413988123752</v>
      </c>
    </row>
    <row r="22" spans="1:19">
      <c r="A22" s="48">
        <f t="shared" si="1"/>
        <v>2024</v>
      </c>
      <c r="C22" s="158">
        <f>基礎年金拠出金の計算!K22</f>
        <v>1.1794974501786732</v>
      </c>
      <c r="D22" s="158">
        <f>基礎年金拠出金の計算!L22</f>
        <v>1.0872936206577213</v>
      </c>
      <c r="E22" s="158">
        <f>基礎年金拠出金の計算!M22</f>
        <v>1.1016335580411298</v>
      </c>
      <c r="F22" s="158">
        <f>基礎年金拠出金の計算!N22</f>
        <v>1.0638515787175453</v>
      </c>
      <c r="G22" s="158"/>
      <c r="H22" s="158">
        <f t="shared" si="2"/>
        <v>1.1735308205784334</v>
      </c>
      <c r="I22" s="158">
        <f t="shared" si="2"/>
        <v>1.0852683060447172</v>
      </c>
      <c r="J22" s="158">
        <f t="shared" si="2"/>
        <v>1.0975168552115224</v>
      </c>
      <c r="K22" s="158">
        <f t="shared" si="0"/>
        <v>1.0617577549665052</v>
      </c>
      <c r="L22" s="158"/>
      <c r="M22" s="194">
        <f t="shared" si="3"/>
        <v>1.0310860889339941</v>
      </c>
      <c r="N22" s="194">
        <f t="shared" si="4"/>
        <v>1.0112981129786272</v>
      </c>
      <c r="O22" s="194">
        <f t="shared" si="5"/>
        <v>1.0226705028734671</v>
      </c>
      <c r="P22" s="194">
        <f t="shared" si="6"/>
        <v>1.0119569914500923</v>
      </c>
      <c r="Q22" s="62">
        <v>0.98428451582754573</v>
      </c>
      <c r="R22" s="158"/>
      <c r="S22" s="195">
        <f>Q22*(1+人口等補正!D17)</f>
        <v>0.98868004534827925</v>
      </c>
    </row>
    <row r="23" spans="1:19">
      <c r="A23" s="48">
        <f t="shared" si="1"/>
        <v>2025</v>
      </c>
      <c r="C23" s="158">
        <f>基礎年金拠出金の計算!K23</f>
        <v>1.2072236005032062</v>
      </c>
      <c r="D23" s="158">
        <f>基礎年金拠出金の計算!L23</f>
        <v>1.0906665931730997</v>
      </c>
      <c r="E23" s="158">
        <f>基礎年金拠出金の計算!M23</f>
        <v>1.1288074888947706</v>
      </c>
      <c r="F23" s="158">
        <f>基礎年金拠出金の計算!N23</f>
        <v>1.0762683316731854</v>
      </c>
      <c r="G23" s="158"/>
      <c r="H23" s="158">
        <f t="shared" si="2"/>
        <v>1.2026025754491174</v>
      </c>
      <c r="I23" s="158">
        <f t="shared" si="2"/>
        <v>1.0901044310872032</v>
      </c>
      <c r="J23" s="158">
        <f t="shared" si="2"/>
        <v>1.1242785004191636</v>
      </c>
      <c r="K23" s="158">
        <f t="shared" si="0"/>
        <v>1.0741988728472454</v>
      </c>
      <c r="L23" s="158"/>
      <c r="M23" s="194">
        <f t="shared" si="3"/>
        <v>1.0247728942102727</v>
      </c>
      <c r="N23" s="194">
        <f t="shared" si="4"/>
        <v>1.0044561561556251</v>
      </c>
      <c r="O23" s="194">
        <f t="shared" si="5"/>
        <v>1.0243838124950559</v>
      </c>
      <c r="P23" s="194">
        <f t="shared" si="6"/>
        <v>1.0117174730512166</v>
      </c>
      <c r="Q23" s="62">
        <v>0.98978487888686584</v>
      </c>
      <c r="R23" s="158"/>
      <c r="S23" s="195">
        <f>Q23*(1+人口等補正!D18)</f>
        <v>0.99482917833070628</v>
      </c>
    </row>
    <row r="24" spans="1:19">
      <c r="A24" s="48">
        <f t="shared" si="1"/>
        <v>2026</v>
      </c>
      <c r="C24" s="158">
        <f>基礎年金拠出金の計算!K24</f>
        <v>1.2327312064819407</v>
      </c>
      <c r="D24" s="158">
        <f>基礎年金拠出金の計算!L24</f>
        <v>1.093519142872297</v>
      </c>
      <c r="E24" s="158">
        <f>基礎年金拠出金の計算!M24</f>
        <v>1.157599979615499</v>
      </c>
      <c r="F24" s="158">
        <f>基礎年金拠出金の計算!N24</f>
        <v>1.0882943090361081</v>
      </c>
      <c r="G24" s="158"/>
      <c r="H24" s="158">
        <f t="shared" si="2"/>
        <v>1.2284799388188181</v>
      </c>
      <c r="I24" s="158">
        <f t="shared" si="2"/>
        <v>1.0930437179224308</v>
      </c>
      <c r="J24" s="158">
        <f t="shared" si="2"/>
        <v>1.1528012311620444</v>
      </c>
      <c r="K24" s="158">
        <f t="shared" si="0"/>
        <v>1.0862899794756211</v>
      </c>
      <c r="L24" s="158"/>
      <c r="M24" s="194">
        <f t="shared" si="3"/>
        <v>1.0215178013900699</v>
      </c>
      <c r="N24" s="194">
        <f t="shared" si="4"/>
        <v>1.0026963350954332</v>
      </c>
      <c r="O24" s="194">
        <f t="shared" si="5"/>
        <v>1.0253698089327927</v>
      </c>
      <c r="P24" s="194">
        <f t="shared" si="6"/>
        <v>1.0112559293572216</v>
      </c>
      <c r="Q24" s="62">
        <v>0.99570836788499961</v>
      </c>
      <c r="R24" s="158"/>
      <c r="S24" s="195">
        <f>Q24*(1+人口等補正!D19)</f>
        <v>1.001430367348501</v>
      </c>
    </row>
    <row r="25" spans="1:19">
      <c r="A25" s="48">
        <f t="shared" si="1"/>
        <v>2027</v>
      </c>
      <c r="C25" s="158">
        <f>基礎年金拠出金の計算!K25</f>
        <v>1.2544862059360899</v>
      </c>
      <c r="D25" s="158">
        <f>基礎年金拠出金の計算!L25</f>
        <v>1.0957168575629475</v>
      </c>
      <c r="E25" s="158">
        <f>基礎年金拠出金の計算!M25</f>
        <v>1.1868264075951565</v>
      </c>
      <c r="F25" s="158">
        <f>基礎年金拠出金の計算!N25</f>
        <v>1.0998094137674317</v>
      </c>
      <c r="G25" s="158"/>
      <c r="H25" s="158">
        <f t="shared" ref="H25:J38" si="7">(C24*2+C25*10)/12</f>
        <v>1.2508603726937315</v>
      </c>
      <c r="I25" s="158">
        <f t="shared" si="7"/>
        <v>1.0953505717811722</v>
      </c>
      <c r="J25" s="158">
        <f t="shared" si="7"/>
        <v>1.1819553362652135</v>
      </c>
      <c r="K25" s="158">
        <f t="shared" si="0"/>
        <v>1.0978902296455444</v>
      </c>
      <c r="L25" s="158"/>
      <c r="M25" s="194">
        <f t="shared" si="3"/>
        <v>1.0182179888883103</v>
      </c>
      <c r="N25" s="194">
        <f t="shared" si="4"/>
        <v>1.0021104863610817</v>
      </c>
      <c r="O25" s="194">
        <f t="shared" si="5"/>
        <v>1.0252897935178134</v>
      </c>
      <c r="P25" s="194">
        <f t="shared" si="6"/>
        <v>1.0106787785849991</v>
      </c>
      <c r="Q25" s="62">
        <v>1.0021121381068605</v>
      </c>
      <c r="R25" s="158"/>
      <c r="S25" s="195">
        <f>Q25*(1+人口等補正!D20)</f>
        <v>1.0084759341407266</v>
      </c>
    </row>
    <row r="26" spans="1:19">
      <c r="A26" s="48">
        <f t="shared" si="1"/>
        <v>2028</v>
      </c>
      <c r="C26" s="158">
        <f>基礎年金拠出金の計算!K26</f>
        <v>1.2730004900115954</v>
      </c>
      <c r="D26" s="158">
        <f>基礎年金拠出金の計算!L26</f>
        <v>1.0976436314655111</v>
      </c>
      <c r="E26" s="158">
        <f>基礎年金拠出金の計算!M26</f>
        <v>1.2168862702583005</v>
      </c>
      <c r="F26" s="158">
        <f>基礎年金拠出金の計算!N26</f>
        <v>1.1111681744197868</v>
      </c>
      <c r="G26" s="158"/>
      <c r="H26" s="158">
        <f t="shared" si="7"/>
        <v>1.269914775999011</v>
      </c>
      <c r="I26" s="158">
        <f t="shared" si="7"/>
        <v>1.0973225024817503</v>
      </c>
      <c r="J26" s="158">
        <f t="shared" si="7"/>
        <v>1.2118762931477767</v>
      </c>
      <c r="K26" s="158">
        <f t="shared" si="0"/>
        <v>1.1092750476443942</v>
      </c>
      <c r="L26" s="158"/>
      <c r="M26" s="194">
        <f t="shared" si="3"/>
        <v>1.0152330377724301</v>
      </c>
      <c r="N26" s="194">
        <f t="shared" si="4"/>
        <v>1.0018002735848957</v>
      </c>
      <c r="O26" s="194">
        <f t="shared" si="5"/>
        <v>1.0253147948695833</v>
      </c>
      <c r="P26" s="194">
        <f t="shared" si="6"/>
        <v>1.0103697233944102</v>
      </c>
      <c r="Q26" s="62">
        <v>1.0091707199782449</v>
      </c>
      <c r="R26" s="158"/>
      <c r="S26" s="195">
        <f>Q26*(1+人口等補正!D21)</f>
        <v>1.0161769055749397</v>
      </c>
    </row>
    <row r="27" spans="1:19">
      <c r="A27" s="48">
        <f t="shared" si="1"/>
        <v>2029</v>
      </c>
      <c r="C27" s="158">
        <f>基礎年金拠出金の計算!K27</f>
        <v>1.2915992989905971</v>
      </c>
      <c r="D27" s="158">
        <f>基礎年金拠出金の計算!L27</f>
        <v>1.0994110720886847</v>
      </c>
      <c r="E27" s="158">
        <f>基礎年金拠出金の計算!M27</f>
        <v>1.2376670299833574</v>
      </c>
      <c r="F27" s="158">
        <f>基礎年金拠出金の計算!N27</f>
        <v>1.1136067898913653</v>
      </c>
      <c r="G27" s="158"/>
      <c r="H27" s="158">
        <f t="shared" si="7"/>
        <v>1.2884994974940969</v>
      </c>
      <c r="I27" s="158">
        <f t="shared" si="7"/>
        <v>1.0991164986514892</v>
      </c>
      <c r="J27" s="158">
        <f t="shared" si="7"/>
        <v>1.2342035700291814</v>
      </c>
      <c r="K27" s="158">
        <f t="shared" si="0"/>
        <v>1.1132003539794357</v>
      </c>
      <c r="L27" s="158"/>
      <c r="M27" s="194">
        <f t="shared" si="3"/>
        <v>1.0146346210362547</v>
      </c>
      <c r="N27" s="194">
        <f t="shared" si="4"/>
        <v>1.0016348850640369</v>
      </c>
      <c r="O27" s="194">
        <f t="shared" si="5"/>
        <v>1.0184237260912259</v>
      </c>
      <c r="P27" s="194">
        <f t="shared" si="6"/>
        <v>1.0035386231245147</v>
      </c>
      <c r="Q27" s="62">
        <v>1.0083031071317441</v>
      </c>
      <c r="R27" s="158"/>
      <c r="S27" s="195">
        <f>Q27*(1+人口等補正!D22)</f>
        <v>1.0159386505608481</v>
      </c>
    </row>
    <row r="28" spans="1:19">
      <c r="A28" s="48">
        <f t="shared" si="1"/>
        <v>2030</v>
      </c>
      <c r="C28" s="158">
        <f>基礎年金拠出金の計算!K28</f>
        <v>1.309853306362166</v>
      </c>
      <c r="D28" s="158">
        <f>基礎年金拠出金の計算!L28</f>
        <v>1.1006565639416064</v>
      </c>
      <c r="E28" s="158">
        <f>基礎年金拠出金の計算!M28</f>
        <v>1.2574449697430945</v>
      </c>
      <c r="F28" s="158">
        <f>基礎年金拠出金の計算!N28</f>
        <v>1.115528316713909</v>
      </c>
      <c r="G28" s="158"/>
      <c r="H28" s="158">
        <f t="shared" si="7"/>
        <v>1.3068109718002379</v>
      </c>
      <c r="I28" s="158">
        <f t="shared" si="7"/>
        <v>1.1004489819661194</v>
      </c>
      <c r="J28" s="158">
        <f t="shared" si="7"/>
        <v>1.2541486464498048</v>
      </c>
      <c r="K28" s="158">
        <f t="shared" si="0"/>
        <v>1.115208062243485</v>
      </c>
      <c r="L28" s="158"/>
      <c r="M28" s="194">
        <f t="shared" si="3"/>
        <v>1.0142114718257582</v>
      </c>
      <c r="N28" s="194">
        <f t="shared" si="4"/>
        <v>1.0012123221844682</v>
      </c>
      <c r="O28" s="194">
        <f t="shared" si="5"/>
        <v>1.0161602809333568</v>
      </c>
      <c r="P28" s="194">
        <f t="shared" si="6"/>
        <v>1.0018035461962189</v>
      </c>
      <c r="Q28" s="62">
        <v>1.0073751539545592</v>
      </c>
      <c r="R28" s="158"/>
      <c r="S28" s="195">
        <f>Q28*(1+人口等補正!D23)</f>
        <v>1.0155565689979302</v>
      </c>
    </row>
    <row r="29" spans="1:19">
      <c r="A29" s="48">
        <f t="shared" si="1"/>
        <v>2031</v>
      </c>
      <c r="C29" s="158">
        <f>基礎年金拠出金の計算!K29</f>
        <v>1.3271728237573597</v>
      </c>
      <c r="D29" s="158">
        <f>基礎年金拠出金の計算!L29</f>
        <v>1.1009014449454082</v>
      </c>
      <c r="E29" s="158">
        <f>基礎年金拠出金の計算!M29</f>
        <v>1.2757040116622782</v>
      </c>
      <c r="F29" s="158">
        <f>基礎年金拠出金の計算!N29</f>
        <v>1.1165252432095822</v>
      </c>
      <c r="G29" s="158"/>
      <c r="H29" s="158">
        <f t="shared" si="7"/>
        <v>1.3242862375248274</v>
      </c>
      <c r="I29" s="158">
        <f t="shared" si="7"/>
        <v>1.1008606314447744</v>
      </c>
      <c r="J29" s="158">
        <f t="shared" si="7"/>
        <v>1.2726608380090809</v>
      </c>
      <c r="K29" s="158">
        <f t="shared" si="0"/>
        <v>1.1163590887936368</v>
      </c>
      <c r="L29" s="158"/>
      <c r="M29" s="194">
        <f t="shared" si="3"/>
        <v>1.0133724510290236</v>
      </c>
      <c r="N29" s="194">
        <f t="shared" si="4"/>
        <v>1.0003740741146578</v>
      </c>
      <c r="O29" s="194">
        <f t="shared" si="5"/>
        <v>1.0147607634961611</v>
      </c>
      <c r="P29" s="194">
        <f t="shared" si="6"/>
        <v>1.0010321182110504</v>
      </c>
      <c r="Q29" s="62">
        <v>1.0065139522411353</v>
      </c>
      <c r="R29" s="158"/>
      <c r="S29" s="195">
        <f>Q29*(1+人口等補正!D24)</f>
        <v>1.0151964594234091</v>
      </c>
    </row>
    <row r="30" spans="1:19">
      <c r="A30" s="48">
        <f t="shared" si="1"/>
        <v>2032</v>
      </c>
      <c r="C30" s="158">
        <f>基礎年金拠出金の計算!K30</f>
        <v>1.3434193180292962</v>
      </c>
      <c r="D30" s="158">
        <f>基礎年金拠出金の計算!L30</f>
        <v>1.1009014449454082</v>
      </c>
      <c r="E30" s="158">
        <f>基礎年金拠出金の計算!M30</f>
        <v>1.2922325515075648</v>
      </c>
      <c r="F30" s="158">
        <f>基礎年金拠出金の計算!N30</f>
        <v>1.1165252432095822</v>
      </c>
      <c r="G30" s="158"/>
      <c r="H30" s="158">
        <f t="shared" si="7"/>
        <v>1.3407115689839735</v>
      </c>
      <c r="I30" s="158">
        <f t="shared" si="7"/>
        <v>1.1009014449454082</v>
      </c>
      <c r="J30" s="158">
        <f t="shared" si="7"/>
        <v>1.2894777948666838</v>
      </c>
      <c r="K30" s="158">
        <f t="shared" si="0"/>
        <v>1.1165252432095822</v>
      </c>
      <c r="L30" s="158"/>
      <c r="M30" s="194">
        <f t="shared" si="3"/>
        <v>1.0124031580135169</v>
      </c>
      <c r="N30" s="194">
        <f t="shared" si="4"/>
        <v>1.0000370741758475</v>
      </c>
      <c r="O30" s="194">
        <f t="shared" si="5"/>
        <v>1.0132140129996543</v>
      </c>
      <c r="P30" s="194">
        <f t="shared" si="6"/>
        <v>1.000148835995168</v>
      </c>
      <c r="Q30" s="62">
        <v>1.0050051197500172</v>
      </c>
      <c r="R30" s="158"/>
      <c r="S30" s="195">
        <f>Q30*(1+人口等補正!D25)</f>
        <v>1.0142437293357629</v>
      </c>
    </row>
    <row r="31" spans="1:19">
      <c r="A31" s="48">
        <f t="shared" si="1"/>
        <v>2033</v>
      </c>
      <c r="C31" s="158">
        <f>基礎年金拠出金の計算!K31</f>
        <v>1.3587018491187011</v>
      </c>
      <c r="D31" s="158">
        <f>基礎年金拠出金の計算!L31</f>
        <v>1.1009014449454082</v>
      </c>
      <c r="E31" s="158">
        <f>基礎年金拠出金の計算!M31</f>
        <v>1.3077769241725536</v>
      </c>
      <c r="F31" s="158">
        <f>基礎年金拠出金の計算!N31</f>
        <v>1.1165252432095822</v>
      </c>
      <c r="G31" s="158"/>
      <c r="H31" s="158">
        <f t="shared" si="7"/>
        <v>1.3561547606038002</v>
      </c>
      <c r="I31" s="158">
        <f t="shared" si="7"/>
        <v>1.1009014449454082</v>
      </c>
      <c r="J31" s="158">
        <f t="shared" si="7"/>
        <v>1.3051861953950556</v>
      </c>
      <c r="K31" s="158">
        <f t="shared" si="0"/>
        <v>1.1165252432095822</v>
      </c>
      <c r="L31" s="158"/>
      <c r="M31" s="194">
        <f t="shared" si="3"/>
        <v>1.0115186532115406</v>
      </c>
      <c r="N31" s="194">
        <f t="shared" si="4"/>
        <v>1</v>
      </c>
      <c r="O31" s="194">
        <f t="shared" si="5"/>
        <v>1.0121819860651389</v>
      </c>
      <c r="P31" s="194">
        <f t="shared" si="6"/>
        <v>1</v>
      </c>
      <c r="Q31" s="62">
        <v>1.0033260608342673</v>
      </c>
      <c r="R31" s="158"/>
      <c r="S31" s="195">
        <f>Q31*(1+人口等補正!D26)</f>
        <v>1.0130309635823487</v>
      </c>
    </row>
    <row r="32" spans="1:19">
      <c r="A32" s="48">
        <f t="shared" si="1"/>
        <v>2034</v>
      </c>
      <c r="C32" s="158">
        <f>基礎年金拠出金の計算!K32</f>
        <v>1.3725967193092929</v>
      </c>
      <c r="D32" s="158">
        <f>基礎年金拠出金の計算!L32</f>
        <v>1.1009014449454082</v>
      </c>
      <c r="E32" s="158">
        <f>基礎年金拠出金の計算!M32</f>
        <v>1.3219111497732967</v>
      </c>
      <c r="F32" s="158">
        <f>基礎年金拠出金の計算!N32</f>
        <v>1.1165252432095822</v>
      </c>
      <c r="G32" s="158"/>
      <c r="H32" s="158">
        <f t="shared" si="7"/>
        <v>1.3702809076108611</v>
      </c>
      <c r="I32" s="158">
        <f t="shared" si="7"/>
        <v>1.1009014449454082</v>
      </c>
      <c r="J32" s="158">
        <f t="shared" si="7"/>
        <v>1.3195554455065064</v>
      </c>
      <c r="K32" s="158">
        <f t="shared" si="0"/>
        <v>1.1165252432095822</v>
      </c>
      <c r="L32" s="158"/>
      <c r="M32" s="194">
        <f t="shared" si="3"/>
        <v>1.0104163237245662</v>
      </c>
      <c r="N32" s="194">
        <f t="shared" si="4"/>
        <v>1</v>
      </c>
      <c r="O32" s="194">
        <f t="shared" si="5"/>
        <v>1.0110093488286562</v>
      </c>
      <c r="P32" s="194">
        <f t="shared" si="6"/>
        <v>1</v>
      </c>
      <c r="Q32" s="62">
        <v>1.0016697992710213</v>
      </c>
      <c r="R32" s="158"/>
      <c r="S32" s="195">
        <f>Q32*(1+人口等補正!D27)</f>
        <v>1.0118442826602123</v>
      </c>
    </row>
    <row r="33" spans="1:19">
      <c r="A33" s="48">
        <f t="shared" si="1"/>
        <v>2035</v>
      </c>
      <c r="C33" s="158">
        <f>基礎年金拠出金の計算!K33</f>
        <v>1.3848402909184552</v>
      </c>
      <c r="D33" s="158">
        <f>基礎年金拠出金の計算!L33</f>
        <v>1.1009014449454082</v>
      </c>
      <c r="E33" s="158">
        <f>基礎年金拠出金の計算!M33</f>
        <v>1.3345038329408074</v>
      </c>
      <c r="F33" s="158">
        <f>基礎年金拠出金の計算!N33</f>
        <v>1.1165252432095822</v>
      </c>
      <c r="G33" s="158"/>
      <c r="H33" s="158">
        <f t="shared" si="7"/>
        <v>1.3827996956502615</v>
      </c>
      <c r="I33" s="158">
        <f t="shared" si="7"/>
        <v>1.1009014449454082</v>
      </c>
      <c r="J33" s="158">
        <f t="shared" si="7"/>
        <v>1.332405052412889</v>
      </c>
      <c r="K33" s="158">
        <f t="shared" si="0"/>
        <v>1.1165252432095822</v>
      </c>
      <c r="L33" s="158"/>
      <c r="M33" s="194">
        <f t="shared" si="3"/>
        <v>1.009135928239143</v>
      </c>
      <c r="N33" s="194">
        <f t="shared" si="4"/>
        <v>1</v>
      </c>
      <c r="O33" s="194">
        <f t="shared" si="5"/>
        <v>1.0097378302292181</v>
      </c>
      <c r="P33" s="194">
        <f t="shared" si="6"/>
        <v>1</v>
      </c>
      <c r="Q33" s="62">
        <v>1.0001649048567411</v>
      </c>
      <c r="R33" s="158"/>
      <c r="S33" s="195">
        <f>Q33*(1+人口等補正!D28)</f>
        <v>1.0108116885759653</v>
      </c>
    </row>
    <row r="34" spans="1:19">
      <c r="A34" s="48">
        <f t="shared" si="1"/>
        <v>2036</v>
      </c>
      <c r="C34" s="158">
        <f>基礎年金拠出金の計算!K34</f>
        <v>1.3956524305443958</v>
      </c>
      <c r="D34" s="158">
        <f>基礎年金拠出金の計算!L34</f>
        <v>1.1009014449454082</v>
      </c>
      <c r="E34" s="158">
        <f>基礎年金拠出金の計算!M34</f>
        <v>1.3457686327205147</v>
      </c>
      <c r="F34" s="158">
        <f>基礎年金拠出金の計算!N34</f>
        <v>1.1165252432095822</v>
      </c>
      <c r="G34" s="158"/>
      <c r="H34" s="158">
        <f>(C33*2+C34*10)/12</f>
        <v>1.3938504072734057</v>
      </c>
      <c r="I34" s="158">
        <f>(D33*2+D34*10)/12</f>
        <v>1.1009014449454082</v>
      </c>
      <c r="J34" s="158">
        <f t="shared" si="7"/>
        <v>1.3438911660905635</v>
      </c>
      <c r="K34" s="158">
        <f t="shared" si="0"/>
        <v>1.1165252432095822</v>
      </c>
      <c r="L34" s="158"/>
      <c r="M34" s="194">
        <f t="shared" si="3"/>
        <v>1.0079915490709936</v>
      </c>
      <c r="N34" s="194">
        <f t="shared" si="4"/>
        <v>1</v>
      </c>
      <c r="O34" s="194">
        <f t="shared" si="5"/>
        <v>1.0086205870030844</v>
      </c>
      <c r="P34" s="194">
        <f t="shared" si="6"/>
        <v>1</v>
      </c>
      <c r="Q34" s="62">
        <v>0.998725228165809</v>
      </c>
      <c r="R34" s="158"/>
      <c r="S34" s="195">
        <f>Q34*(1+人口等補正!D29)</f>
        <v>1.0099229846330533</v>
      </c>
    </row>
    <row r="35" spans="1:19">
      <c r="A35" s="48">
        <f t="shared" si="1"/>
        <v>2037</v>
      </c>
      <c r="C35" s="158">
        <f>基礎年金拠出金の計算!K35</f>
        <v>1.4056166340462841</v>
      </c>
      <c r="D35" s="158">
        <f>基礎年金拠出金の計算!L35</f>
        <v>1.1009014449454082</v>
      </c>
      <c r="E35" s="158">
        <f>基礎年金拠出金の計算!M35</f>
        <v>1.3563173891043006</v>
      </c>
      <c r="F35" s="158">
        <f>基礎年金拠出金の計算!N35</f>
        <v>1.1165252432095822</v>
      </c>
      <c r="G35" s="158"/>
      <c r="H35" s="158">
        <f t="shared" si="7"/>
        <v>1.4039559334626361</v>
      </c>
      <c r="I35" s="158">
        <f t="shared" si="7"/>
        <v>1.1009014449454082</v>
      </c>
      <c r="J35" s="158">
        <f>(E34*2+E35*10)/12</f>
        <v>1.3545592630403362</v>
      </c>
      <c r="K35" s="158">
        <f>(F34*2+F35*10)/12</f>
        <v>1.1165252432095822</v>
      </c>
      <c r="L35" s="158"/>
      <c r="M35" s="194">
        <f t="shared" si="3"/>
        <v>1.0072500794464727</v>
      </c>
      <c r="N35" s="194">
        <f t="shared" si="4"/>
        <v>1</v>
      </c>
      <c r="O35" s="194">
        <f t="shared" si="5"/>
        <v>1.0079382149529317</v>
      </c>
      <c r="P35" s="194">
        <f t="shared" si="6"/>
        <v>1</v>
      </c>
      <c r="Q35" s="62">
        <v>0.997353428835281</v>
      </c>
      <c r="R35" s="158"/>
      <c r="S35" s="195">
        <f>Q35*(1+人口等補正!D30)</f>
        <v>1.0091460295680725</v>
      </c>
    </row>
    <row r="36" spans="1:19">
      <c r="A36" s="48">
        <f t="shared" si="1"/>
        <v>2038</v>
      </c>
      <c r="C36" s="158">
        <f>基礎年金拠出金の計算!K36</f>
        <v>1.4152741723583053</v>
      </c>
      <c r="D36" s="158">
        <f>基礎年金拠出金の計算!L36</f>
        <v>1.1009014449454082</v>
      </c>
      <c r="E36" s="158">
        <f>基礎年金拠出金の計算!M36</f>
        <v>1.3670320880963325</v>
      </c>
      <c r="F36" s="158">
        <f>基礎年金拠出金の計算!N36</f>
        <v>1.1165252432095822</v>
      </c>
      <c r="G36" s="158"/>
      <c r="H36" s="158">
        <f t="shared" si="7"/>
        <v>1.413664582639635</v>
      </c>
      <c r="I36" s="158">
        <f t="shared" si="7"/>
        <v>1.1009014449454082</v>
      </c>
      <c r="J36" s="158">
        <f t="shared" si="7"/>
        <v>1.365246304930994</v>
      </c>
      <c r="K36" s="158">
        <f t="shared" si="0"/>
        <v>1.1165252432095822</v>
      </c>
      <c r="L36" s="158"/>
      <c r="M36" s="194">
        <f t="shared" si="3"/>
        <v>1.0069152093349925</v>
      </c>
      <c r="N36" s="194">
        <f t="shared" si="4"/>
        <v>1</v>
      </c>
      <c r="O36" s="194">
        <f t="shared" si="5"/>
        <v>1.0078896820406886</v>
      </c>
      <c r="P36" s="194">
        <f t="shared" si="6"/>
        <v>1</v>
      </c>
      <c r="Q36" s="62">
        <v>0.9961642887965515</v>
      </c>
      <c r="R36" s="158"/>
      <c r="S36" s="195">
        <f>Q36*(1+人口等補正!D31)</f>
        <v>1.0084892413009265</v>
      </c>
    </row>
    <row r="37" spans="1:19">
      <c r="A37" s="48">
        <f t="shared" si="1"/>
        <v>2039</v>
      </c>
      <c r="C37" s="158">
        <f>基礎年金拠出金の計算!K37</f>
        <v>1.4247125524526183</v>
      </c>
      <c r="D37" s="158">
        <f>基礎年金拠出金の計算!L37</f>
        <v>1.1009014449454082</v>
      </c>
      <c r="E37" s="158">
        <f>基礎年金拠出金の計算!M37</f>
        <v>1.3781235691470706</v>
      </c>
      <c r="F37" s="158">
        <f>基礎年金拠出金の計算!N37</f>
        <v>1.1165252432095822</v>
      </c>
      <c r="G37" s="158"/>
      <c r="H37" s="158">
        <f t="shared" si="7"/>
        <v>1.4231394891035662</v>
      </c>
      <c r="I37" s="158">
        <f t="shared" si="7"/>
        <v>1.1009014449454082</v>
      </c>
      <c r="J37" s="158">
        <f t="shared" si="7"/>
        <v>1.3762749889719474</v>
      </c>
      <c r="K37" s="158">
        <f t="shared" si="0"/>
        <v>1.1165252432095822</v>
      </c>
      <c r="L37" s="158"/>
      <c r="M37" s="194">
        <f t="shared" si="3"/>
        <v>1.0067023723875428</v>
      </c>
      <c r="N37" s="194">
        <f t="shared" si="4"/>
        <v>1</v>
      </c>
      <c r="O37" s="194">
        <f t="shared" si="5"/>
        <v>1.0080781643584165</v>
      </c>
      <c r="P37" s="194">
        <f t="shared" si="6"/>
        <v>1</v>
      </c>
      <c r="Q37" s="62">
        <v>0.99524871010558824</v>
      </c>
      <c r="R37" s="158"/>
      <c r="S37" s="195">
        <f>Q37*(1+人口等補正!D32)</f>
        <v>1.0080932419825863</v>
      </c>
    </row>
    <row r="38" spans="1:19">
      <c r="A38" s="48">
        <f t="shared" si="1"/>
        <v>2040</v>
      </c>
      <c r="C38" s="158">
        <f>基礎年金拠出金の計算!K38</f>
        <v>1.4337678394733018</v>
      </c>
      <c r="D38" s="158">
        <f>基礎年金拠出金の計算!L38</f>
        <v>1.1009014449454082</v>
      </c>
      <c r="E38" s="158">
        <f>基礎年金拠出金の計算!M38</f>
        <v>1.3893821508985429</v>
      </c>
      <c r="F38" s="158">
        <f>基礎年金拠出金の計算!N38</f>
        <v>1.1165252432095822</v>
      </c>
      <c r="G38" s="158"/>
      <c r="H38" s="158">
        <f t="shared" si="7"/>
        <v>1.4322586249698546</v>
      </c>
      <c r="I38" s="158">
        <f t="shared" si="7"/>
        <v>1.1009014449454082</v>
      </c>
      <c r="J38" s="158">
        <f t="shared" si="7"/>
        <v>1.387505720606631</v>
      </c>
      <c r="K38" s="158">
        <f t="shared" si="0"/>
        <v>1.1165252432095822</v>
      </c>
      <c r="L38" s="158"/>
      <c r="M38" s="194">
        <f t="shared" si="3"/>
        <v>1.0064077597003738</v>
      </c>
      <c r="N38" s="194">
        <f t="shared" si="4"/>
        <v>1</v>
      </c>
      <c r="O38" s="194">
        <f t="shared" si="5"/>
        <v>1.0081602381244119</v>
      </c>
      <c r="P38" s="194">
        <f t="shared" si="6"/>
        <v>1</v>
      </c>
      <c r="Q38" s="62">
        <v>0.99462993959551571</v>
      </c>
      <c r="R38" s="158"/>
      <c r="S38" s="195">
        <f>Q38*(1+人口等補正!D33)</f>
        <v>1.0078993396211882</v>
      </c>
    </row>
    <row r="39" spans="1:19">
      <c r="L39" s="64"/>
    </row>
    <row r="40" spans="1:19">
      <c r="L40" s="64"/>
    </row>
    <row r="41" spans="1:19">
      <c r="L41" s="64"/>
    </row>
    <row r="42" spans="1:19">
      <c r="L42" s="64"/>
    </row>
    <row r="43" spans="1:19">
      <c r="L43" s="64"/>
    </row>
  </sheetData>
  <mergeCells count="4">
    <mergeCell ref="M1:N1"/>
    <mergeCell ref="M2:P2"/>
    <mergeCell ref="M3:N3"/>
    <mergeCell ref="O3:P3"/>
  </mergeCells>
  <phoneticPr fontId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【年金全体】</vt:lpstr>
      <vt:lpstr>⇒厚年国年</vt:lpstr>
      <vt:lpstr>【国民年金】</vt:lpstr>
      <vt:lpstr>国民年金</vt:lpstr>
      <vt:lpstr>【厚生年金】</vt:lpstr>
      <vt:lpstr>厚生年金</vt:lpstr>
      <vt:lpstr>人口等補正</vt:lpstr>
      <vt:lpstr>厚年比例の計算</vt:lpstr>
      <vt:lpstr>厚年定額の計算</vt:lpstr>
      <vt:lpstr>基礎年金拠出金の計算</vt:lpstr>
      <vt:lpstr>経済前提</vt:lpstr>
      <vt:lpstr>マクロ経済スライド</vt:lpstr>
      <vt:lpstr>⇒三共済・旧３公社等</vt:lpstr>
      <vt:lpstr>【三共済旧３公社等】</vt:lpstr>
      <vt:lpstr>共済</vt:lpstr>
      <vt:lpstr>⇒年金生活者支援給付金</vt:lpstr>
      <vt:lpstr>【年金生活者支援給付金】</vt:lpstr>
      <vt:lpstr>⇒恩給</vt:lpstr>
      <vt:lpstr>【恩給】</vt:lpstr>
      <vt:lpstr>⇒その他</vt:lpstr>
      <vt:lpstr>【その他（恩給を除く）】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2018-06-22T11:14:24Z</dcterms:modified>
</cp:coreProperties>
</file>